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66925"/>
  <mc:AlternateContent xmlns:mc="http://schemas.openxmlformats.org/markup-compatibility/2006">
    <mc:Choice Requires="x15">
      <x15ac:absPath xmlns:x15ac="http://schemas.microsoft.com/office/spreadsheetml/2010/11/ac" url="C:\Users\cthomas\Desktop\"/>
    </mc:Choice>
  </mc:AlternateContent>
  <xr:revisionPtr revIDLastSave="0" documentId="8_{EACC2818-8E2F-4B27-9F58-C8A92CFF3B24}" xr6:coauthVersionLast="47" xr6:coauthVersionMax="47" xr10:uidLastSave="{00000000-0000-0000-0000-000000000000}"/>
  <workbookProtection workbookAlgorithmName="SHA-512" workbookHashValue="ja1jUn4USsCqS7vCNtwYcNDJz2jLsdbwsewPlp/XHz290vvjuLeo21rT9yIPsPac09aegqmhyIW0wQkioHkIDA==" workbookSaltValue="atQSSpMf0iquoUzR8QF1kQ==" workbookSpinCount="100000" lockStructure="1"/>
  <bookViews>
    <workbookView xWindow="2595" yWindow="2595" windowWidth="21600" windowHeight="11385" xr2:uid="{2B7A877B-7B73-45B4-9CC6-BEE22C55A38B}"/>
    <workbookView xWindow="-120" yWindow="-120" windowWidth="29040" windowHeight="15840" xr2:uid="{8190EC80-54D5-49ED-A7A8-53F3D4F0D58C}"/>
  </bookViews>
  <sheets>
    <sheet name="Introduction" sheetId="15" r:id="rId1"/>
    <sheet name="Interpreting the results" sheetId="16" r:id="rId2"/>
    <sheet name="Customisability" sheetId="17" r:id="rId3"/>
    <sheet name="Overview and dashboard" sheetId="8" r:id="rId4"/>
    <sheet name="Aggregate UK performance" sheetId="14" state="hidden" r:id="rId5"/>
    <sheet name="Baseline" sheetId="1" state="hidden" r:id="rId6"/>
    <sheet name="1 - SA SP Orchards" sheetId="10" r:id="rId7"/>
    <sheet name="2 - SA SP Timber Production" sheetId="11" r:id="rId8"/>
    <sheet name="3 - Silvopastoral" sheetId="12" r:id="rId9"/>
    <sheet name="4 - Shelterbelts" sheetId="13" r:id="rId10"/>
    <sheet name="5 - Farm woodland" sheetId="2" r:id="rId11"/>
    <sheet name="6 - Lists" sheetId="9" state="hidden" r:id="rId12"/>
  </sheet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9" i="10" l="1" a="1"/>
  <c r="E139" i="10"/>
  <c r="D23" i="1"/>
  <c r="E81" i="10"/>
  <c r="E44" i="10"/>
  <c r="D24" i="1"/>
  <c r="D81" i="10"/>
  <c r="H81" i="10"/>
  <c r="E43" i="10"/>
  <c r="E55" i="10"/>
  <c r="F63" i="10" a="1"/>
  <c r="F63" i="10"/>
  <c r="E126" i="10"/>
  <c r="E127" i="10"/>
  <c r="F64" i="10"/>
  <c r="F65" i="10"/>
  <c r="E57" i="10"/>
  <c r="F59" i="10"/>
  <c r="F66" i="10"/>
  <c r="E197" i="10" a="1"/>
  <c r="E197" i="10"/>
  <c r="D36" i="10" a="1"/>
  <c r="D36" i="10"/>
  <c r="I197" i="10"/>
  <c r="K197" i="10"/>
  <c r="AK66" i="14"/>
  <c r="AK67" i="14"/>
  <c r="E196" i="10" a="1"/>
  <c r="E196" i="10"/>
  <c r="I196" i="10"/>
  <c r="K196" i="10"/>
  <c r="AE66" i="14"/>
  <c r="AE67" i="14"/>
  <c r="E195" i="10" a="1"/>
  <c r="E195" i="10"/>
  <c r="I195" i="10"/>
  <c r="K195" i="10"/>
  <c r="Y66" i="14"/>
  <c r="Y67" i="14"/>
  <c r="E194" i="10" a="1"/>
  <c r="E194" i="10"/>
  <c r="I194" i="10"/>
  <c r="K194" i="10"/>
  <c r="S66" i="14"/>
  <c r="S67" i="14"/>
  <c r="E179" i="11" a="1"/>
  <c r="E179" i="11"/>
  <c r="E24" i="1"/>
  <c r="D82" i="11"/>
  <c r="H82" i="11"/>
  <c r="H41" i="11"/>
  <c r="E23" i="1"/>
  <c r="E82" i="11"/>
  <c r="E128" i="11" a="1"/>
  <c r="E128" i="11"/>
  <c r="H42" i="11"/>
  <c r="H51" i="11"/>
  <c r="I59" i="11" a="1"/>
  <c r="I59" i="11"/>
  <c r="E120" i="11"/>
  <c r="E121" i="11"/>
  <c r="I60" i="11"/>
  <c r="I61" i="11"/>
  <c r="H53" i="11"/>
  <c r="I55" i="11"/>
  <c r="I62" i="11"/>
  <c r="H179" i="11"/>
  <c r="K179" i="11"/>
  <c r="M66" i="14"/>
  <c r="M68" i="14"/>
  <c r="E187" i="10" a="1"/>
  <c r="E187" i="10"/>
  <c r="I187" i="10"/>
  <c r="K187" i="10"/>
  <c r="AK54" i="14"/>
  <c r="AK55" i="14"/>
  <c r="E186" i="10" a="1"/>
  <c r="E186" i="10"/>
  <c r="I186" i="10"/>
  <c r="K186" i="10"/>
  <c r="AE54" i="14"/>
  <c r="AE55" i="14"/>
  <c r="E185" i="10" a="1"/>
  <c r="E185" i="10"/>
  <c r="I185" i="10"/>
  <c r="K185" i="10"/>
  <c r="Y54" i="14"/>
  <c r="Y55" i="14"/>
  <c r="E184" i="10" a="1"/>
  <c r="E184" i="10"/>
  <c r="I184" i="10"/>
  <c r="K184" i="10"/>
  <c r="S54" i="14"/>
  <c r="S55" i="14"/>
  <c r="E173" i="10" a="1"/>
  <c r="E173" i="10"/>
  <c r="H173" i="10"/>
  <c r="K173" i="10"/>
  <c r="M42" i="14"/>
  <c r="AK43" i="14"/>
  <c r="AE43" i="14"/>
  <c r="E175" i="10" a="1"/>
  <c r="E175" i="10"/>
  <c r="I175" i="10"/>
  <c r="K175" i="10"/>
  <c r="Y43" i="14"/>
  <c r="E167" i="10" a="1"/>
  <c r="E167" i="10"/>
  <c r="I167" i="10"/>
  <c r="K167" i="10"/>
  <c r="M30" i="14"/>
  <c r="AK31" i="14"/>
  <c r="E166" i="10" a="1"/>
  <c r="E166" i="10"/>
  <c r="I166" i="10"/>
  <c r="K166" i="10"/>
  <c r="AE31" i="14"/>
  <c r="E165" i="10" a="1"/>
  <c r="E165" i="10"/>
  <c r="I165" i="10"/>
  <c r="K165" i="10"/>
  <c r="Y31" i="14"/>
  <c r="S31" i="14"/>
  <c r="E174" i="10" a="1"/>
  <c r="E174" i="10"/>
  <c r="I174" i="10"/>
  <c r="K174" i="10"/>
  <c r="G42" i="14"/>
  <c r="S43" i="14"/>
  <c r="M43" i="14"/>
  <c r="E159" i="11" a="1"/>
  <c r="E159" i="11"/>
  <c r="H159" i="11"/>
  <c r="K159" i="11"/>
  <c r="M44" i="14"/>
  <c r="E192" i="10" a="1"/>
  <c r="E192" i="10"/>
  <c r="H192" i="10"/>
  <c r="K192" i="10"/>
  <c r="G66" i="14"/>
  <c r="G67" i="14"/>
  <c r="E182" i="10" a="1"/>
  <c r="E182" i="10"/>
  <c r="H182" i="10"/>
  <c r="K182" i="10"/>
  <c r="G54" i="14"/>
  <c r="G55" i="14"/>
  <c r="E172" i="10" a="1"/>
  <c r="E172" i="10"/>
  <c r="H172" i="10"/>
  <c r="K172" i="10"/>
  <c r="G43" i="14"/>
  <c r="F24" i="1"/>
  <c r="D83" i="11"/>
  <c r="H83" i="11"/>
  <c r="K41" i="11"/>
  <c r="K51" i="11"/>
  <c r="L59" i="11" a="1"/>
  <c r="L59" i="11"/>
  <c r="L60" i="11"/>
  <c r="L61" i="11"/>
  <c r="K53" i="11"/>
  <c r="D34" i="11" a="1"/>
  <c r="D34" i="11"/>
  <c r="F23" i="1"/>
  <c r="E83" i="11"/>
  <c r="L34" i="11"/>
  <c r="L39" i="11"/>
  <c r="L53" i="11"/>
  <c r="L55" i="11"/>
  <c r="L62" i="11"/>
  <c r="E150" i="11" a="1"/>
  <c r="E150" i="11"/>
  <c r="K150" i="11"/>
  <c r="S30" i="14"/>
  <c r="S32" i="14"/>
  <c r="L51" i="12" a="1"/>
  <c r="L51" i="12"/>
  <c r="E96" i="12"/>
  <c r="E97" i="12"/>
  <c r="L52" i="12"/>
  <c r="L53" i="12"/>
  <c r="D28" i="12" a="1"/>
  <c r="D28" i="12"/>
  <c r="E72" i="12"/>
  <c r="L28" i="12"/>
  <c r="L33" i="12"/>
  <c r="L45" i="12"/>
  <c r="L47" i="12"/>
  <c r="L54" i="12"/>
  <c r="E115" i="12" a="1"/>
  <c r="E115" i="12"/>
  <c r="K115" i="12"/>
  <c r="S33" i="14"/>
  <c r="L65" i="13" a="1"/>
  <c r="L65" i="13"/>
  <c r="E134" i="13" a="1"/>
  <c r="E134" i="13"/>
  <c r="E135" i="13"/>
  <c r="E141" i="13" a="1"/>
  <c r="E141" i="13"/>
  <c r="E142" i="13"/>
  <c r="L66" i="13"/>
  <c r="L67" i="13"/>
  <c r="D93" i="13"/>
  <c r="H93" i="13"/>
  <c r="K47" i="13"/>
  <c r="K57" i="13"/>
  <c r="K59" i="13"/>
  <c r="D38" i="13" a="1"/>
  <c r="D38" i="13"/>
  <c r="E93" i="13"/>
  <c r="L38" i="13"/>
  <c r="L45" i="13"/>
  <c r="L59" i="13"/>
  <c r="L61" i="13"/>
  <c r="L68" i="13"/>
  <c r="E173" i="13" a="1"/>
  <c r="E173" i="13"/>
  <c r="K173" i="13"/>
  <c r="L173" i="13"/>
  <c r="S34" i="14"/>
  <c r="E193" i="10" a="1"/>
  <c r="E193" i="10"/>
  <c r="H193" i="10"/>
  <c r="K193" i="10"/>
  <c r="M67" i="14"/>
  <c r="E183" i="10" a="1"/>
  <c r="E183" i="10"/>
  <c r="H183" i="10"/>
  <c r="K183" i="10"/>
  <c r="M54" i="14"/>
  <c r="M55" i="14"/>
  <c r="E163" i="10" a="1"/>
  <c r="E163" i="10"/>
  <c r="H163" i="10"/>
  <c r="K163" i="10"/>
  <c r="M31" i="14"/>
  <c r="E162" i="10" a="1"/>
  <c r="E162" i="10"/>
  <c r="H162" i="10"/>
  <c r="K162" i="10"/>
  <c r="G30" i="14"/>
  <c r="G31" i="14"/>
  <c r="K31" i="14"/>
  <c r="L31" i="14"/>
  <c r="F192" i="10"/>
  <c r="D192" i="10"/>
  <c r="N197" i="10"/>
  <c r="N196" i="10"/>
  <c r="N195" i="10"/>
  <c r="N194" i="10"/>
  <c r="D193" i="10"/>
  <c r="N193" i="10"/>
  <c r="N192" i="10"/>
  <c r="N187" i="10"/>
  <c r="N186" i="10"/>
  <c r="N185" i="10"/>
  <c r="N184" i="10"/>
  <c r="D183" i="10"/>
  <c r="N183" i="10"/>
  <c r="D182" i="10"/>
  <c r="N182" i="10"/>
  <c r="E177" i="10" a="1"/>
  <c r="E177" i="10"/>
  <c r="I177" i="10"/>
  <c r="N177" i="10"/>
  <c r="K177" i="10"/>
  <c r="E176" i="10" a="1"/>
  <c r="E176" i="10"/>
  <c r="I176" i="10"/>
  <c r="N176" i="10"/>
  <c r="K176" i="10"/>
  <c r="N175" i="10"/>
  <c r="N174" i="10"/>
  <c r="E82" i="10"/>
  <c r="H44" i="10"/>
  <c r="D82" i="10"/>
  <c r="H82" i="10"/>
  <c r="H43" i="10"/>
  <c r="H55" i="10"/>
  <c r="H57" i="10"/>
  <c r="D173" i="10"/>
  <c r="N173" i="10"/>
  <c r="D172" i="10"/>
  <c r="N172" i="10"/>
  <c r="D163" i="10"/>
  <c r="N163" i="10"/>
  <c r="E164" i="10" a="1"/>
  <c r="E164" i="10"/>
  <c r="I164" i="10"/>
  <c r="K164" i="10"/>
  <c r="N164" i="10"/>
  <c r="N165" i="10"/>
  <c r="N166" i="10"/>
  <c r="N167" i="10"/>
  <c r="D162" i="10"/>
  <c r="N162" i="10"/>
  <c r="E73" i="10"/>
  <c r="E76" i="10"/>
  <c r="E77" i="10"/>
  <c r="F35" i="10"/>
  <c r="F41" i="10"/>
  <c r="F55" i="10"/>
  <c r="F57" i="10"/>
  <c r="E41" i="10"/>
  <c r="E138" i="10"/>
  <c r="E97" i="10"/>
  <c r="E98" i="10"/>
  <c r="E48" i="10"/>
  <c r="E105" i="10"/>
  <c r="E51" i="10"/>
  <c r="E109" i="10"/>
  <c r="E111" i="10"/>
  <c r="E112" i="10"/>
  <c r="E113" i="10"/>
  <c r="E54" i="10"/>
  <c r="F146" i="10"/>
  <c r="F147" i="10"/>
  <c r="H144" i="10"/>
  <c r="F162" i="10"/>
  <c r="I35" i="10"/>
  <c r="I41" i="10"/>
  <c r="I55" i="10"/>
  <c r="I57" i="10"/>
  <c r="H41" i="10"/>
  <c r="H48" i="10"/>
  <c r="H51" i="10"/>
  <c r="H54" i="10"/>
  <c r="I59" i="10"/>
  <c r="I63" i="10" a="1"/>
  <c r="I63" i="10"/>
  <c r="I64" i="10"/>
  <c r="I65" i="10"/>
  <c r="I66" i="10"/>
  <c r="F163" i="10"/>
  <c r="L35" i="10"/>
  <c r="E83" i="10"/>
  <c r="L36" i="10"/>
  <c r="L41" i="10"/>
  <c r="L55" i="10"/>
  <c r="L57" i="10"/>
  <c r="K41" i="10"/>
  <c r="D83" i="10"/>
  <c r="H83" i="10"/>
  <c r="K43" i="10"/>
  <c r="K48" i="10"/>
  <c r="K51" i="10"/>
  <c r="K54" i="10"/>
  <c r="K55" i="10"/>
  <c r="K57" i="10"/>
  <c r="L59" i="10"/>
  <c r="L63" i="10" a="1"/>
  <c r="L63" i="10"/>
  <c r="L64" i="10"/>
  <c r="L65" i="10"/>
  <c r="L66" i="10"/>
  <c r="F164" i="10"/>
  <c r="O35" i="10"/>
  <c r="G23" i="1"/>
  <c r="E84" i="10"/>
  <c r="O36" i="10"/>
  <c r="O41" i="10"/>
  <c r="O55" i="10"/>
  <c r="O57" i="10"/>
  <c r="N41" i="10"/>
  <c r="G24" i="1"/>
  <c r="D84" i="10"/>
  <c r="H84" i="10"/>
  <c r="N43" i="10"/>
  <c r="N48" i="10"/>
  <c r="N51" i="10"/>
  <c r="N54" i="10"/>
  <c r="N55" i="10"/>
  <c r="N57" i="10"/>
  <c r="O59" i="10"/>
  <c r="O63" i="10" a="1"/>
  <c r="O63" i="10"/>
  <c r="O64" i="10"/>
  <c r="O65" i="10"/>
  <c r="O66" i="10"/>
  <c r="F165" i="10"/>
  <c r="Y30" i="14"/>
  <c r="R35" i="10"/>
  <c r="H23" i="1"/>
  <c r="E85" i="10"/>
  <c r="R36" i="10"/>
  <c r="R41" i="10"/>
  <c r="R55" i="10"/>
  <c r="R57" i="10"/>
  <c r="Q41" i="10"/>
  <c r="H24" i="1"/>
  <c r="D85" i="10"/>
  <c r="H85" i="10"/>
  <c r="Q43" i="10"/>
  <c r="Q48" i="10"/>
  <c r="Q51" i="10"/>
  <c r="Q54" i="10"/>
  <c r="Q55" i="10"/>
  <c r="Q57" i="10"/>
  <c r="R59" i="10"/>
  <c r="R63" i="10" a="1"/>
  <c r="R63" i="10"/>
  <c r="R64" i="10"/>
  <c r="R65" i="10"/>
  <c r="R66" i="10"/>
  <c r="F166" i="10"/>
  <c r="AE30" i="14"/>
  <c r="U35" i="10"/>
  <c r="I24" i="1"/>
  <c r="D86" i="10"/>
  <c r="H86" i="10"/>
  <c r="T43" i="10"/>
  <c r="D37" i="10" a="1"/>
  <c r="D37" i="10"/>
  <c r="I23" i="1"/>
  <c r="E86" i="10"/>
  <c r="U37" i="10"/>
  <c r="U41" i="10"/>
  <c r="U55" i="10"/>
  <c r="U57" i="10"/>
  <c r="T41" i="10"/>
  <c r="T48" i="10"/>
  <c r="T51" i="10"/>
  <c r="T54" i="10"/>
  <c r="T55" i="10"/>
  <c r="T57" i="10"/>
  <c r="U59" i="10"/>
  <c r="U63" i="10" a="1"/>
  <c r="U63" i="10"/>
  <c r="U64" i="10"/>
  <c r="U65" i="10"/>
  <c r="U66" i="10"/>
  <c r="F167" i="10"/>
  <c r="AK30" i="14"/>
  <c r="B31" i="14"/>
  <c r="B30" i="14"/>
  <c r="E31" i="14"/>
  <c r="D93" i="2"/>
  <c r="F93" i="2"/>
  <c r="E31" i="2"/>
  <c r="E44" i="2"/>
  <c r="H53" i="2" a="1"/>
  <c r="H53" i="2"/>
  <c r="F31" i="2"/>
  <c r="F44" i="2"/>
  <c r="I54" i="2" a="1"/>
  <c r="I54" i="2"/>
  <c r="J55" i="2"/>
  <c r="E139" i="2"/>
  <c r="E140" i="2"/>
  <c r="H56" i="2"/>
  <c r="E146" i="2"/>
  <c r="E147" i="2"/>
  <c r="I57" i="2"/>
  <c r="J58" i="2"/>
  <c r="J59" i="2"/>
  <c r="G31" i="2"/>
  <c r="G44" i="2"/>
  <c r="G46" i="2"/>
  <c r="I50" i="2"/>
  <c r="I62" i="2"/>
  <c r="E191" i="2" a="1"/>
  <c r="E191" i="2"/>
  <c r="G191" i="2"/>
  <c r="G37" i="14"/>
  <c r="E217" i="2" a="1"/>
  <c r="E217" i="2"/>
  <c r="G217" i="2"/>
  <c r="G49" i="14"/>
  <c r="E243" i="2" a="1"/>
  <c r="E243" i="2"/>
  <c r="G243" i="2"/>
  <c r="G61" i="14"/>
  <c r="E269" i="2" a="1"/>
  <c r="E269" i="2"/>
  <c r="G269" i="2"/>
  <c r="G73" i="14"/>
  <c r="G11" i="14"/>
  <c r="G4" i="14"/>
  <c r="K11" i="14"/>
  <c r="I37" i="14"/>
  <c r="I49" i="14"/>
  <c r="I61" i="14"/>
  <c r="I73" i="14"/>
  <c r="I11" i="14"/>
  <c r="C37" i="14"/>
  <c r="C49" i="14"/>
  <c r="C61" i="14"/>
  <c r="C73" i="14"/>
  <c r="C11" i="14"/>
  <c r="D37" i="14"/>
  <c r="D49" i="14"/>
  <c r="D61" i="14"/>
  <c r="D73" i="14"/>
  <c r="D11" i="14"/>
  <c r="J11" i="14"/>
  <c r="B87" i="14"/>
  <c r="G5" i="14"/>
  <c r="K5" i="14"/>
  <c r="B81" i="14"/>
  <c r="I59" i="2"/>
  <c r="F46" i="2"/>
  <c r="I49" i="2"/>
  <c r="I61" i="2"/>
  <c r="E183" i="2" a="1"/>
  <c r="E183" i="2"/>
  <c r="G183" i="2"/>
  <c r="G36" i="14"/>
  <c r="E209" i="2" a="1"/>
  <c r="E209" i="2"/>
  <c r="G209" i="2"/>
  <c r="G48" i="14"/>
  <c r="E235" i="2" a="1"/>
  <c r="E235" i="2"/>
  <c r="G235" i="2"/>
  <c r="G60" i="14"/>
  <c r="E261" i="2" a="1"/>
  <c r="E261" i="2"/>
  <c r="G261" i="2"/>
  <c r="G72" i="14"/>
  <c r="G10" i="14"/>
  <c r="K10" i="14"/>
  <c r="B86" i="14"/>
  <c r="E149" i="13" a="1"/>
  <c r="E149" i="13"/>
  <c r="E91" i="13"/>
  <c r="E48" i="13"/>
  <c r="D91" i="13"/>
  <c r="H91" i="13"/>
  <c r="E47" i="13"/>
  <c r="E57" i="13"/>
  <c r="E59" i="13"/>
  <c r="D37" i="13" a="1"/>
  <c r="D37" i="13"/>
  <c r="F37" i="13"/>
  <c r="F45" i="13"/>
  <c r="F59" i="13"/>
  <c r="F61" i="13"/>
  <c r="F65" i="13" a="1"/>
  <c r="F65" i="13"/>
  <c r="F67" i="13"/>
  <c r="F68" i="13"/>
  <c r="E171" i="13" a="1"/>
  <c r="E171" i="13"/>
  <c r="H171" i="13"/>
  <c r="I171" i="13"/>
  <c r="L171" i="13"/>
  <c r="G34" i="14"/>
  <c r="E181" i="13" a="1"/>
  <c r="E181" i="13"/>
  <c r="H181" i="13"/>
  <c r="I181" i="13"/>
  <c r="L181" i="13"/>
  <c r="G46" i="14"/>
  <c r="E191" i="13" a="1"/>
  <c r="E191" i="13"/>
  <c r="H191" i="13"/>
  <c r="I191" i="13"/>
  <c r="L191" i="13"/>
  <c r="G58" i="14"/>
  <c r="E201" i="13" a="1"/>
  <c r="E201" i="13"/>
  <c r="H201" i="13"/>
  <c r="I201" i="13"/>
  <c r="L201" i="13"/>
  <c r="G70" i="14"/>
  <c r="G8" i="14"/>
  <c r="K8" i="14"/>
  <c r="B84" i="14"/>
  <c r="N8" i="8"/>
  <c r="P20" i="8"/>
  <c r="M20" i="8"/>
  <c r="P28" i="8"/>
  <c r="D98" i="2"/>
  <c r="F98" i="2"/>
  <c r="AN31" i="2"/>
  <c r="AN44" i="2"/>
  <c r="AQ53" i="2" a="1"/>
  <c r="AQ53" i="2"/>
  <c r="AO31" i="2"/>
  <c r="AO44" i="2"/>
  <c r="AR54" i="2" a="1"/>
  <c r="AR54" i="2"/>
  <c r="AS55" i="2"/>
  <c r="AQ56" i="2"/>
  <c r="AS58" i="2"/>
  <c r="AS59" i="2"/>
  <c r="AP31" i="2"/>
  <c r="AP44" i="2"/>
  <c r="AP46" i="2"/>
  <c r="AR50" i="2"/>
  <c r="AR62" i="2"/>
  <c r="E196" i="2" a="1"/>
  <c r="E196" i="2"/>
  <c r="G196" i="2"/>
  <c r="AK37" i="14"/>
  <c r="E222" i="2" a="1"/>
  <c r="E222" i="2"/>
  <c r="G222" i="2"/>
  <c r="AK42" i="14"/>
  <c r="AK49" i="14"/>
  <c r="E248" i="2" a="1"/>
  <c r="E248" i="2"/>
  <c r="G248" i="2"/>
  <c r="AK61" i="14"/>
  <c r="E274" i="2" a="1"/>
  <c r="E274" i="2"/>
  <c r="G274" i="2"/>
  <c r="AK73" i="14"/>
  <c r="AK11" i="14"/>
  <c r="AK4" i="14"/>
  <c r="AO11" i="14"/>
  <c r="AM37" i="14"/>
  <c r="AM49" i="14"/>
  <c r="AM61" i="14"/>
  <c r="AM73" i="14"/>
  <c r="AM11" i="14"/>
  <c r="AN11" i="14"/>
  <c r="G87" i="14"/>
  <c r="AK5" i="14"/>
  <c r="AO5" i="14"/>
  <c r="G81" i="14"/>
  <c r="N13" i="8"/>
  <c r="D97" i="2"/>
  <c r="F97" i="2"/>
  <c r="AG31" i="2"/>
  <c r="AG44" i="2"/>
  <c r="AJ53" i="2" a="1"/>
  <c r="AJ53" i="2"/>
  <c r="AH31" i="2"/>
  <c r="AH44" i="2"/>
  <c r="AK54" i="2" a="1"/>
  <c r="AK54" i="2"/>
  <c r="AL55" i="2"/>
  <c r="AJ56" i="2"/>
  <c r="AL58" i="2"/>
  <c r="AL59" i="2"/>
  <c r="AI31" i="2"/>
  <c r="AI44" i="2"/>
  <c r="AI46" i="2"/>
  <c r="AK50" i="2"/>
  <c r="AK62" i="2"/>
  <c r="E195" i="2" a="1"/>
  <c r="E195" i="2"/>
  <c r="G195" i="2"/>
  <c r="AE37" i="14"/>
  <c r="E221" i="2" a="1"/>
  <c r="E221" i="2"/>
  <c r="G221" i="2"/>
  <c r="AE42" i="14"/>
  <c r="AE49" i="14"/>
  <c r="E247" i="2" a="1"/>
  <c r="E247" i="2"/>
  <c r="G247" i="2"/>
  <c r="AE61" i="14"/>
  <c r="E273" i="2" a="1"/>
  <c r="E273" i="2"/>
  <c r="G273" i="2"/>
  <c r="AE73" i="14"/>
  <c r="AE11" i="14"/>
  <c r="AE4" i="14"/>
  <c r="AI11" i="14"/>
  <c r="AG37" i="14"/>
  <c r="AG49" i="14"/>
  <c r="AG61" i="14"/>
  <c r="AG73" i="14"/>
  <c r="AG11" i="14"/>
  <c r="AH11" i="14"/>
  <c r="F87" i="14"/>
  <c r="AJ59" i="2"/>
  <c r="AG46" i="2"/>
  <c r="AK48" i="2"/>
  <c r="AK60" i="2"/>
  <c r="E179" i="2" a="1"/>
  <c r="E179" i="2"/>
  <c r="G179" i="2"/>
  <c r="AE35" i="14"/>
  <c r="E205" i="2" a="1"/>
  <c r="E205" i="2"/>
  <c r="G205" i="2"/>
  <c r="AE47" i="14"/>
  <c r="E231" i="2" a="1"/>
  <c r="E231" i="2"/>
  <c r="G231" i="2"/>
  <c r="AE59" i="14"/>
  <c r="E257" i="2" a="1"/>
  <c r="E257" i="2"/>
  <c r="G257" i="2"/>
  <c r="AE71" i="14"/>
  <c r="AE9" i="14"/>
  <c r="AI9" i="14"/>
  <c r="F85" i="14"/>
  <c r="AE5" i="14"/>
  <c r="AI5" i="14"/>
  <c r="F81" i="14"/>
  <c r="N12" i="8"/>
  <c r="D96" i="2"/>
  <c r="F96" i="2"/>
  <c r="Z31" i="2"/>
  <c r="Z44" i="2"/>
  <c r="AC53" i="2" a="1"/>
  <c r="AC53" i="2"/>
  <c r="AA31" i="2"/>
  <c r="AA44" i="2"/>
  <c r="AD54" i="2" a="1"/>
  <c r="AD54" i="2"/>
  <c r="AE55" i="2"/>
  <c r="AC56" i="2"/>
  <c r="AE58" i="2"/>
  <c r="AE59" i="2"/>
  <c r="AB31" i="2"/>
  <c r="AB44" i="2"/>
  <c r="AB46" i="2"/>
  <c r="AD50" i="2"/>
  <c r="AD62" i="2"/>
  <c r="E194" i="2" a="1"/>
  <c r="E194" i="2"/>
  <c r="G194" i="2"/>
  <c r="Y37" i="14"/>
  <c r="E220" i="2" a="1"/>
  <c r="E220" i="2"/>
  <c r="G220" i="2"/>
  <c r="Y42" i="14"/>
  <c r="Y49" i="14"/>
  <c r="E246" i="2" a="1"/>
  <c r="E246" i="2"/>
  <c r="G246" i="2"/>
  <c r="Y61" i="14"/>
  <c r="E272" i="2" a="1"/>
  <c r="E272" i="2"/>
  <c r="G272" i="2"/>
  <c r="Y73" i="14"/>
  <c r="Y11" i="14"/>
  <c r="Y4" i="14"/>
  <c r="AC11" i="14"/>
  <c r="AA37" i="14"/>
  <c r="AA49" i="14"/>
  <c r="AA61" i="14"/>
  <c r="AA73" i="14"/>
  <c r="AA11" i="14"/>
  <c r="AB11" i="14"/>
  <c r="E87" i="14"/>
  <c r="O65" i="13" a="1"/>
  <c r="O65" i="13"/>
  <c r="O66" i="13"/>
  <c r="O67" i="13"/>
  <c r="D94" i="13"/>
  <c r="H94" i="13"/>
  <c r="N47" i="13"/>
  <c r="N57" i="13"/>
  <c r="N59" i="13"/>
  <c r="E94" i="13"/>
  <c r="O38" i="13"/>
  <c r="O45" i="13"/>
  <c r="O59" i="13"/>
  <c r="O61" i="13"/>
  <c r="O68" i="13"/>
  <c r="E174" i="13" a="1"/>
  <c r="E174" i="13"/>
  <c r="K174" i="13"/>
  <c r="L174" i="13"/>
  <c r="Y34" i="14"/>
  <c r="E184" i="13" a="1"/>
  <c r="E184" i="13"/>
  <c r="K184" i="13"/>
  <c r="L184" i="13"/>
  <c r="Y46" i="14"/>
  <c r="R65" i="13" a="1"/>
  <c r="R65" i="13"/>
  <c r="R66" i="13"/>
  <c r="R67" i="13"/>
  <c r="D95" i="13"/>
  <c r="H95" i="13"/>
  <c r="Q47" i="13"/>
  <c r="Q57" i="13"/>
  <c r="Q59" i="13"/>
  <c r="E95" i="13"/>
  <c r="R38" i="13"/>
  <c r="R45" i="13"/>
  <c r="R59" i="13"/>
  <c r="R61" i="13"/>
  <c r="R68" i="13"/>
  <c r="E195" i="13" a="1"/>
  <c r="E195" i="13"/>
  <c r="K195" i="13"/>
  <c r="L195" i="13"/>
  <c r="Y58" i="14"/>
  <c r="E204" i="13" a="1"/>
  <c r="E204" i="13"/>
  <c r="K204" i="13"/>
  <c r="L204" i="13"/>
  <c r="Y70" i="14"/>
  <c r="Y8" i="14"/>
  <c r="AC8" i="14"/>
  <c r="E84" i="14"/>
  <c r="Y5" i="14"/>
  <c r="AC5" i="14"/>
  <c r="E81" i="14"/>
  <c r="N11" i="8"/>
  <c r="D95" i="2"/>
  <c r="F95" i="2"/>
  <c r="S31" i="2"/>
  <c r="S44" i="2"/>
  <c r="V53" i="2" a="1"/>
  <c r="V53" i="2"/>
  <c r="T31" i="2"/>
  <c r="T44" i="2"/>
  <c r="W54" i="2" a="1"/>
  <c r="W54" i="2"/>
  <c r="X55" i="2"/>
  <c r="V56" i="2"/>
  <c r="X58" i="2"/>
  <c r="X59" i="2"/>
  <c r="U31" i="2"/>
  <c r="U44" i="2"/>
  <c r="U46" i="2"/>
  <c r="W50" i="2"/>
  <c r="W62" i="2"/>
  <c r="E193" i="2" a="1"/>
  <c r="E193" i="2"/>
  <c r="G193" i="2"/>
  <c r="S37" i="14"/>
  <c r="E219" i="2" a="1"/>
  <c r="E219" i="2"/>
  <c r="G219" i="2"/>
  <c r="S42" i="14"/>
  <c r="S49" i="14"/>
  <c r="E245" i="2" a="1"/>
  <c r="E245" i="2"/>
  <c r="G245" i="2"/>
  <c r="S61" i="14"/>
  <c r="E271" i="2" a="1"/>
  <c r="E271" i="2"/>
  <c r="G271" i="2"/>
  <c r="S73" i="14"/>
  <c r="S11" i="14"/>
  <c r="S4" i="14"/>
  <c r="W11" i="14"/>
  <c r="U37" i="14"/>
  <c r="U49" i="14"/>
  <c r="U61" i="14"/>
  <c r="U73" i="14"/>
  <c r="U11" i="14"/>
  <c r="V11" i="14"/>
  <c r="D87" i="14"/>
  <c r="E125" i="12" a="1"/>
  <c r="E125" i="12"/>
  <c r="K125" i="12"/>
  <c r="S45" i="14"/>
  <c r="E135" i="12" a="1"/>
  <c r="E135" i="12"/>
  <c r="K135" i="12"/>
  <c r="S57" i="14"/>
  <c r="E145" i="12" a="1"/>
  <c r="E145" i="12"/>
  <c r="K145" i="12"/>
  <c r="S69" i="14"/>
  <c r="S7" i="14"/>
  <c r="W7" i="14"/>
  <c r="D83" i="14"/>
  <c r="S5" i="14"/>
  <c r="W5" i="14"/>
  <c r="D81" i="14"/>
  <c r="N10" i="8"/>
  <c r="D94" i="2"/>
  <c r="F94" i="2"/>
  <c r="L31" i="2"/>
  <c r="L44" i="2"/>
  <c r="O53" i="2" a="1"/>
  <c r="O53" i="2"/>
  <c r="M31" i="2"/>
  <c r="M44" i="2"/>
  <c r="P54" i="2" a="1"/>
  <c r="P54" i="2"/>
  <c r="Q55" i="2"/>
  <c r="O56" i="2"/>
  <c r="Q58" i="2"/>
  <c r="Q59" i="2"/>
  <c r="N31" i="2"/>
  <c r="N44" i="2"/>
  <c r="N46" i="2"/>
  <c r="P50" i="2"/>
  <c r="P62" i="2"/>
  <c r="E192" i="2" a="1"/>
  <c r="E192" i="2"/>
  <c r="G192" i="2"/>
  <c r="M37" i="14"/>
  <c r="E218" i="2" a="1"/>
  <c r="E218" i="2"/>
  <c r="G218" i="2"/>
  <c r="M49" i="14"/>
  <c r="E244" i="2" a="1"/>
  <c r="E244" i="2"/>
  <c r="G244" i="2"/>
  <c r="M61" i="14"/>
  <c r="E270" i="2" a="1"/>
  <c r="E270" i="2"/>
  <c r="G270" i="2"/>
  <c r="M73" i="14"/>
  <c r="M11" i="14"/>
  <c r="M4" i="14"/>
  <c r="Q11" i="14"/>
  <c r="O37" i="14"/>
  <c r="O49" i="14"/>
  <c r="O61" i="14"/>
  <c r="O73" i="14"/>
  <c r="O11" i="14"/>
  <c r="P11" i="14"/>
  <c r="C87" i="14"/>
  <c r="E149" i="11" a="1"/>
  <c r="E149" i="11"/>
  <c r="H149" i="11"/>
  <c r="K149" i="11"/>
  <c r="M32" i="14"/>
  <c r="E169" i="11" a="1"/>
  <c r="E169" i="11"/>
  <c r="H169" i="11"/>
  <c r="K169" i="11"/>
  <c r="M56" i="14"/>
  <c r="M6" i="14"/>
  <c r="Q6" i="14"/>
  <c r="C82" i="14"/>
  <c r="M5" i="14"/>
  <c r="Q5" i="14"/>
  <c r="C81" i="14"/>
  <c r="N9" i="8"/>
  <c r="F172" i="10"/>
  <c r="H151" i="10"/>
  <c r="F182" i="10"/>
  <c r="F157" i="10"/>
  <c r="H155" i="10"/>
  <c r="I31" i="14"/>
  <c r="I43" i="14"/>
  <c r="I55" i="14"/>
  <c r="I67" i="14"/>
  <c r="I5" i="14"/>
  <c r="C31" i="14"/>
  <c r="C43" i="14"/>
  <c r="C55" i="14"/>
  <c r="C67" i="14"/>
  <c r="C5" i="14"/>
  <c r="D31" i="14"/>
  <c r="D43" i="14"/>
  <c r="D55" i="14"/>
  <c r="D67" i="14"/>
  <c r="D5" i="14"/>
  <c r="J5" i="14"/>
  <c r="D86" i="11"/>
  <c r="H86" i="11"/>
  <c r="T41" i="11"/>
  <c r="T51" i="11"/>
  <c r="U59" i="11" a="1"/>
  <c r="U59" i="11"/>
  <c r="U60" i="11"/>
  <c r="U61" i="11"/>
  <c r="T53" i="11"/>
  <c r="E86" i="11"/>
  <c r="U35" i="11"/>
  <c r="U39" i="11"/>
  <c r="U53" i="11"/>
  <c r="U55" i="11"/>
  <c r="U62" i="11"/>
  <c r="E153" i="11" a="1"/>
  <c r="E153" i="11"/>
  <c r="K153" i="11"/>
  <c r="AK32" i="14"/>
  <c r="E163" i="11" a="1"/>
  <c r="E163" i="11"/>
  <c r="K163" i="11"/>
  <c r="AK44" i="14"/>
  <c r="E173" i="11" a="1"/>
  <c r="E173" i="11"/>
  <c r="K173" i="11"/>
  <c r="AK56" i="14"/>
  <c r="E183" i="11" a="1"/>
  <c r="E183" i="11"/>
  <c r="K183" i="11"/>
  <c r="AK68" i="14"/>
  <c r="AK6" i="14"/>
  <c r="AO6" i="14"/>
  <c r="AM32" i="14"/>
  <c r="AM44" i="14"/>
  <c r="AM56" i="14"/>
  <c r="AM68" i="14"/>
  <c r="AM6" i="14"/>
  <c r="C32" i="14"/>
  <c r="C44" i="14"/>
  <c r="C56" i="14"/>
  <c r="C68" i="14"/>
  <c r="C6" i="14"/>
  <c r="D32" i="14"/>
  <c r="D44" i="14"/>
  <c r="D56" i="14"/>
  <c r="D68" i="14"/>
  <c r="D6" i="14"/>
  <c r="AN6" i="14"/>
  <c r="G82" i="14"/>
  <c r="U51" i="12" a="1"/>
  <c r="U51" i="12"/>
  <c r="U52" i="12"/>
  <c r="U53" i="12"/>
  <c r="D29" i="12" a="1"/>
  <c r="D29" i="12"/>
  <c r="E75" i="12"/>
  <c r="U29" i="12"/>
  <c r="U33" i="12"/>
  <c r="U45" i="12"/>
  <c r="U47" i="12"/>
  <c r="U54" i="12"/>
  <c r="E118" i="12" a="1"/>
  <c r="E118" i="12"/>
  <c r="K118" i="12"/>
  <c r="AK33" i="14"/>
  <c r="E128" i="12" a="1"/>
  <c r="E128" i="12"/>
  <c r="K128" i="12"/>
  <c r="AK45" i="14"/>
  <c r="E138" i="12" a="1"/>
  <c r="E138" i="12"/>
  <c r="K138" i="12"/>
  <c r="AK57" i="14"/>
  <c r="E148" i="12" a="1"/>
  <c r="E148" i="12"/>
  <c r="K148" i="12"/>
  <c r="AK69" i="14"/>
  <c r="AK7" i="14"/>
  <c r="AO7" i="14"/>
  <c r="AM33" i="14"/>
  <c r="AM45" i="14"/>
  <c r="AM57" i="14"/>
  <c r="AM69" i="14"/>
  <c r="AM7" i="14"/>
  <c r="C33" i="14"/>
  <c r="C45" i="14"/>
  <c r="C57" i="14"/>
  <c r="C69" i="14"/>
  <c r="C7" i="14"/>
  <c r="O33" i="14"/>
  <c r="O45" i="14"/>
  <c r="O57" i="14"/>
  <c r="O69" i="14"/>
  <c r="O7" i="14"/>
  <c r="I33" i="14"/>
  <c r="I45" i="14"/>
  <c r="I57" i="14"/>
  <c r="I69" i="14"/>
  <c r="I7" i="14"/>
  <c r="D33" i="14"/>
  <c r="D45" i="14"/>
  <c r="D57" i="14"/>
  <c r="D69" i="14"/>
  <c r="D7" i="14"/>
  <c r="AN7" i="14"/>
  <c r="G83" i="14"/>
  <c r="U65" i="13" a="1"/>
  <c r="U65" i="13"/>
  <c r="U66" i="13"/>
  <c r="U67" i="13"/>
  <c r="D39" i="13" a="1"/>
  <c r="D39" i="13"/>
  <c r="D96" i="13"/>
  <c r="H96" i="13"/>
  <c r="T47" i="13"/>
  <c r="E96" i="13"/>
  <c r="U39" i="13"/>
  <c r="U45" i="13"/>
  <c r="U59" i="13"/>
  <c r="T57" i="13"/>
  <c r="T59" i="13"/>
  <c r="U61" i="13"/>
  <c r="U68" i="13"/>
  <c r="E176" i="13" a="1"/>
  <c r="E176" i="13"/>
  <c r="K176" i="13"/>
  <c r="L176" i="13"/>
  <c r="AK34" i="14"/>
  <c r="E186" i="13" a="1"/>
  <c r="E186" i="13"/>
  <c r="K186" i="13"/>
  <c r="L186" i="13"/>
  <c r="AK46" i="14"/>
  <c r="AK58" i="14"/>
  <c r="E206" i="13" a="1"/>
  <c r="E206" i="13"/>
  <c r="K206" i="13"/>
  <c r="L206" i="13"/>
  <c r="AK70" i="14"/>
  <c r="AK8" i="14"/>
  <c r="AO8" i="14"/>
  <c r="AM34" i="14"/>
  <c r="AM46" i="14"/>
  <c r="AM58" i="14"/>
  <c r="AM70" i="14"/>
  <c r="AM8" i="14"/>
  <c r="C34" i="14"/>
  <c r="C46" i="14"/>
  <c r="C58" i="14"/>
  <c r="C70" i="14"/>
  <c r="C8" i="14"/>
  <c r="D34" i="14"/>
  <c r="D46" i="14"/>
  <c r="D58" i="14"/>
  <c r="D70" i="14"/>
  <c r="D8" i="14"/>
  <c r="AN8" i="14"/>
  <c r="G84" i="14"/>
  <c r="AQ59" i="2"/>
  <c r="AN46" i="2"/>
  <c r="AR48" i="2"/>
  <c r="AR60" i="2"/>
  <c r="E180" i="2" a="1"/>
  <c r="E180" i="2"/>
  <c r="G180" i="2"/>
  <c r="AK35" i="14"/>
  <c r="E206" i="2" a="1"/>
  <c r="E206" i="2"/>
  <c r="G206" i="2"/>
  <c r="AK47" i="14"/>
  <c r="E232" i="2" a="1"/>
  <c r="E232" i="2"/>
  <c r="G232" i="2"/>
  <c r="AK59" i="14"/>
  <c r="E258" i="2" a="1"/>
  <c r="E258" i="2"/>
  <c r="G258" i="2"/>
  <c r="AK71" i="14"/>
  <c r="AK9" i="14"/>
  <c r="AO9" i="14"/>
  <c r="AM35" i="14"/>
  <c r="AM47" i="14"/>
  <c r="AM59" i="14"/>
  <c r="AM71" i="14"/>
  <c r="AM9" i="14"/>
  <c r="C35" i="14"/>
  <c r="C47" i="14"/>
  <c r="C59" i="14"/>
  <c r="C71" i="14"/>
  <c r="C9" i="14"/>
  <c r="D35" i="14"/>
  <c r="D47" i="14"/>
  <c r="D59" i="14"/>
  <c r="D71" i="14"/>
  <c r="D9" i="14"/>
  <c r="AN9" i="14"/>
  <c r="G85" i="14"/>
  <c r="AR58" i="2"/>
  <c r="AR59" i="2"/>
  <c r="AO46" i="2"/>
  <c r="AR49" i="2"/>
  <c r="AR61" i="2"/>
  <c r="E188" i="2" a="1"/>
  <c r="E188" i="2"/>
  <c r="G188" i="2"/>
  <c r="AK36" i="14"/>
  <c r="E214" i="2" a="1"/>
  <c r="E214" i="2"/>
  <c r="G214" i="2"/>
  <c r="AK48" i="14"/>
  <c r="E240" i="2" a="1"/>
  <c r="E240" i="2"/>
  <c r="G240" i="2"/>
  <c r="AK60" i="14"/>
  <c r="E266" i="2" a="1"/>
  <c r="E266" i="2"/>
  <c r="G266" i="2"/>
  <c r="AK72" i="14"/>
  <c r="AK10" i="14"/>
  <c r="AO10" i="14"/>
  <c r="AM36" i="14"/>
  <c r="AM48" i="14"/>
  <c r="AM60" i="14"/>
  <c r="AM72" i="14"/>
  <c r="AM10" i="14"/>
  <c r="C36" i="14"/>
  <c r="C48" i="14"/>
  <c r="C60" i="14"/>
  <c r="C72" i="14"/>
  <c r="C10" i="14"/>
  <c r="D36" i="14"/>
  <c r="D48" i="14"/>
  <c r="D60" i="14"/>
  <c r="D72" i="14"/>
  <c r="D10" i="14"/>
  <c r="AN10" i="14"/>
  <c r="G86" i="14"/>
  <c r="F177" i="10"/>
  <c r="F187" i="10"/>
  <c r="F197" i="10"/>
  <c r="AM31" i="14"/>
  <c r="AM43" i="14"/>
  <c r="AM55" i="14"/>
  <c r="AM67" i="14"/>
  <c r="AM5" i="14"/>
  <c r="AN5" i="14"/>
  <c r="D85" i="11"/>
  <c r="H85" i="11"/>
  <c r="Q41" i="11"/>
  <c r="Q51" i="11"/>
  <c r="R59" i="11" a="1"/>
  <c r="R59" i="11"/>
  <c r="R60" i="11"/>
  <c r="R61" i="11"/>
  <c r="Q53" i="11"/>
  <c r="E85" i="11"/>
  <c r="R34" i="11"/>
  <c r="R39" i="11"/>
  <c r="R53" i="11"/>
  <c r="R55" i="11"/>
  <c r="R62" i="11"/>
  <c r="E152" i="11" a="1"/>
  <c r="E152" i="11"/>
  <c r="K152" i="11"/>
  <c r="AE32" i="14"/>
  <c r="E162" i="11" a="1"/>
  <c r="E162" i="11"/>
  <c r="K162" i="11"/>
  <c r="AE44" i="14"/>
  <c r="E172" i="11" a="1"/>
  <c r="E172" i="11"/>
  <c r="K172" i="11"/>
  <c r="AE56" i="14"/>
  <c r="E182" i="11" a="1"/>
  <c r="E182" i="11"/>
  <c r="K182" i="11"/>
  <c r="AE68" i="14"/>
  <c r="AE6" i="14"/>
  <c r="AI6" i="14"/>
  <c r="AG32" i="14"/>
  <c r="AG44" i="14"/>
  <c r="AG56" i="14"/>
  <c r="AG68" i="14"/>
  <c r="AG6" i="14"/>
  <c r="AH6" i="14"/>
  <c r="F82" i="14"/>
  <c r="R51" i="12" a="1"/>
  <c r="R51" i="12"/>
  <c r="R52" i="12"/>
  <c r="R53" i="12"/>
  <c r="E74" i="12"/>
  <c r="R28" i="12"/>
  <c r="R33" i="12"/>
  <c r="R45" i="12"/>
  <c r="R47" i="12"/>
  <c r="R54" i="12"/>
  <c r="E117" i="12" a="1"/>
  <c r="E117" i="12"/>
  <c r="K117" i="12"/>
  <c r="AE33" i="14"/>
  <c r="E127" i="12" a="1"/>
  <c r="E127" i="12"/>
  <c r="K127" i="12"/>
  <c r="AE45" i="14"/>
  <c r="E137" i="12" a="1"/>
  <c r="E137" i="12"/>
  <c r="K137" i="12"/>
  <c r="AE57" i="14"/>
  <c r="E147" i="12" a="1"/>
  <c r="E147" i="12"/>
  <c r="K147" i="12"/>
  <c r="AE69" i="14"/>
  <c r="AE7" i="14"/>
  <c r="AI7" i="14"/>
  <c r="AG33" i="14"/>
  <c r="AG45" i="14"/>
  <c r="AG57" i="14"/>
  <c r="AG69" i="14"/>
  <c r="AG7" i="14"/>
  <c r="AH7" i="14"/>
  <c r="F83" i="14"/>
  <c r="E175" i="13" a="1"/>
  <c r="E175" i="13"/>
  <c r="K175" i="13"/>
  <c r="L175" i="13"/>
  <c r="AE34" i="14"/>
  <c r="E185" i="13" a="1"/>
  <c r="E185" i="13"/>
  <c r="K185" i="13"/>
  <c r="L185" i="13"/>
  <c r="AE46" i="14"/>
  <c r="E196" i="13" a="1"/>
  <c r="E196" i="13"/>
  <c r="K196" i="13"/>
  <c r="L196" i="13"/>
  <c r="AE58" i="14"/>
  <c r="E205" i="13" a="1"/>
  <c r="E205" i="13"/>
  <c r="K205" i="13"/>
  <c r="L205" i="13"/>
  <c r="AE70" i="14"/>
  <c r="AE8" i="14"/>
  <c r="AI8" i="14"/>
  <c r="AG34" i="14"/>
  <c r="AG46" i="14"/>
  <c r="AG58" i="14"/>
  <c r="AG70" i="14"/>
  <c r="AG8" i="14"/>
  <c r="AH8" i="14"/>
  <c r="F84" i="14"/>
  <c r="AG35" i="14"/>
  <c r="AG47" i="14"/>
  <c r="AG59" i="14"/>
  <c r="AG71" i="14"/>
  <c r="AG9" i="14"/>
  <c r="AH9" i="14"/>
  <c r="AK58" i="2"/>
  <c r="AK59" i="2"/>
  <c r="AH46" i="2"/>
  <c r="AK49" i="2"/>
  <c r="AK61" i="2"/>
  <c r="E187" i="2" a="1"/>
  <c r="E187" i="2"/>
  <c r="G187" i="2"/>
  <c r="AE36" i="14"/>
  <c r="E213" i="2" a="1"/>
  <c r="E213" i="2"/>
  <c r="G213" i="2"/>
  <c r="AE48" i="14"/>
  <c r="E239" i="2" a="1"/>
  <c r="E239" i="2"/>
  <c r="G239" i="2"/>
  <c r="AE60" i="14"/>
  <c r="E265" i="2" a="1"/>
  <c r="E265" i="2"/>
  <c r="G265" i="2"/>
  <c r="AE72" i="14"/>
  <c r="AE10" i="14"/>
  <c r="AI10" i="14"/>
  <c r="AG36" i="14"/>
  <c r="AG48" i="14"/>
  <c r="AG60" i="14"/>
  <c r="AG72" i="14"/>
  <c r="AG10" i="14"/>
  <c r="AH10" i="14"/>
  <c r="F86" i="14"/>
  <c r="F176" i="10"/>
  <c r="F186" i="10"/>
  <c r="F196" i="10"/>
  <c r="AG31" i="14"/>
  <c r="AG43" i="14"/>
  <c r="AG55" i="14"/>
  <c r="AG67" i="14"/>
  <c r="AG5" i="14"/>
  <c r="AH5" i="14"/>
  <c r="D84" i="11"/>
  <c r="H84" i="11"/>
  <c r="N41" i="11"/>
  <c r="N51" i="11"/>
  <c r="O59" i="11" a="1"/>
  <c r="O59" i="11"/>
  <c r="O60" i="11"/>
  <c r="O61" i="11"/>
  <c r="N53" i="11"/>
  <c r="E84" i="11"/>
  <c r="O34" i="11"/>
  <c r="O39" i="11"/>
  <c r="O53" i="11"/>
  <c r="O55" i="11"/>
  <c r="O62" i="11"/>
  <c r="E151" i="11" a="1"/>
  <c r="E151" i="11"/>
  <c r="K151" i="11"/>
  <c r="Y32" i="14"/>
  <c r="E161" i="11" a="1"/>
  <c r="E161" i="11"/>
  <c r="K161" i="11"/>
  <c r="Y44" i="14"/>
  <c r="E171" i="11" a="1"/>
  <c r="E171" i="11"/>
  <c r="K171" i="11"/>
  <c r="Y56" i="14"/>
  <c r="E181" i="11" a="1"/>
  <c r="E181" i="11"/>
  <c r="K181" i="11"/>
  <c r="Y68" i="14"/>
  <c r="Y6" i="14"/>
  <c r="AC6" i="14"/>
  <c r="AA32" i="14"/>
  <c r="AA44" i="14"/>
  <c r="AA56" i="14"/>
  <c r="AA68" i="14"/>
  <c r="AA6" i="14"/>
  <c r="AB6" i="14"/>
  <c r="E82" i="14"/>
  <c r="O51" i="12" a="1"/>
  <c r="O51" i="12"/>
  <c r="O52" i="12"/>
  <c r="O53" i="12"/>
  <c r="E73" i="12"/>
  <c r="O28" i="12"/>
  <c r="O33" i="12"/>
  <c r="O45" i="12"/>
  <c r="O47" i="12"/>
  <c r="O54" i="12"/>
  <c r="E116" i="12" a="1"/>
  <c r="E116" i="12"/>
  <c r="K116" i="12"/>
  <c r="Y33" i="14"/>
  <c r="E126" i="12" a="1"/>
  <c r="E126" i="12"/>
  <c r="K126" i="12"/>
  <c r="Y45" i="14"/>
  <c r="E136" i="12" a="1"/>
  <c r="E136" i="12"/>
  <c r="K136" i="12"/>
  <c r="Y57" i="14"/>
  <c r="E146" i="12" a="1"/>
  <c r="E146" i="12"/>
  <c r="K146" i="12"/>
  <c r="Y69" i="14"/>
  <c r="Y7" i="14"/>
  <c r="AC7" i="14"/>
  <c r="AA33" i="14"/>
  <c r="AA45" i="14"/>
  <c r="AA57" i="14"/>
  <c r="AA69" i="14"/>
  <c r="AA7" i="14"/>
  <c r="AB7" i="14"/>
  <c r="E83" i="14"/>
  <c r="AA34" i="14"/>
  <c r="AA46" i="14"/>
  <c r="AA58" i="14"/>
  <c r="AA70" i="14"/>
  <c r="AA8" i="14"/>
  <c r="AB8" i="14"/>
  <c r="AC59" i="2"/>
  <c r="Z46" i="2"/>
  <c r="AD48" i="2"/>
  <c r="AD60" i="2"/>
  <c r="E178" i="2" a="1"/>
  <c r="E178" i="2"/>
  <c r="G178" i="2"/>
  <c r="Y35" i="14"/>
  <c r="E204" i="2" a="1"/>
  <c r="E204" i="2"/>
  <c r="G204" i="2"/>
  <c r="Y47" i="14"/>
  <c r="E230" i="2" a="1"/>
  <c r="E230" i="2"/>
  <c r="G230" i="2"/>
  <c r="Y59" i="14"/>
  <c r="E256" i="2" a="1"/>
  <c r="E256" i="2"/>
  <c r="G256" i="2"/>
  <c r="Y71" i="14"/>
  <c r="Y9" i="14"/>
  <c r="AC9" i="14"/>
  <c r="AA35" i="14"/>
  <c r="AA47" i="14"/>
  <c r="AA59" i="14"/>
  <c r="AA71" i="14"/>
  <c r="AA9" i="14"/>
  <c r="AB9" i="14"/>
  <c r="E85" i="14"/>
  <c r="AD58" i="2"/>
  <c r="AD59" i="2"/>
  <c r="AA46" i="2"/>
  <c r="AD49" i="2"/>
  <c r="AD61" i="2"/>
  <c r="E186" i="2" a="1"/>
  <c r="E186" i="2"/>
  <c r="G186" i="2"/>
  <c r="Y36" i="14"/>
  <c r="E212" i="2" a="1"/>
  <c r="E212" i="2"/>
  <c r="G212" i="2"/>
  <c r="Y48" i="14"/>
  <c r="E238" i="2" a="1"/>
  <c r="E238" i="2"/>
  <c r="G238" i="2"/>
  <c r="Y60" i="14"/>
  <c r="E264" i="2" a="1"/>
  <c r="E264" i="2"/>
  <c r="G264" i="2"/>
  <c r="Y72" i="14"/>
  <c r="Y10" i="14"/>
  <c r="AC10" i="14"/>
  <c r="AA36" i="14"/>
  <c r="AA48" i="14"/>
  <c r="AA60" i="14"/>
  <c r="AA72" i="14"/>
  <c r="AA10" i="14"/>
  <c r="AB10" i="14"/>
  <c r="E86" i="14"/>
  <c r="F175" i="10"/>
  <c r="F185" i="10"/>
  <c r="F195" i="10"/>
  <c r="AA31" i="14"/>
  <c r="AA43" i="14"/>
  <c r="AA55" i="14"/>
  <c r="AA67" i="14"/>
  <c r="AA5" i="14"/>
  <c r="AB5" i="14"/>
  <c r="F174" i="10"/>
  <c r="F184" i="10"/>
  <c r="F194" i="10"/>
  <c r="U31" i="14"/>
  <c r="U43" i="14"/>
  <c r="U55" i="14"/>
  <c r="U67" i="14"/>
  <c r="U5" i="14"/>
  <c r="V5" i="14"/>
  <c r="E160" i="11" a="1"/>
  <c r="E160" i="11"/>
  <c r="K160" i="11"/>
  <c r="S44" i="14"/>
  <c r="E170" i="11" a="1"/>
  <c r="E170" i="11"/>
  <c r="K170" i="11"/>
  <c r="S56" i="14"/>
  <c r="E180" i="11" a="1"/>
  <c r="E180" i="11"/>
  <c r="K180" i="11"/>
  <c r="S68" i="14"/>
  <c r="S6" i="14"/>
  <c r="W6" i="14"/>
  <c r="U32" i="14"/>
  <c r="U44" i="14"/>
  <c r="U56" i="14"/>
  <c r="U68" i="14"/>
  <c r="U6" i="14"/>
  <c r="V6" i="14"/>
  <c r="D82" i="14"/>
  <c r="U33" i="14"/>
  <c r="U45" i="14"/>
  <c r="U57" i="14"/>
  <c r="U69" i="14"/>
  <c r="U7" i="14"/>
  <c r="V7" i="14"/>
  <c r="E183" i="13" a="1"/>
  <c r="E183" i="13"/>
  <c r="K183" i="13"/>
  <c r="L183" i="13"/>
  <c r="S46" i="14"/>
  <c r="E193" i="13" a="1"/>
  <c r="E193" i="13"/>
  <c r="K193" i="13"/>
  <c r="L193" i="13"/>
  <c r="S58" i="14"/>
  <c r="E203" i="13" a="1"/>
  <c r="E203" i="13"/>
  <c r="K203" i="13"/>
  <c r="L203" i="13"/>
  <c r="S70" i="14"/>
  <c r="S8" i="14"/>
  <c r="W8" i="14"/>
  <c r="U34" i="14"/>
  <c r="U46" i="14"/>
  <c r="U58" i="14"/>
  <c r="U70" i="14"/>
  <c r="U8" i="14"/>
  <c r="V8" i="14"/>
  <c r="D84" i="14"/>
  <c r="V59" i="2"/>
  <c r="S46" i="2"/>
  <c r="W48" i="2"/>
  <c r="W60" i="2"/>
  <c r="E177" i="2" a="1"/>
  <c r="E177" i="2"/>
  <c r="G177" i="2"/>
  <c r="S35" i="14"/>
  <c r="E203" i="2" a="1"/>
  <c r="E203" i="2"/>
  <c r="G203" i="2"/>
  <c r="S47" i="14"/>
  <c r="E229" i="2" a="1"/>
  <c r="E229" i="2"/>
  <c r="G229" i="2"/>
  <c r="S59" i="14"/>
  <c r="E255" i="2" a="1"/>
  <c r="E255" i="2"/>
  <c r="G255" i="2"/>
  <c r="S71" i="14"/>
  <c r="S9" i="14"/>
  <c r="W9" i="14"/>
  <c r="U35" i="14"/>
  <c r="U47" i="14"/>
  <c r="U59" i="14"/>
  <c r="U71" i="14"/>
  <c r="U9" i="14"/>
  <c r="V9" i="14"/>
  <c r="D85" i="14"/>
  <c r="W58" i="2"/>
  <c r="W59" i="2"/>
  <c r="T46" i="2"/>
  <c r="W49" i="2"/>
  <c r="W61" i="2"/>
  <c r="E185" i="2" a="1"/>
  <c r="E185" i="2"/>
  <c r="G185" i="2"/>
  <c r="S36" i="14"/>
  <c r="E211" i="2" a="1"/>
  <c r="E211" i="2"/>
  <c r="G211" i="2"/>
  <c r="S48" i="14"/>
  <c r="E237" i="2" a="1"/>
  <c r="E237" i="2"/>
  <c r="G237" i="2"/>
  <c r="S60" i="14"/>
  <c r="E263" i="2" a="1"/>
  <c r="E263" i="2"/>
  <c r="G263" i="2"/>
  <c r="S72" i="14"/>
  <c r="S10" i="14"/>
  <c r="W10" i="14"/>
  <c r="U36" i="14"/>
  <c r="U48" i="14"/>
  <c r="U60" i="14"/>
  <c r="U72" i="14"/>
  <c r="U10" i="14"/>
  <c r="V10" i="14"/>
  <c r="D86" i="14"/>
  <c r="O32" i="14"/>
  <c r="O44" i="14"/>
  <c r="O56" i="14"/>
  <c r="O68" i="14"/>
  <c r="O6" i="14"/>
  <c r="P6" i="14"/>
  <c r="M33" i="14"/>
  <c r="M45" i="14"/>
  <c r="M57" i="14"/>
  <c r="M69" i="14"/>
  <c r="M7" i="14"/>
  <c r="Q7" i="14"/>
  <c r="C83" i="14"/>
  <c r="I65" i="13" a="1"/>
  <c r="I65" i="13"/>
  <c r="I66" i="13"/>
  <c r="I67" i="13"/>
  <c r="D92" i="13"/>
  <c r="H92" i="13"/>
  <c r="H47" i="13"/>
  <c r="E92" i="13"/>
  <c r="H48" i="13"/>
  <c r="H57" i="13"/>
  <c r="H59" i="13"/>
  <c r="I37" i="13"/>
  <c r="I45" i="13"/>
  <c r="I59" i="13"/>
  <c r="I61" i="13"/>
  <c r="I68" i="13"/>
  <c r="E172" i="13" a="1"/>
  <c r="E172" i="13"/>
  <c r="H172" i="13"/>
  <c r="I172" i="13"/>
  <c r="L172" i="13"/>
  <c r="M34" i="14"/>
  <c r="E182" i="13" a="1"/>
  <c r="E182" i="13"/>
  <c r="H182" i="13"/>
  <c r="I182" i="13"/>
  <c r="L182" i="13"/>
  <c r="M46" i="14"/>
  <c r="E192" i="13" a="1"/>
  <c r="E192" i="13"/>
  <c r="H192" i="13"/>
  <c r="I192" i="13"/>
  <c r="L192" i="13"/>
  <c r="M58" i="14"/>
  <c r="E202" i="13" a="1"/>
  <c r="E202" i="13"/>
  <c r="H202" i="13"/>
  <c r="I202" i="13"/>
  <c r="L202" i="13"/>
  <c r="M70" i="14"/>
  <c r="M8" i="14"/>
  <c r="Q8" i="14"/>
  <c r="O34" i="14"/>
  <c r="O46" i="14"/>
  <c r="O58" i="14"/>
  <c r="O70" i="14"/>
  <c r="O8" i="14"/>
  <c r="P8" i="14"/>
  <c r="C84" i="14"/>
  <c r="O59" i="2"/>
  <c r="L46" i="2"/>
  <c r="P48" i="2"/>
  <c r="P60" i="2"/>
  <c r="E176" i="2" a="1"/>
  <c r="E176" i="2"/>
  <c r="G176" i="2"/>
  <c r="M35" i="14"/>
  <c r="E202" i="2" a="1"/>
  <c r="E202" i="2"/>
  <c r="G202" i="2"/>
  <c r="M47" i="14"/>
  <c r="E228" i="2" a="1"/>
  <c r="E228" i="2"/>
  <c r="G228" i="2"/>
  <c r="M59" i="14"/>
  <c r="E254" i="2" a="1"/>
  <c r="E254" i="2"/>
  <c r="G254" i="2"/>
  <c r="M71" i="14"/>
  <c r="M9" i="14"/>
  <c r="Q9" i="14"/>
  <c r="O35" i="14"/>
  <c r="O47" i="14"/>
  <c r="O59" i="14"/>
  <c r="O71" i="14"/>
  <c r="O9" i="14"/>
  <c r="P9" i="14"/>
  <c r="C85" i="14"/>
  <c r="P58" i="2"/>
  <c r="P59" i="2"/>
  <c r="M46" i="2"/>
  <c r="P49" i="2"/>
  <c r="P61" i="2"/>
  <c r="E184" i="2" a="1"/>
  <c r="E184" i="2"/>
  <c r="G184" i="2"/>
  <c r="M36" i="14"/>
  <c r="E210" i="2" a="1"/>
  <c r="E210" i="2"/>
  <c r="G210" i="2"/>
  <c r="M48" i="14"/>
  <c r="E236" i="2" a="1"/>
  <c r="E236" i="2"/>
  <c r="G236" i="2"/>
  <c r="M60" i="14"/>
  <c r="E262" i="2" a="1"/>
  <c r="E262" i="2"/>
  <c r="G262" i="2"/>
  <c r="M72" i="14"/>
  <c r="M10" i="14"/>
  <c r="Q10" i="14"/>
  <c r="O36" i="14"/>
  <c r="O48" i="14"/>
  <c r="O60" i="14"/>
  <c r="O72" i="14"/>
  <c r="O10" i="14"/>
  <c r="P10" i="14"/>
  <c r="C86" i="14"/>
  <c r="F173" i="10"/>
  <c r="F183" i="10"/>
  <c r="F193" i="10"/>
  <c r="O31" i="14"/>
  <c r="O43" i="14"/>
  <c r="O55" i="14"/>
  <c r="O67" i="14"/>
  <c r="O5" i="14"/>
  <c r="P5" i="14"/>
  <c r="D81" i="11"/>
  <c r="H81" i="11"/>
  <c r="E41" i="11"/>
  <c r="E81" i="11"/>
  <c r="E42" i="11"/>
  <c r="E51" i="11"/>
  <c r="F59" i="11" a="1"/>
  <c r="F59" i="11"/>
  <c r="F60" i="11"/>
  <c r="F61" i="11"/>
  <c r="E53" i="11"/>
  <c r="F55" i="11"/>
  <c r="F62" i="11"/>
  <c r="E148" i="11" a="1"/>
  <c r="E148" i="11"/>
  <c r="H148" i="11"/>
  <c r="K148" i="11"/>
  <c r="G32" i="14"/>
  <c r="E158" i="11" a="1"/>
  <c r="E158" i="11"/>
  <c r="H158" i="11"/>
  <c r="K158" i="11"/>
  <c r="G44" i="14"/>
  <c r="E168" i="11" a="1"/>
  <c r="E168" i="11"/>
  <c r="H168" i="11"/>
  <c r="K168" i="11"/>
  <c r="G56" i="14"/>
  <c r="E178" i="11" a="1"/>
  <c r="E178" i="11"/>
  <c r="H178" i="11"/>
  <c r="K178" i="11"/>
  <c r="G68" i="14"/>
  <c r="G6" i="14"/>
  <c r="K6" i="14"/>
  <c r="I32" i="14"/>
  <c r="I44" i="14"/>
  <c r="I56" i="14"/>
  <c r="I68" i="14"/>
  <c r="I6" i="14"/>
  <c r="J6" i="14"/>
  <c r="B82" i="14"/>
  <c r="G33" i="14"/>
  <c r="G45" i="14"/>
  <c r="G57" i="14"/>
  <c r="G69" i="14"/>
  <c r="G7" i="14"/>
  <c r="K7" i="14"/>
  <c r="B83" i="14"/>
  <c r="F66" i="13"/>
  <c r="I34" i="14"/>
  <c r="I46" i="14"/>
  <c r="I58" i="14"/>
  <c r="I70" i="14"/>
  <c r="I8" i="14"/>
  <c r="J8" i="14"/>
  <c r="H59" i="2"/>
  <c r="E46" i="2"/>
  <c r="I48" i="2"/>
  <c r="I60" i="2"/>
  <c r="E175" i="2" a="1"/>
  <c r="E175" i="2"/>
  <c r="G175" i="2"/>
  <c r="G35" i="14"/>
  <c r="E201" i="2" a="1"/>
  <c r="E201" i="2"/>
  <c r="G201" i="2"/>
  <c r="G47" i="14"/>
  <c r="E227" i="2" a="1"/>
  <c r="E227" i="2"/>
  <c r="G227" i="2"/>
  <c r="G59" i="14"/>
  <c r="E253" i="2" a="1"/>
  <c r="E253" i="2"/>
  <c r="G253" i="2"/>
  <c r="G71" i="14"/>
  <c r="G9" i="14"/>
  <c r="K9" i="14"/>
  <c r="I35" i="14"/>
  <c r="I47" i="14"/>
  <c r="I59" i="14"/>
  <c r="I71" i="14"/>
  <c r="I9" i="14"/>
  <c r="J9" i="14"/>
  <c r="B85" i="14"/>
  <c r="I36" i="14"/>
  <c r="I48" i="14"/>
  <c r="I60" i="14"/>
  <c r="I72" i="14"/>
  <c r="I10" i="14"/>
  <c r="J10" i="14"/>
  <c r="AL37" i="14"/>
  <c r="AL49" i="14"/>
  <c r="AL61" i="14"/>
  <c r="AL73" i="14"/>
  <c r="AL11" i="14"/>
  <c r="AL36" i="14"/>
  <c r="AL48" i="14"/>
  <c r="AL60" i="14"/>
  <c r="AL72" i="14"/>
  <c r="AL10" i="14"/>
  <c r="AL35" i="14"/>
  <c r="AL47" i="14"/>
  <c r="AL59" i="14"/>
  <c r="AL71" i="14"/>
  <c r="AL9" i="14"/>
  <c r="AL34" i="14"/>
  <c r="AL46" i="14"/>
  <c r="AL58" i="14"/>
  <c r="AL70" i="14"/>
  <c r="AL8" i="14"/>
  <c r="AL33" i="14"/>
  <c r="AL45" i="14"/>
  <c r="AL57" i="14"/>
  <c r="AL69" i="14"/>
  <c r="AL7" i="14"/>
  <c r="AL32" i="14"/>
  <c r="AL44" i="14"/>
  <c r="AL56" i="14"/>
  <c r="AL68" i="14"/>
  <c r="AL6" i="14"/>
  <c r="AL31" i="14"/>
  <c r="AL43" i="14"/>
  <c r="AL55" i="14"/>
  <c r="AL67" i="14"/>
  <c r="AL5" i="14"/>
  <c r="AM30" i="14"/>
  <c r="AM42" i="14"/>
  <c r="AM54" i="14"/>
  <c r="AM66" i="14"/>
  <c r="AM4" i="14"/>
  <c r="AL30" i="14"/>
  <c r="AL42" i="14"/>
  <c r="AL54" i="14"/>
  <c r="AL66" i="14"/>
  <c r="AL4" i="14"/>
  <c r="AF37" i="14"/>
  <c r="AF49" i="14"/>
  <c r="AF61" i="14"/>
  <c r="AF73" i="14"/>
  <c r="AF11" i="14"/>
  <c r="AF36" i="14"/>
  <c r="AF48" i="14"/>
  <c r="AF60" i="14"/>
  <c r="AF72" i="14"/>
  <c r="AF10" i="14"/>
  <c r="AF35" i="14"/>
  <c r="AF47" i="14"/>
  <c r="AF59" i="14"/>
  <c r="AF71" i="14"/>
  <c r="AF9" i="14"/>
  <c r="AF34" i="14"/>
  <c r="AF46" i="14"/>
  <c r="AF58" i="14"/>
  <c r="AF70" i="14"/>
  <c r="AF8" i="14"/>
  <c r="AF33" i="14"/>
  <c r="AF45" i="14"/>
  <c r="AF57" i="14"/>
  <c r="AF69" i="14"/>
  <c r="AF7" i="14"/>
  <c r="AF32" i="14"/>
  <c r="AF44" i="14"/>
  <c r="AF56" i="14"/>
  <c r="AF68" i="14"/>
  <c r="AF6" i="14"/>
  <c r="AF31" i="14"/>
  <c r="AF43" i="14"/>
  <c r="AF55" i="14"/>
  <c r="AF67" i="14"/>
  <c r="AF5" i="14"/>
  <c r="AG30" i="14"/>
  <c r="AG42" i="14"/>
  <c r="AG54" i="14"/>
  <c r="AG66" i="14"/>
  <c r="AG4" i="14"/>
  <c r="AF30" i="14"/>
  <c r="AF42" i="14"/>
  <c r="AF54" i="14"/>
  <c r="AF66" i="14"/>
  <c r="AF4" i="14"/>
  <c r="Z37" i="14"/>
  <c r="Z49" i="14"/>
  <c r="Z61" i="14"/>
  <c r="Z73" i="14"/>
  <c r="Z11" i="14"/>
  <c r="Z36" i="14"/>
  <c r="Z48" i="14"/>
  <c r="Z60" i="14"/>
  <c r="Z72" i="14"/>
  <c r="Z10" i="14"/>
  <c r="Z35" i="14"/>
  <c r="Z47" i="14"/>
  <c r="Z59" i="14"/>
  <c r="Z71" i="14"/>
  <c r="Z9" i="14"/>
  <c r="Z34" i="14"/>
  <c r="Z46" i="14"/>
  <c r="Z58" i="14"/>
  <c r="Z70" i="14"/>
  <c r="Z8" i="14"/>
  <c r="Z33" i="14"/>
  <c r="Z45" i="14"/>
  <c r="Z57" i="14"/>
  <c r="Z69" i="14"/>
  <c r="Z7" i="14"/>
  <c r="Z32" i="14"/>
  <c r="Z44" i="14"/>
  <c r="Z56" i="14"/>
  <c r="Z68" i="14"/>
  <c r="Z6" i="14"/>
  <c r="Z31" i="14"/>
  <c r="Z43" i="14"/>
  <c r="Z55" i="14"/>
  <c r="Z67" i="14"/>
  <c r="Z5" i="14"/>
  <c r="AA30" i="14"/>
  <c r="AA42" i="14"/>
  <c r="AA54" i="14"/>
  <c r="AA66" i="14"/>
  <c r="AA4" i="14"/>
  <c r="Z30" i="14"/>
  <c r="Z4" i="14"/>
  <c r="T37" i="14"/>
  <c r="T49" i="14"/>
  <c r="T61" i="14"/>
  <c r="T73" i="14"/>
  <c r="T11" i="14"/>
  <c r="T36" i="14"/>
  <c r="T48" i="14"/>
  <c r="T60" i="14"/>
  <c r="T72" i="14"/>
  <c r="T10" i="14"/>
  <c r="T35" i="14"/>
  <c r="T47" i="14"/>
  <c r="T59" i="14"/>
  <c r="T71" i="14"/>
  <c r="T9" i="14"/>
  <c r="T34" i="14"/>
  <c r="T46" i="14"/>
  <c r="T58" i="14"/>
  <c r="T70" i="14"/>
  <c r="T8" i="14"/>
  <c r="T33" i="14"/>
  <c r="T45" i="14"/>
  <c r="T57" i="14"/>
  <c r="T69" i="14"/>
  <c r="T7" i="14"/>
  <c r="T32" i="14"/>
  <c r="T44" i="14"/>
  <c r="T56" i="14"/>
  <c r="T68" i="14"/>
  <c r="T6" i="14"/>
  <c r="T31" i="14"/>
  <c r="T43" i="14"/>
  <c r="T55" i="14"/>
  <c r="T67" i="14"/>
  <c r="T5" i="14"/>
  <c r="U30" i="14"/>
  <c r="U42" i="14"/>
  <c r="U54" i="14"/>
  <c r="U66" i="14"/>
  <c r="U4" i="14"/>
  <c r="T30" i="14"/>
  <c r="T4" i="14"/>
  <c r="N37" i="14"/>
  <c r="N49" i="14"/>
  <c r="N61" i="14"/>
  <c r="N73" i="14"/>
  <c r="N11" i="14"/>
  <c r="N36" i="14"/>
  <c r="N48" i="14"/>
  <c r="N60" i="14"/>
  <c r="N72" i="14"/>
  <c r="N10" i="14"/>
  <c r="N35" i="14"/>
  <c r="N47" i="14"/>
  <c r="N59" i="14"/>
  <c r="N71" i="14"/>
  <c r="N9" i="14"/>
  <c r="N34" i="14"/>
  <c r="N46" i="14"/>
  <c r="N58" i="14"/>
  <c r="N70" i="14"/>
  <c r="N8" i="14"/>
  <c r="N45" i="14"/>
  <c r="N57" i="14"/>
  <c r="N69" i="14"/>
  <c r="N7" i="14"/>
  <c r="N32" i="14"/>
  <c r="N44" i="14"/>
  <c r="N56" i="14"/>
  <c r="N68" i="14"/>
  <c r="N6" i="14"/>
  <c r="N31" i="14"/>
  <c r="N43" i="14"/>
  <c r="N55" i="14"/>
  <c r="N67" i="14"/>
  <c r="N5" i="14"/>
  <c r="P4" i="14"/>
  <c r="O30" i="14"/>
  <c r="O42" i="14"/>
  <c r="O54" i="14"/>
  <c r="O66" i="14"/>
  <c r="O4" i="14"/>
  <c r="N30" i="14"/>
  <c r="N42" i="14"/>
  <c r="N54" i="14"/>
  <c r="N66" i="14"/>
  <c r="N4" i="14"/>
  <c r="M21" i="8"/>
  <c r="F21" i="8"/>
  <c r="G20" i="8"/>
  <c r="G21" i="8"/>
  <c r="N20" i="8"/>
  <c r="N21" i="8"/>
  <c r="H37" i="14"/>
  <c r="H49" i="14"/>
  <c r="H61" i="14"/>
  <c r="H73" i="14"/>
  <c r="H11" i="14"/>
  <c r="H36" i="14"/>
  <c r="H48" i="14"/>
  <c r="H60" i="14"/>
  <c r="H72" i="14"/>
  <c r="H10" i="14"/>
  <c r="H35" i="14"/>
  <c r="H47" i="14"/>
  <c r="H59" i="14"/>
  <c r="H71" i="14"/>
  <c r="H9" i="14"/>
  <c r="H34" i="14"/>
  <c r="H46" i="14"/>
  <c r="H58" i="14"/>
  <c r="H70" i="14"/>
  <c r="H8" i="14"/>
  <c r="H33" i="14"/>
  <c r="H57" i="14"/>
  <c r="H7" i="14"/>
  <c r="H32" i="14"/>
  <c r="H44" i="14"/>
  <c r="H56" i="14"/>
  <c r="H68" i="14"/>
  <c r="H6" i="14"/>
  <c r="H31" i="14"/>
  <c r="H43" i="14"/>
  <c r="H55" i="14"/>
  <c r="H67" i="14"/>
  <c r="H5" i="14"/>
  <c r="J4" i="14"/>
  <c r="I30" i="14"/>
  <c r="I42" i="14"/>
  <c r="I54" i="14"/>
  <c r="I66" i="14"/>
  <c r="I4" i="14"/>
  <c r="H30" i="14"/>
  <c r="H42" i="14"/>
  <c r="H54" i="14"/>
  <c r="H66" i="14"/>
  <c r="H4" i="14"/>
  <c r="D30" i="14"/>
  <c r="D42" i="14"/>
  <c r="D54" i="14"/>
  <c r="D66" i="14"/>
  <c r="D4" i="14"/>
  <c r="C30" i="14"/>
  <c r="C42" i="14"/>
  <c r="C54" i="14"/>
  <c r="C66" i="14"/>
  <c r="C4" i="14"/>
  <c r="AJ5" i="14"/>
  <c r="AN73" i="14"/>
  <c r="AN72" i="14"/>
  <c r="AN71" i="14"/>
  <c r="AN70" i="14"/>
  <c r="AN69" i="14"/>
  <c r="AN68" i="14"/>
  <c r="AN67" i="14"/>
  <c r="AN61" i="14"/>
  <c r="AN60" i="14"/>
  <c r="AN59" i="14"/>
  <c r="AN58" i="14"/>
  <c r="AN57" i="14"/>
  <c r="AN56" i="14"/>
  <c r="AN55" i="14"/>
  <c r="AN49" i="14"/>
  <c r="AN48" i="14"/>
  <c r="AN47" i="14"/>
  <c r="AN46" i="14"/>
  <c r="AN45" i="14"/>
  <c r="AN44" i="14"/>
  <c r="AN43" i="14"/>
  <c r="AH73" i="14"/>
  <c r="AH72" i="14"/>
  <c r="AH71" i="14"/>
  <c r="AH70" i="14"/>
  <c r="AH69" i="14"/>
  <c r="AH68" i="14"/>
  <c r="AH67" i="14"/>
  <c r="AH61" i="14"/>
  <c r="AH60" i="14"/>
  <c r="AH59" i="14"/>
  <c r="AH58" i="14"/>
  <c r="AH57" i="14"/>
  <c r="AH56" i="14"/>
  <c r="AH55" i="14"/>
  <c r="AH49" i="14"/>
  <c r="AH48" i="14"/>
  <c r="AH47" i="14"/>
  <c r="AH46" i="14"/>
  <c r="AH45" i="14"/>
  <c r="AH44" i="14"/>
  <c r="AH43" i="14"/>
  <c r="AB73" i="14"/>
  <c r="AB72" i="14"/>
  <c r="AB71" i="14"/>
  <c r="AB70" i="14"/>
  <c r="AB69" i="14"/>
  <c r="AB68" i="14"/>
  <c r="AB67" i="14"/>
  <c r="AB61" i="14"/>
  <c r="AB60" i="14"/>
  <c r="AB59" i="14"/>
  <c r="AB58" i="14"/>
  <c r="AB57" i="14"/>
  <c r="AB56" i="14"/>
  <c r="AB55" i="14"/>
  <c r="AB49" i="14"/>
  <c r="AB48" i="14"/>
  <c r="AB47" i="14"/>
  <c r="AB46" i="14"/>
  <c r="AB45" i="14"/>
  <c r="AB44" i="14"/>
  <c r="AB43" i="14"/>
  <c r="V73" i="14"/>
  <c r="V72" i="14"/>
  <c r="V71" i="14"/>
  <c r="V70" i="14"/>
  <c r="V69" i="14"/>
  <c r="V68" i="14"/>
  <c r="V67" i="14"/>
  <c r="V61" i="14"/>
  <c r="V60" i="14"/>
  <c r="V59" i="14"/>
  <c r="V58" i="14"/>
  <c r="V57" i="14"/>
  <c r="V56" i="14"/>
  <c r="V55" i="14"/>
  <c r="V49" i="14"/>
  <c r="V48" i="14"/>
  <c r="V47" i="14"/>
  <c r="V46" i="14"/>
  <c r="V45" i="14"/>
  <c r="V44" i="14"/>
  <c r="V43" i="14"/>
  <c r="P73" i="14"/>
  <c r="P72" i="14"/>
  <c r="P71" i="14"/>
  <c r="P70" i="14"/>
  <c r="P68" i="14"/>
  <c r="P67" i="14"/>
  <c r="P61" i="14"/>
  <c r="P60" i="14"/>
  <c r="P59" i="14"/>
  <c r="P58" i="14"/>
  <c r="P56" i="14"/>
  <c r="P55" i="14"/>
  <c r="P49" i="14"/>
  <c r="P48" i="14"/>
  <c r="P47" i="14"/>
  <c r="P46" i="14"/>
  <c r="P44" i="14"/>
  <c r="P43" i="14"/>
  <c r="J73" i="14"/>
  <c r="J72" i="14"/>
  <c r="J71" i="14"/>
  <c r="J70" i="14"/>
  <c r="J68" i="14"/>
  <c r="J67" i="14"/>
  <c r="J61" i="14"/>
  <c r="J60" i="14"/>
  <c r="J59" i="14"/>
  <c r="J58" i="14"/>
  <c r="J56" i="14"/>
  <c r="J55" i="14"/>
  <c r="J49" i="14"/>
  <c r="J48" i="14"/>
  <c r="J47" i="14"/>
  <c r="J46" i="14"/>
  <c r="J44" i="14"/>
  <c r="J43" i="14"/>
  <c r="AN33" i="14"/>
  <c r="AH33" i="14"/>
  <c r="AB33" i="14"/>
  <c r="V33" i="14"/>
  <c r="AN32" i="14"/>
  <c r="AN34" i="14"/>
  <c r="AN35" i="14"/>
  <c r="AN36" i="14"/>
  <c r="AN37" i="14"/>
  <c r="AN31" i="14"/>
  <c r="AH32" i="14"/>
  <c r="AH34" i="14"/>
  <c r="AH35" i="14"/>
  <c r="AH36" i="14"/>
  <c r="AH37" i="14"/>
  <c r="AH31" i="14"/>
  <c r="AB32" i="14"/>
  <c r="AB34" i="14"/>
  <c r="AB35" i="14"/>
  <c r="AB36" i="14"/>
  <c r="AB37" i="14"/>
  <c r="AB31" i="14"/>
  <c r="V32" i="14"/>
  <c r="V34" i="14"/>
  <c r="V35" i="14"/>
  <c r="V36" i="14"/>
  <c r="V37" i="14"/>
  <c r="V31" i="14"/>
  <c r="P32" i="14"/>
  <c r="P34" i="14"/>
  <c r="P35" i="14"/>
  <c r="P36" i="14"/>
  <c r="P37" i="14"/>
  <c r="P31" i="14"/>
  <c r="J32" i="14"/>
  <c r="J34" i="14"/>
  <c r="J35" i="14"/>
  <c r="J36" i="14"/>
  <c r="J37" i="14"/>
  <c r="J31" i="14"/>
  <c r="W33" i="14"/>
  <c r="Q66" i="14"/>
  <c r="Q54" i="14"/>
  <c r="Q42" i="14"/>
  <c r="Q30" i="14"/>
  <c r="B32" i="14"/>
  <c r="E32" i="14"/>
  <c r="P92" i="9"/>
  <c r="J95" i="9"/>
  <c r="J94" i="9"/>
  <c r="J92" i="9"/>
  <c r="G23" i="8"/>
  <c r="X20" i="8"/>
  <c r="W23" i="8"/>
  <c r="F23" i="8"/>
  <c r="M23" i="8"/>
  <c r="R20" i="8"/>
  <c r="X23" i="8"/>
  <c r="G24" i="8"/>
  <c r="M24" i="8"/>
  <c r="F24" i="8"/>
  <c r="N24" i="8"/>
  <c r="N23" i="8"/>
  <c r="AC20" i="8"/>
  <c r="AB23" i="8"/>
  <c r="AC23" i="8"/>
  <c r="AD23" i="8"/>
  <c r="Y23" i="8"/>
  <c r="M22" i="8"/>
  <c r="F22" i="8"/>
  <c r="G22" i="8"/>
  <c r="N22" i="8"/>
  <c r="O22" i="8"/>
  <c r="O21" i="8"/>
  <c r="K43" i="14"/>
  <c r="K67" i="14"/>
  <c r="K55" i="14"/>
  <c r="B43" i="14"/>
  <c r="B55" i="14"/>
  <c r="B67" i="14"/>
  <c r="B5" i="14"/>
  <c r="B42" i="14"/>
  <c r="B54" i="14"/>
  <c r="B66" i="14"/>
  <c r="B4" i="14"/>
  <c r="E5" i="14"/>
  <c r="E104" i="9"/>
  <c r="E101" i="9"/>
  <c r="P21" i="8"/>
  <c r="M28" i="8"/>
  <c r="N28" i="8"/>
  <c r="S20" i="8"/>
  <c r="R28" i="8"/>
  <c r="S28" i="8"/>
  <c r="W28" i="8"/>
  <c r="X28" i="8"/>
  <c r="AB28" i="8"/>
  <c r="AC28" i="8"/>
  <c r="AH20" i="8"/>
  <c r="AG28" i="8"/>
  <c r="AH28" i="8"/>
  <c r="AM20" i="8"/>
  <c r="AL28" i="8"/>
  <c r="AM28" i="8"/>
  <c r="H28" i="8"/>
  <c r="G28" i="8"/>
  <c r="M27" i="8"/>
  <c r="F27" i="8"/>
  <c r="G27" i="8"/>
  <c r="N27" i="8"/>
  <c r="F101" i="9"/>
  <c r="G104" i="9"/>
  <c r="G101" i="9"/>
  <c r="H103" i="9"/>
  <c r="I102" i="9"/>
  <c r="I103" i="9"/>
  <c r="J103" i="9"/>
  <c r="O49" i="8"/>
  <c r="U20" i="8"/>
  <c r="R21" i="8"/>
  <c r="S21" i="8"/>
  <c r="T21" i="8"/>
  <c r="U21" i="8"/>
  <c r="T49" i="8"/>
  <c r="AE20" i="8"/>
  <c r="AB20" i="8"/>
  <c r="AB21" i="8"/>
  <c r="AC21" i="8"/>
  <c r="AD21" i="8"/>
  <c r="AE21" i="8"/>
  <c r="AD49" i="8"/>
  <c r="AJ20" i="8"/>
  <c r="AG20" i="8"/>
  <c r="AG21" i="8"/>
  <c r="AH21" i="8"/>
  <c r="AI21" i="8"/>
  <c r="AJ21" i="8"/>
  <c r="AI49" i="8"/>
  <c r="AB24" i="8"/>
  <c r="AC24" i="8"/>
  <c r="AD24" i="8"/>
  <c r="AE24" i="8"/>
  <c r="AD52" i="8"/>
  <c r="AG24" i="8"/>
  <c r="AH24" i="8"/>
  <c r="AI24" i="8"/>
  <c r="AJ24" i="8"/>
  <c r="AI52" i="8"/>
  <c r="B35" i="14"/>
  <c r="E35" i="14"/>
  <c r="O27" i="8"/>
  <c r="P27" i="8"/>
  <c r="M25" i="8"/>
  <c r="F25" i="8"/>
  <c r="G25" i="8"/>
  <c r="N25" i="8"/>
  <c r="O25" i="8"/>
  <c r="AO20" i="8"/>
  <c r="AL20" i="8"/>
  <c r="AL27" i="8"/>
  <c r="AM27" i="8"/>
  <c r="AN27" i="8"/>
  <c r="AO27" i="8"/>
  <c r="AN55" i="8"/>
  <c r="AO55" i="8"/>
  <c r="AG27" i="8"/>
  <c r="AH27" i="8"/>
  <c r="AI27" i="8"/>
  <c r="AJ27" i="8"/>
  <c r="AI55" i="8"/>
  <c r="AJ55" i="8"/>
  <c r="AB27" i="8"/>
  <c r="AC27" i="8"/>
  <c r="AD27" i="8"/>
  <c r="AE27" i="8"/>
  <c r="AD55" i="8"/>
  <c r="AE55" i="8"/>
  <c r="Z20" i="8"/>
  <c r="W20" i="8"/>
  <c r="W27" i="8"/>
  <c r="X27" i="8"/>
  <c r="Y27" i="8"/>
  <c r="Z27" i="8"/>
  <c r="Y55" i="8"/>
  <c r="Z55" i="8"/>
  <c r="R27" i="8"/>
  <c r="S27" i="8"/>
  <c r="T27" i="8"/>
  <c r="U27" i="8"/>
  <c r="T55" i="8"/>
  <c r="U55" i="8"/>
  <c r="O55" i="8"/>
  <c r="P55" i="8"/>
  <c r="K27" i="8"/>
  <c r="K20" i="8"/>
  <c r="I55" i="8"/>
  <c r="K55" i="8"/>
  <c r="E63" i="9"/>
  <c r="C43" i="10"/>
  <c r="D35" i="11" a="1"/>
  <c r="D35" i="11"/>
  <c r="E110" i="2"/>
  <c r="E112" i="2"/>
  <c r="E113" i="2"/>
  <c r="S59" i="9"/>
  <c r="E107" i="13"/>
  <c r="L29" i="9"/>
  <c r="F29" i="9"/>
  <c r="AW6" i="14"/>
  <c r="AW7" i="14"/>
  <c r="AW8" i="14"/>
  <c r="AW9" i="14"/>
  <c r="AW10" i="14"/>
  <c r="AW11" i="14"/>
  <c r="AW5" i="14"/>
  <c r="AU6" i="14"/>
  <c r="AU7" i="14"/>
  <c r="AU8" i="14"/>
  <c r="AU9" i="14"/>
  <c r="AU10" i="14"/>
  <c r="AU11" i="14"/>
  <c r="AU5" i="14"/>
  <c r="D144" i="12"/>
  <c r="D143" i="12"/>
  <c r="D134" i="12"/>
  <c r="D133" i="12"/>
  <c r="D124" i="12"/>
  <c r="D123" i="12"/>
  <c r="D114" i="12"/>
  <c r="D113" i="12"/>
  <c r="J25" i="9"/>
  <c r="F175" i="2"/>
  <c r="F177" i="2"/>
  <c r="AO58" i="14"/>
  <c r="AP58" i="14"/>
  <c r="F274" i="2"/>
  <c r="F270" i="2"/>
  <c r="F266" i="2"/>
  <c r="F262" i="2"/>
  <c r="F258" i="2"/>
  <c r="F254" i="2"/>
  <c r="F248" i="2"/>
  <c r="F244" i="2"/>
  <c r="F243" i="2"/>
  <c r="F240" i="2"/>
  <c r="F236" i="2"/>
  <c r="F235" i="2"/>
  <c r="F232" i="2"/>
  <c r="F228" i="2"/>
  <c r="F227" i="2"/>
  <c r="F222" i="2"/>
  <c r="F218" i="2"/>
  <c r="F214" i="2"/>
  <c r="F210" i="2"/>
  <c r="F206" i="2"/>
  <c r="F202" i="2"/>
  <c r="F183" i="2"/>
  <c r="F193" i="2"/>
  <c r="F185" i="2"/>
  <c r="F206" i="13"/>
  <c r="F202" i="13"/>
  <c r="F196" i="13"/>
  <c r="F192" i="13"/>
  <c r="F191" i="13"/>
  <c r="F186" i="13"/>
  <c r="F182" i="13"/>
  <c r="F173" i="13"/>
  <c r="F171" i="13"/>
  <c r="I148" i="12"/>
  <c r="I138" i="12"/>
  <c r="I128" i="12"/>
  <c r="I183" i="11"/>
  <c r="I173" i="11"/>
  <c r="I163" i="11"/>
  <c r="F183" i="11"/>
  <c r="F179" i="11"/>
  <c r="F173" i="11"/>
  <c r="F169" i="11"/>
  <c r="F168" i="11"/>
  <c r="F163" i="11"/>
  <c r="F159" i="11"/>
  <c r="F150" i="11"/>
  <c r="AP29" i="2"/>
  <c r="AI29" i="2"/>
  <c r="AB29" i="2"/>
  <c r="U29" i="2"/>
  <c r="N29" i="2"/>
  <c r="AS44" i="2"/>
  <c r="AL44" i="2"/>
  <c r="AE44" i="2"/>
  <c r="X44" i="2"/>
  <c r="Q44" i="2"/>
  <c r="J44" i="2"/>
  <c r="G29" i="2"/>
  <c r="C41" i="2"/>
  <c r="C40" i="2"/>
  <c r="C36" i="2"/>
  <c r="C35" i="2"/>
  <c r="F148" i="11"/>
  <c r="F191" i="2"/>
  <c r="H124" i="12"/>
  <c r="Q47" i="9"/>
  <c r="R47" i="9"/>
  <c r="K25" i="9"/>
  <c r="E74" i="11"/>
  <c r="E75" i="11"/>
  <c r="E76" i="11"/>
  <c r="F160" i="13"/>
  <c r="F159" i="13"/>
  <c r="F53" i="12"/>
  <c r="F167" i="2"/>
  <c r="H166" i="2"/>
  <c r="F170" i="2"/>
  <c r="H169" i="2"/>
  <c r="F165" i="2"/>
  <c r="H164" i="2"/>
  <c r="F159" i="2"/>
  <c r="H158" i="2"/>
  <c r="F157" i="2"/>
  <c r="H156" i="2"/>
  <c r="F155" i="2"/>
  <c r="H154" i="2"/>
  <c r="F153" i="2"/>
  <c r="H152" i="2"/>
  <c r="F166" i="13"/>
  <c r="H165" i="13"/>
  <c r="F164" i="13"/>
  <c r="H162" i="13"/>
  <c r="W129" i="9"/>
  <c r="F163" i="13"/>
  <c r="F157" i="13"/>
  <c r="H154" i="13"/>
  <c r="F156" i="13"/>
  <c r="F155" i="13"/>
  <c r="H158" i="13"/>
  <c r="F106" i="12"/>
  <c r="H105" i="12"/>
  <c r="F104" i="12"/>
  <c r="F103" i="12"/>
  <c r="F143" i="11"/>
  <c r="H142" i="11"/>
  <c r="F141" i="11"/>
  <c r="H139" i="11"/>
  <c r="F140" i="11"/>
  <c r="F137" i="11"/>
  <c r="F135" i="11"/>
  <c r="F134" i="11"/>
  <c r="H137" i="11"/>
  <c r="F156" i="10"/>
  <c r="H149" i="10"/>
  <c r="F153" i="10"/>
  <c r="F152" i="10"/>
  <c r="W130" i="9"/>
  <c r="W128" i="9"/>
  <c r="W127" i="9"/>
  <c r="W126" i="9"/>
  <c r="W124" i="9"/>
  <c r="F149" i="10"/>
  <c r="F145" i="10"/>
  <c r="Q134" i="9"/>
  <c r="Q135" i="9"/>
  <c r="Q136" i="9"/>
  <c r="Q133" i="9"/>
  <c r="E148" i="13"/>
  <c r="D66" i="13"/>
  <c r="E140" i="13"/>
  <c r="E133" i="13"/>
  <c r="K91" i="9"/>
  <c r="W92" i="9"/>
  <c r="W93" i="9"/>
  <c r="W94" i="9"/>
  <c r="K92" i="9"/>
  <c r="K93" i="9"/>
  <c r="K94" i="9"/>
  <c r="H93" i="9"/>
  <c r="D56" i="2"/>
  <c r="D57" i="2"/>
  <c r="D58" i="2"/>
  <c r="D52" i="12"/>
  <c r="D60" i="11"/>
  <c r="D64" i="10"/>
  <c r="AO29" i="2"/>
  <c r="AN29" i="2"/>
  <c r="AH29" i="2"/>
  <c r="AG29" i="2"/>
  <c r="AA29" i="2"/>
  <c r="Z29" i="2"/>
  <c r="T29" i="2"/>
  <c r="S29" i="2"/>
  <c r="M29" i="2"/>
  <c r="L29" i="2"/>
  <c r="F29" i="2"/>
  <c r="E29" i="2"/>
  <c r="N45" i="13"/>
  <c r="E45" i="13"/>
  <c r="U43" i="12"/>
  <c r="R43" i="12"/>
  <c r="O43" i="12"/>
  <c r="L43" i="12"/>
  <c r="I43" i="12"/>
  <c r="H43" i="12"/>
  <c r="F43" i="12"/>
  <c r="E43" i="12"/>
  <c r="T33" i="12"/>
  <c r="Q33" i="12"/>
  <c r="N33" i="12"/>
  <c r="K33" i="12"/>
  <c r="I33" i="12"/>
  <c r="I45" i="12"/>
  <c r="H33" i="12"/>
  <c r="H45" i="12"/>
  <c r="E33" i="12"/>
  <c r="F33" i="12"/>
  <c r="E53" i="12"/>
  <c r="H53" i="12"/>
  <c r="I53" i="12"/>
  <c r="K53" i="12"/>
  <c r="N53" i="12"/>
  <c r="Q53" i="12"/>
  <c r="T53" i="12"/>
  <c r="T45" i="13"/>
  <c r="Q45" i="13"/>
  <c r="K45" i="13"/>
  <c r="H45" i="13"/>
  <c r="X28" i="9"/>
  <c r="T94" i="9"/>
  <c r="T28" i="9"/>
  <c r="Q94" i="9"/>
  <c r="P28" i="9"/>
  <c r="H28" i="9"/>
  <c r="H94" i="9"/>
  <c r="O81" i="9"/>
  <c r="Q81" i="9"/>
  <c r="S28" i="9"/>
  <c r="O82" i="9"/>
  <c r="Q82" i="9"/>
  <c r="W28" i="9"/>
  <c r="O83" i="9"/>
  <c r="Q83" i="9"/>
  <c r="AA28" i="9"/>
  <c r="O79" i="9"/>
  <c r="Q79" i="9"/>
  <c r="K28" i="9"/>
  <c r="H83" i="9"/>
  <c r="L83" i="9"/>
  <c r="M83" i="9"/>
  <c r="Z28" i="9"/>
  <c r="H81" i="9"/>
  <c r="L81" i="9"/>
  <c r="M81" i="9"/>
  <c r="R28" i="9"/>
  <c r="H82" i="9"/>
  <c r="L82" i="9"/>
  <c r="H79" i="9"/>
  <c r="L79" i="9"/>
  <c r="M79" i="9"/>
  <c r="J28" i="9"/>
  <c r="X27" i="9"/>
  <c r="T93" i="9"/>
  <c r="T27" i="9"/>
  <c r="Q93" i="9"/>
  <c r="P27" i="9"/>
  <c r="N93" i="9"/>
  <c r="N72" i="9"/>
  <c r="O72" i="9"/>
  <c r="AA27" i="9"/>
  <c r="N70" i="9"/>
  <c r="O70" i="9"/>
  <c r="S27" i="9"/>
  <c r="H72" i="9"/>
  <c r="Y27" i="9"/>
  <c r="H70" i="9"/>
  <c r="Q27" i="9"/>
  <c r="J72" i="9"/>
  <c r="J70" i="9"/>
  <c r="K70" i="9"/>
  <c r="L70" i="9"/>
  <c r="R27" i="9"/>
  <c r="F71" i="9"/>
  <c r="J71" i="9"/>
  <c r="K71" i="9"/>
  <c r="K72" i="9"/>
  <c r="L72" i="9"/>
  <c r="Z27" i="9"/>
  <c r="O61" i="9"/>
  <c r="O60" i="9"/>
  <c r="O59" i="9"/>
  <c r="O57" i="9"/>
  <c r="P57" i="9"/>
  <c r="Q57" i="9"/>
  <c r="K59" i="9"/>
  <c r="AN28" i="8"/>
  <c r="AI28" i="8"/>
  <c r="AD28" i="8"/>
  <c r="Y28" i="8"/>
  <c r="T28" i="8"/>
  <c r="O28" i="8"/>
  <c r="K95" i="9"/>
  <c r="E194" i="13" a="1"/>
  <c r="E194" i="13"/>
  <c r="H102" i="12"/>
  <c r="F245" i="2"/>
  <c r="F229" i="2"/>
  <c r="F170" i="11"/>
  <c r="F193" i="13"/>
  <c r="F237" i="2"/>
  <c r="F239" i="2"/>
  <c r="F195" i="13"/>
  <c r="F172" i="11"/>
  <c r="F247" i="2"/>
  <c r="F231" i="2"/>
  <c r="F273" i="2"/>
  <c r="F257" i="2"/>
  <c r="F182" i="11"/>
  <c r="F205" i="13"/>
  <c r="F265" i="2"/>
  <c r="I170" i="11"/>
  <c r="I135" i="12"/>
  <c r="I137" i="12"/>
  <c r="I172" i="11"/>
  <c r="F263" i="2"/>
  <c r="F203" i="13"/>
  <c r="F255" i="2"/>
  <c r="F180" i="11"/>
  <c r="F271" i="2"/>
  <c r="F178" i="11"/>
  <c r="F269" i="2"/>
  <c r="F253" i="2"/>
  <c r="F261" i="2"/>
  <c r="F201" i="13"/>
  <c r="D48" i="13"/>
  <c r="D42" i="11"/>
  <c r="D44" i="10"/>
  <c r="F45" i="12"/>
  <c r="E45" i="12"/>
  <c r="H133" i="11"/>
  <c r="E28" i="9"/>
  <c r="E94" i="9"/>
  <c r="G94" i="9"/>
  <c r="N94" i="9"/>
  <c r="I82" i="9"/>
  <c r="U28" i="9"/>
  <c r="N71" i="9"/>
  <c r="O71" i="9"/>
  <c r="W27" i="9"/>
  <c r="H71" i="9"/>
  <c r="U27" i="9"/>
  <c r="L71" i="9"/>
  <c r="V27" i="9"/>
  <c r="E27" i="9"/>
  <c r="E93" i="9"/>
  <c r="G93" i="9"/>
  <c r="I81" i="9"/>
  <c r="Q28" i="9"/>
  <c r="I83" i="9"/>
  <c r="Y28" i="9"/>
  <c r="I79" i="9"/>
  <c r="I28" i="9"/>
  <c r="P52" i="9"/>
  <c r="I147" i="12"/>
  <c r="I182" i="11"/>
  <c r="K194" i="13"/>
  <c r="I181" i="11"/>
  <c r="I146" i="12"/>
  <c r="I145" i="12"/>
  <c r="I180" i="11"/>
  <c r="I136" i="12"/>
  <c r="I171" i="11"/>
  <c r="F246" i="2"/>
  <c r="F230" i="2"/>
  <c r="F171" i="11"/>
  <c r="F238" i="2"/>
  <c r="F194" i="13"/>
  <c r="O94" i="9"/>
  <c r="P94" i="9"/>
  <c r="L94" i="9"/>
  <c r="M94" i="9"/>
  <c r="X94" i="9"/>
  <c r="Y94" i="9"/>
  <c r="I94" i="9"/>
  <c r="U94" i="9"/>
  <c r="V94" i="9"/>
  <c r="R94" i="9"/>
  <c r="S94" i="9"/>
  <c r="X93" i="9"/>
  <c r="Y93" i="9"/>
  <c r="I93" i="9"/>
  <c r="J93" i="9"/>
  <c r="L93" i="9"/>
  <c r="M93" i="9"/>
  <c r="U93" i="9"/>
  <c r="V93" i="9"/>
  <c r="R93" i="9"/>
  <c r="S93" i="9"/>
  <c r="O93" i="9"/>
  <c r="P93" i="9"/>
  <c r="C52" i="13"/>
  <c r="C41" i="12"/>
  <c r="C38" i="12"/>
  <c r="C46" i="11"/>
  <c r="C48" i="10"/>
  <c r="C54" i="10"/>
  <c r="J47" i="9"/>
  <c r="M25" i="9"/>
  <c r="N25" i="9"/>
  <c r="K58" i="9"/>
  <c r="K60" i="9"/>
  <c r="K61" i="9"/>
  <c r="K62" i="9"/>
  <c r="K63" i="9"/>
  <c r="L63" i="9"/>
  <c r="K57" i="9"/>
  <c r="E145" i="2"/>
  <c r="E138" i="2"/>
  <c r="D133" i="2"/>
  <c r="D128" i="13"/>
  <c r="E139" i="13"/>
  <c r="D114" i="11"/>
  <c r="AN59" i="2"/>
  <c r="AG59" i="2"/>
  <c r="Z59" i="2"/>
  <c r="S59" i="2"/>
  <c r="L59" i="2"/>
  <c r="F59" i="2"/>
  <c r="E59" i="2"/>
  <c r="AO59" i="2"/>
  <c r="AH59" i="2"/>
  <c r="AA59" i="2"/>
  <c r="T59" i="2"/>
  <c r="M59" i="2"/>
  <c r="T67" i="13"/>
  <c r="Q67" i="13"/>
  <c r="N67" i="13"/>
  <c r="K67" i="13"/>
  <c r="H67" i="13"/>
  <c r="E67" i="13"/>
  <c r="T61" i="11"/>
  <c r="Q61" i="11"/>
  <c r="N61" i="11"/>
  <c r="K61" i="11"/>
  <c r="H61" i="11"/>
  <c r="E61" i="11"/>
  <c r="T65" i="10"/>
  <c r="Q65" i="10"/>
  <c r="N65" i="10"/>
  <c r="K65" i="10"/>
  <c r="H65" i="10"/>
  <c r="E65" i="10"/>
  <c r="F172" i="13"/>
  <c r="F176" i="2"/>
  <c r="F184" i="2"/>
  <c r="F149" i="11"/>
  <c r="F192" i="2"/>
  <c r="E71" i="12"/>
  <c r="G48" i="9"/>
  <c r="G49" i="9"/>
  <c r="G50" i="9"/>
  <c r="G51" i="9"/>
  <c r="G46" i="9"/>
  <c r="Y41" i="9"/>
  <c r="E40" i="9"/>
  <c r="X41" i="9"/>
  <c r="E38" i="9"/>
  <c r="U40" i="9"/>
  <c r="AE25" i="9"/>
  <c r="AD25" i="9"/>
  <c r="AB25" i="9"/>
  <c r="AA25" i="9"/>
  <c r="Z25" i="9"/>
  <c r="X25" i="9"/>
  <c r="W25" i="9"/>
  <c r="V25" i="9"/>
  <c r="T25" i="9"/>
  <c r="S25" i="9"/>
  <c r="P25" i="9"/>
  <c r="O25" i="9"/>
  <c r="H25" i="9"/>
  <c r="P26" i="9"/>
  <c r="N92" i="9"/>
  <c r="M82" i="9"/>
  <c r="V28" i="9"/>
  <c r="AE24" i="9"/>
  <c r="AA24" i="9"/>
  <c r="W24" i="9"/>
  <c r="S24" i="9"/>
  <c r="O24" i="9"/>
  <c r="K24" i="9"/>
  <c r="S26" i="9"/>
  <c r="S60" i="9"/>
  <c r="W26" i="9"/>
  <c r="S61" i="9"/>
  <c r="AA26" i="9"/>
  <c r="S57" i="9"/>
  <c r="K26" i="9"/>
  <c r="P59" i="9"/>
  <c r="P60" i="9"/>
  <c r="P61" i="9"/>
  <c r="G58" i="9"/>
  <c r="L58" i="9"/>
  <c r="L59" i="9"/>
  <c r="Q26" i="9"/>
  <c r="L60" i="9"/>
  <c r="U26" i="9"/>
  <c r="L61" i="9"/>
  <c r="Y26" i="9"/>
  <c r="G62" i="9"/>
  <c r="L62" i="9"/>
  <c r="L57" i="9"/>
  <c r="I26" i="9"/>
  <c r="X26" i="9"/>
  <c r="T26" i="9"/>
  <c r="Q92" i="9"/>
  <c r="H26" i="9"/>
  <c r="N17" i="9"/>
  <c r="M17" i="9"/>
  <c r="L17" i="9"/>
  <c r="K17" i="9"/>
  <c r="J17" i="9"/>
  <c r="I17" i="9"/>
  <c r="G17" i="9"/>
  <c r="E17" i="9"/>
  <c r="E18" i="9"/>
  <c r="N16" i="9"/>
  <c r="N15" i="9"/>
  <c r="M15" i="9"/>
  <c r="L15" i="9"/>
  <c r="K15" i="9"/>
  <c r="J15" i="9"/>
  <c r="I15" i="9"/>
  <c r="G15" i="9"/>
  <c r="F15" i="9"/>
  <c r="E15" i="9"/>
  <c r="N14" i="9"/>
  <c r="M14" i="9"/>
  <c r="L14" i="9"/>
  <c r="K14" i="9"/>
  <c r="J14" i="9"/>
  <c r="E14" i="9"/>
  <c r="N13" i="9"/>
  <c r="M13" i="9"/>
  <c r="L13" i="9"/>
  <c r="K13" i="9"/>
  <c r="J13" i="9"/>
  <c r="I13" i="9"/>
  <c r="H13" i="9"/>
  <c r="G13" i="9"/>
  <c r="F13" i="9"/>
  <c r="E13" i="9"/>
  <c r="N12" i="9"/>
  <c r="M12" i="9"/>
  <c r="K12" i="9"/>
  <c r="J12" i="9"/>
  <c r="I12" i="9"/>
  <c r="G12" i="9"/>
  <c r="F12" i="9"/>
  <c r="E12" i="9"/>
  <c r="H8" i="9"/>
  <c r="H17" i="9"/>
  <c r="M7" i="9"/>
  <c r="M16" i="9"/>
  <c r="K7" i="9"/>
  <c r="K16" i="9"/>
  <c r="J7" i="9"/>
  <c r="J16" i="9"/>
  <c r="I7" i="9"/>
  <c r="I16" i="9"/>
  <c r="G7" i="9"/>
  <c r="G16" i="9"/>
  <c r="F7" i="9"/>
  <c r="F16" i="9"/>
  <c r="E7" i="9"/>
  <c r="E16" i="9"/>
  <c r="H6" i="9"/>
  <c r="H15" i="9"/>
  <c r="L3" i="9"/>
  <c r="L7" i="9"/>
  <c r="L16" i="9"/>
  <c r="H3" i="9"/>
  <c r="T92" i="9"/>
  <c r="E26" i="9"/>
  <c r="F20" i="8"/>
  <c r="K29" i="9"/>
  <c r="AE29" i="9"/>
  <c r="S29" i="9"/>
  <c r="O29" i="9"/>
  <c r="AA29" i="9"/>
  <c r="W29" i="9"/>
  <c r="W91" i="9"/>
  <c r="AB29" i="9"/>
  <c r="AL26" i="8"/>
  <c r="J50" i="9"/>
  <c r="Y25" i="9"/>
  <c r="Q50" i="9"/>
  <c r="R50" i="9"/>
  <c r="I125" i="12"/>
  <c r="I160" i="11"/>
  <c r="T91" i="9"/>
  <c r="T95" i="9"/>
  <c r="X29" i="9"/>
  <c r="H91" i="9"/>
  <c r="H29" i="9"/>
  <c r="Q91" i="9"/>
  <c r="Q95" i="9"/>
  <c r="T29" i="9"/>
  <c r="F195" i="2"/>
  <c r="F179" i="2"/>
  <c r="F175" i="13"/>
  <c r="F152" i="11"/>
  <c r="F187" i="2"/>
  <c r="Q46" i="9"/>
  <c r="R46" i="9"/>
  <c r="J46" i="9"/>
  <c r="I25" i="9"/>
  <c r="J48" i="9"/>
  <c r="Q25" i="9"/>
  <c r="Q48" i="9"/>
  <c r="R48" i="9"/>
  <c r="I161" i="11"/>
  <c r="I126" i="12"/>
  <c r="F264" i="2"/>
  <c r="F204" i="13"/>
  <c r="F181" i="11"/>
  <c r="F272" i="2"/>
  <c r="F256" i="2"/>
  <c r="N91" i="9"/>
  <c r="N95" i="9"/>
  <c r="P29" i="9"/>
  <c r="H123" i="12"/>
  <c r="F176" i="13"/>
  <c r="F153" i="11"/>
  <c r="F180" i="2"/>
  <c r="F188" i="2"/>
  <c r="F196" i="2"/>
  <c r="I127" i="12"/>
  <c r="I162" i="11"/>
  <c r="F194" i="2"/>
  <c r="F186" i="2"/>
  <c r="F151" i="11"/>
  <c r="F174" i="13"/>
  <c r="F178" i="2"/>
  <c r="J51" i="9"/>
  <c r="AC25" i="9"/>
  <c r="Q51" i="9"/>
  <c r="R51" i="9"/>
  <c r="J49" i="9"/>
  <c r="U25" i="9"/>
  <c r="Q49" i="9"/>
  <c r="R49" i="9"/>
  <c r="H92" i="9"/>
  <c r="E92" i="9"/>
  <c r="E25" i="9"/>
  <c r="W24" i="8"/>
  <c r="AL24" i="8"/>
  <c r="AL22" i="8"/>
  <c r="R26" i="8"/>
  <c r="R24" i="8"/>
  <c r="R25" i="8"/>
  <c r="R22" i="8"/>
  <c r="R23" i="8"/>
  <c r="AB22" i="8"/>
  <c r="AB26" i="8"/>
  <c r="J26" i="9"/>
  <c r="Q61" i="9"/>
  <c r="Z26" i="9"/>
  <c r="H18" i="9"/>
  <c r="J18" i="9"/>
  <c r="N18" i="9"/>
  <c r="Q60" i="9"/>
  <c r="V26" i="9"/>
  <c r="Q59" i="9"/>
  <c r="R26" i="9"/>
  <c r="F8" i="9"/>
  <c r="K18" i="9"/>
  <c r="G18" i="9"/>
  <c r="I18" i="9"/>
  <c r="M18" i="9"/>
  <c r="H7" i="9"/>
  <c r="H16" i="9"/>
  <c r="L18" i="9"/>
  <c r="F17" i="9"/>
  <c r="F18" i="9"/>
  <c r="H12" i="9"/>
  <c r="L12" i="9"/>
  <c r="W26" i="8"/>
  <c r="W22" i="8"/>
  <c r="H95" i="9"/>
  <c r="W95" i="9"/>
  <c r="W25" i="8"/>
  <c r="AG25" i="8"/>
  <c r="W21" i="8"/>
  <c r="F158" i="11"/>
  <c r="F217" i="2"/>
  <c r="F201" i="2"/>
  <c r="F209" i="2"/>
  <c r="F181" i="13"/>
  <c r="I117" i="12"/>
  <c r="I152" i="11"/>
  <c r="I151" i="11"/>
  <c r="I116" i="12"/>
  <c r="F211" i="2"/>
  <c r="F183" i="13"/>
  <c r="F219" i="2"/>
  <c r="F203" i="2"/>
  <c r="F160" i="11"/>
  <c r="AB25" i="8"/>
  <c r="AG26" i="8"/>
  <c r="AL25" i="8"/>
  <c r="AL23" i="8"/>
  <c r="F212" i="2"/>
  <c r="F184" i="13"/>
  <c r="F220" i="2"/>
  <c r="F161" i="11"/>
  <c r="F204" i="2"/>
  <c r="AG23" i="8"/>
  <c r="E91" i="9"/>
  <c r="U91" i="9"/>
  <c r="E29" i="9"/>
  <c r="M26" i="8"/>
  <c r="F221" i="2"/>
  <c r="F205" i="2"/>
  <c r="F162" i="11"/>
  <c r="F185" i="13"/>
  <c r="F213" i="2"/>
  <c r="AG22" i="8"/>
  <c r="AL21" i="8"/>
  <c r="I118" i="12"/>
  <c r="I153" i="11"/>
  <c r="I150" i="11"/>
  <c r="I115" i="12"/>
  <c r="O91" i="9"/>
  <c r="I92" i="9"/>
  <c r="G92" i="9"/>
  <c r="X92" i="9"/>
  <c r="Y92" i="9"/>
  <c r="Y95" i="9"/>
  <c r="L92" i="9"/>
  <c r="M92" i="9"/>
  <c r="U92" i="9"/>
  <c r="V92" i="9"/>
  <c r="V95" i="9"/>
  <c r="R92" i="9"/>
  <c r="S92" i="9"/>
  <c r="O92" i="9"/>
  <c r="E70" i="12"/>
  <c r="F28" i="8"/>
  <c r="F26" i="8"/>
  <c r="I91" i="9"/>
  <c r="S95" i="9"/>
  <c r="M95" i="9"/>
  <c r="S23" i="8"/>
  <c r="L91" i="9"/>
  <c r="E95" i="9"/>
  <c r="I95" i="9"/>
  <c r="X91" i="9"/>
  <c r="P95" i="9"/>
  <c r="T115" i="9"/>
  <c r="Q117" i="9"/>
  <c r="R91" i="9"/>
  <c r="AE7" i="8"/>
  <c r="E111" i="2"/>
  <c r="E120" i="2"/>
  <c r="E80" i="2"/>
  <c r="E71" i="2"/>
  <c r="H118" i="9"/>
  <c r="T20" i="8"/>
  <c r="T113" i="9"/>
  <c r="V113" i="9"/>
  <c r="E116" i="9"/>
  <c r="G116" i="9"/>
  <c r="E113" i="9"/>
  <c r="G113" i="9"/>
  <c r="E118" i="9"/>
  <c r="F118" i="9"/>
  <c r="T118" i="9"/>
  <c r="U118" i="9"/>
  <c r="T117" i="9"/>
  <c r="U117" i="9"/>
  <c r="Q116" i="9"/>
  <c r="S116" i="9"/>
  <c r="K116" i="9"/>
  <c r="M116" i="9"/>
  <c r="K115" i="9"/>
  <c r="M115" i="9"/>
  <c r="K117" i="9"/>
  <c r="M117" i="9"/>
  <c r="K113" i="9"/>
  <c r="M113" i="9"/>
  <c r="K114" i="9"/>
  <c r="M114" i="9"/>
  <c r="K118" i="9"/>
  <c r="L118" i="9"/>
  <c r="N118" i="9"/>
  <c r="O118" i="9"/>
  <c r="N117" i="9"/>
  <c r="O117" i="9"/>
  <c r="N115" i="9"/>
  <c r="P115" i="9"/>
  <c r="N113" i="9"/>
  <c r="P113" i="9"/>
  <c r="N114" i="9"/>
  <c r="P114" i="9"/>
  <c r="N116" i="9"/>
  <c r="P116" i="9"/>
  <c r="E114" i="9"/>
  <c r="G114" i="9"/>
  <c r="E115" i="9"/>
  <c r="G115" i="9"/>
  <c r="X95" i="9"/>
  <c r="E117" i="9"/>
  <c r="F117" i="9"/>
  <c r="L95" i="9"/>
  <c r="U95" i="9"/>
  <c r="R95" i="9"/>
  <c r="O95" i="9"/>
  <c r="E74" i="2"/>
  <c r="E88" i="2"/>
  <c r="Q115" i="9"/>
  <c r="S115" i="9"/>
  <c r="Q118" i="9"/>
  <c r="R118" i="9"/>
  <c r="Q114" i="9"/>
  <c r="S114" i="9"/>
  <c r="T116" i="9"/>
  <c r="V116" i="9"/>
  <c r="T114" i="9"/>
  <c r="V114" i="9"/>
  <c r="Q113" i="9"/>
  <c r="S113" i="9"/>
  <c r="V24" i="2"/>
  <c r="V29" i="2"/>
  <c r="E86" i="2"/>
  <c r="V115" i="9"/>
  <c r="R117" i="9"/>
  <c r="S117" i="9"/>
  <c r="AG36" i="2"/>
  <c r="E117" i="2"/>
  <c r="E118" i="2"/>
  <c r="Z36" i="2"/>
  <c r="L36" i="2"/>
  <c r="AN36" i="2"/>
  <c r="E36" i="2"/>
  <c r="S36" i="2"/>
  <c r="AD23" i="2"/>
  <c r="AD29" i="2"/>
  <c r="AC24" i="2"/>
  <c r="AC29" i="2"/>
  <c r="H24" i="2"/>
  <c r="H29" i="2"/>
  <c r="AJ24" i="2"/>
  <c r="AJ29" i="2"/>
  <c r="O24" i="2"/>
  <c r="O29" i="2"/>
  <c r="AQ24" i="2"/>
  <c r="AQ29" i="2"/>
  <c r="H117" i="9"/>
  <c r="J117" i="9"/>
  <c r="H115" i="9"/>
  <c r="H116" i="9"/>
  <c r="J116" i="9"/>
  <c r="H113" i="9"/>
  <c r="J113" i="9"/>
  <c r="H114" i="9"/>
  <c r="J114" i="9"/>
  <c r="P118" i="9"/>
  <c r="L117" i="9"/>
  <c r="V117" i="9"/>
  <c r="S118" i="9"/>
  <c r="G117" i="9"/>
  <c r="M118" i="9"/>
  <c r="V118" i="9"/>
  <c r="G118" i="9"/>
  <c r="P117" i="9"/>
  <c r="I23" i="2"/>
  <c r="AK23" i="2"/>
  <c r="AK29" i="2"/>
  <c r="AR23" i="2"/>
  <c r="AR29" i="2"/>
  <c r="E89" i="2"/>
  <c r="AE25" i="2"/>
  <c r="AE29" i="2"/>
  <c r="AE46" i="2"/>
  <c r="W23" i="2"/>
  <c r="W29" i="2"/>
  <c r="P23" i="2"/>
  <c r="P29" i="2"/>
  <c r="T35" i="2"/>
  <c r="F35" i="2"/>
  <c r="AA35" i="2"/>
  <c r="I29" i="2"/>
  <c r="M35" i="2"/>
  <c r="AO35" i="2"/>
  <c r="AH35" i="2"/>
  <c r="AI37" i="2"/>
  <c r="J115" i="9"/>
  <c r="I118" i="9"/>
  <c r="J118" i="9"/>
  <c r="E122" i="2"/>
  <c r="E124" i="2"/>
  <c r="E121" i="2"/>
  <c r="E123" i="2"/>
  <c r="I117" i="9"/>
  <c r="AL25" i="2"/>
  <c r="AL29" i="2"/>
  <c r="AL46" i="2"/>
  <c r="X25" i="2"/>
  <c r="X29" i="2"/>
  <c r="X46" i="2"/>
  <c r="J25" i="2"/>
  <c r="J29" i="2"/>
  <c r="J46" i="2"/>
  <c r="AS25" i="2"/>
  <c r="AS29" i="2"/>
  <c r="AS46" i="2"/>
  <c r="AP37" i="2"/>
  <c r="AB37" i="2"/>
  <c r="G37" i="2"/>
  <c r="N37" i="2"/>
  <c r="U37" i="2"/>
  <c r="Q25" i="2"/>
  <c r="Q29" i="2"/>
  <c r="Q46" i="2"/>
  <c r="AH14" i="8"/>
  <c r="AH40" i="2"/>
  <c r="T40" i="2"/>
  <c r="D211" i="2"/>
  <c r="F40" i="2"/>
  <c r="D183" i="2"/>
  <c r="AO40" i="2"/>
  <c r="AA40" i="2"/>
  <c r="D264" i="2"/>
  <c r="M40" i="2"/>
  <c r="D262" i="2"/>
  <c r="AN41" i="2"/>
  <c r="Z41" i="2"/>
  <c r="L41" i="2"/>
  <c r="AG41" i="2"/>
  <c r="S41" i="2"/>
  <c r="E41" i="2"/>
  <c r="D235" i="2"/>
  <c r="D210" i="2"/>
  <c r="AP42" i="2"/>
  <c r="D237" i="2"/>
  <c r="D236" i="2"/>
  <c r="D185" i="2"/>
  <c r="D222" i="2"/>
  <c r="D263" i="2"/>
  <c r="D184" i="2"/>
  <c r="D209" i="2"/>
  <c r="D187" i="2"/>
  <c r="D254" i="2"/>
  <c r="D176" i="2"/>
  <c r="D202" i="2"/>
  <c r="D228" i="2"/>
  <c r="D186" i="2"/>
  <c r="D175" i="2"/>
  <c r="D253" i="2"/>
  <c r="D201" i="2"/>
  <c r="D227" i="2"/>
  <c r="D230" i="2"/>
  <c r="D178" i="2"/>
  <c r="D204" i="2"/>
  <c r="D256" i="2"/>
  <c r="D238" i="2"/>
  <c r="D212" i="2"/>
  <c r="D239" i="2"/>
  <c r="D214" i="2"/>
  <c r="D188" i="2"/>
  <c r="D240" i="2"/>
  <c r="D203" i="2"/>
  <c r="D229" i="2"/>
  <c r="D255" i="2"/>
  <c r="D177" i="2"/>
  <c r="D231" i="2"/>
  <c r="D205" i="2"/>
  <c r="D179" i="2"/>
  <c r="D258" i="2"/>
  <c r="D257" i="2"/>
  <c r="D206" i="2"/>
  <c r="D232" i="2"/>
  <c r="D180" i="2"/>
  <c r="D261" i="2"/>
  <c r="D213" i="2"/>
  <c r="D265" i="2"/>
  <c r="D274" i="2"/>
  <c r="D266" i="2"/>
  <c r="N42" i="2"/>
  <c r="D270" i="2"/>
  <c r="U42" i="2"/>
  <c r="AB42" i="2"/>
  <c r="AI42" i="2"/>
  <c r="G42" i="2"/>
  <c r="H86" i="13"/>
  <c r="C55" i="13"/>
  <c r="E114" i="13"/>
  <c r="E116" i="13"/>
  <c r="U57" i="13"/>
  <c r="R57" i="13"/>
  <c r="O57" i="13"/>
  <c r="L57" i="13"/>
  <c r="I57" i="13"/>
  <c r="F57" i="13"/>
  <c r="E87" i="12"/>
  <c r="E89" i="12"/>
  <c r="E82" i="12"/>
  <c r="D75" i="12"/>
  <c r="D74" i="12"/>
  <c r="D73" i="12"/>
  <c r="D72" i="12"/>
  <c r="D71" i="12"/>
  <c r="H71" i="12"/>
  <c r="D70" i="12"/>
  <c r="H70" i="12"/>
  <c r="E61" i="12"/>
  <c r="E63" i="12"/>
  <c r="C49" i="11"/>
  <c r="E104" i="11"/>
  <c r="E97" i="11"/>
  <c r="E98" i="11"/>
  <c r="K46" i="11"/>
  <c r="U51" i="11"/>
  <c r="R51" i="11"/>
  <c r="O51" i="11"/>
  <c r="L51" i="11"/>
  <c r="I51" i="11"/>
  <c r="F51" i="11"/>
  <c r="C35" i="10"/>
  <c r="F104" i="10"/>
  <c r="F103" i="10"/>
  <c r="D196" i="2"/>
  <c r="D273" i="2"/>
  <c r="D221" i="2"/>
  <c r="D247" i="2"/>
  <c r="D195" i="2"/>
  <c r="D248" i="2"/>
  <c r="D271" i="2"/>
  <c r="D192" i="2"/>
  <c r="D245" i="2"/>
  <c r="D218" i="2"/>
  <c r="D220" i="2"/>
  <c r="D191" i="2"/>
  <c r="D194" i="2"/>
  <c r="D272" i="2"/>
  <c r="D244" i="2"/>
  <c r="D243" i="2"/>
  <c r="D193" i="2"/>
  <c r="D217" i="2"/>
  <c r="D219" i="2"/>
  <c r="D269" i="2"/>
  <c r="D246" i="2"/>
  <c r="E66" i="12"/>
  <c r="U27" i="12"/>
  <c r="U115" i="9"/>
  <c r="R115" i="9"/>
  <c r="F115" i="9"/>
  <c r="L115" i="9"/>
  <c r="O115" i="9"/>
  <c r="I115" i="9"/>
  <c r="E77" i="11"/>
  <c r="R33" i="11"/>
  <c r="U114" i="9"/>
  <c r="F114" i="9"/>
  <c r="O114" i="9"/>
  <c r="R114" i="9"/>
  <c r="L114" i="9"/>
  <c r="I114" i="9"/>
  <c r="E83" i="12"/>
  <c r="K38" i="12"/>
  <c r="H75" i="12"/>
  <c r="H73" i="12"/>
  <c r="H74" i="12"/>
  <c r="H72" i="12"/>
  <c r="E90" i="12"/>
  <c r="E117" i="13"/>
  <c r="E118" i="13"/>
  <c r="E119" i="13"/>
  <c r="E109" i="13"/>
  <c r="E110" i="13"/>
  <c r="T52" i="13"/>
  <c r="I47" i="12"/>
  <c r="N46" i="11"/>
  <c r="E46" i="11"/>
  <c r="Q46" i="11"/>
  <c r="H46" i="11"/>
  <c r="T46" i="11"/>
  <c r="E102" i="11"/>
  <c r="E105" i="11"/>
  <c r="T39" i="11"/>
  <c r="H39" i="11"/>
  <c r="Q39" i="11"/>
  <c r="N39" i="11"/>
  <c r="F105" i="10"/>
  <c r="L33" i="11"/>
  <c r="L27" i="12"/>
  <c r="O27" i="12"/>
  <c r="R27" i="12"/>
  <c r="AG14" i="8"/>
  <c r="F33" i="11"/>
  <c r="F39" i="11"/>
  <c r="F53" i="11"/>
  <c r="O33" i="11"/>
  <c r="U33" i="11"/>
  <c r="I33" i="11"/>
  <c r="I39" i="11"/>
  <c r="I53" i="11"/>
  <c r="K39" i="11"/>
  <c r="I54" i="12"/>
  <c r="Q38" i="12"/>
  <c r="N38" i="12"/>
  <c r="T38" i="12"/>
  <c r="K52" i="13"/>
  <c r="N41" i="12"/>
  <c r="K41" i="12"/>
  <c r="D135" i="12"/>
  <c r="T41" i="12"/>
  <c r="Q41" i="12"/>
  <c r="Q52" i="13"/>
  <c r="N52" i="13"/>
  <c r="H52" i="13"/>
  <c r="E52" i="13"/>
  <c r="T55" i="13"/>
  <c r="Q55" i="13"/>
  <c r="N55" i="13"/>
  <c r="K55" i="13"/>
  <c r="H55" i="13"/>
  <c r="E55" i="13"/>
  <c r="E49" i="11"/>
  <c r="Q49" i="11"/>
  <c r="K49" i="11"/>
  <c r="T49" i="11"/>
  <c r="H49" i="11"/>
  <c r="N49" i="11"/>
  <c r="E39" i="11"/>
  <c r="D145" i="12"/>
  <c r="D125" i="12"/>
  <c r="D176" i="13"/>
  <c r="D196" i="13"/>
  <c r="D195" i="13"/>
  <c r="D205" i="13"/>
  <c r="D175" i="13"/>
  <c r="D185" i="13"/>
  <c r="D206" i="13"/>
  <c r="D182" i="13"/>
  <c r="D192" i="13"/>
  <c r="D202" i="13"/>
  <c r="D172" i="13"/>
  <c r="D194" i="13"/>
  <c r="D174" i="13"/>
  <c r="D204" i="13"/>
  <c r="D184" i="13"/>
  <c r="D201" i="13"/>
  <c r="D191" i="13"/>
  <c r="D181" i="13"/>
  <c r="D171" i="13"/>
  <c r="D173" i="13"/>
  <c r="D193" i="13"/>
  <c r="D203" i="13"/>
  <c r="D183" i="13"/>
  <c r="D186" i="13"/>
  <c r="T43" i="12"/>
  <c r="D148" i="12"/>
  <c r="D138" i="12"/>
  <c r="D118" i="12"/>
  <c r="D128" i="12"/>
  <c r="N43" i="12"/>
  <c r="D116" i="12"/>
  <c r="D126" i="12"/>
  <c r="D146" i="12"/>
  <c r="D136" i="12"/>
  <c r="D127" i="12"/>
  <c r="D147" i="12"/>
  <c r="D137" i="12"/>
  <c r="D117" i="12"/>
  <c r="D115" i="12"/>
  <c r="F103" i="9"/>
  <c r="K134" i="12"/>
  <c r="Q57" i="14"/>
  <c r="R57" i="14"/>
  <c r="K144" i="12"/>
  <c r="Q69" i="14"/>
  <c r="R69" i="14"/>
  <c r="K114" i="12"/>
  <c r="K124" i="12"/>
  <c r="Q45" i="14"/>
  <c r="R45" i="14"/>
  <c r="K43" i="12"/>
  <c r="D153" i="11"/>
  <c r="D148" i="11"/>
  <c r="D161" i="11"/>
  <c r="D162" i="11"/>
  <c r="D158" i="11"/>
  <c r="D150" i="11"/>
  <c r="D160" i="11"/>
  <c r="D180" i="11"/>
  <c r="D170" i="11"/>
  <c r="D169" i="11"/>
  <c r="D172" i="11"/>
  <c r="D151" i="11"/>
  <c r="D173" i="11"/>
  <c r="D178" i="11"/>
  <c r="D149" i="11"/>
  <c r="D159" i="11"/>
  <c r="D152" i="11"/>
  <c r="D181" i="11"/>
  <c r="D163" i="11"/>
  <c r="D179" i="11"/>
  <c r="D182" i="11"/>
  <c r="D171" i="11"/>
  <c r="D183" i="11"/>
  <c r="D168" i="11"/>
  <c r="D164" i="10"/>
  <c r="D184" i="10"/>
  <c r="D194" i="10"/>
  <c r="D174" i="10"/>
  <c r="D197" i="10"/>
  <c r="D177" i="10"/>
  <c r="D187" i="10"/>
  <c r="D167" i="10"/>
  <c r="D185" i="10"/>
  <c r="D165" i="10"/>
  <c r="D195" i="10"/>
  <c r="D175" i="10"/>
  <c r="D196" i="10"/>
  <c r="D186" i="10"/>
  <c r="D166" i="10"/>
  <c r="D176" i="10"/>
  <c r="K61" i="14"/>
  <c r="L61" i="14"/>
  <c r="K73" i="14"/>
  <c r="L73" i="14"/>
  <c r="Q43" i="12"/>
  <c r="T45" i="12"/>
  <c r="R7" i="14"/>
  <c r="Q33" i="14"/>
  <c r="R33" i="14"/>
  <c r="N45" i="12"/>
  <c r="K45" i="12"/>
  <c r="K49" i="14"/>
  <c r="L49" i="14"/>
  <c r="K37" i="14"/>
  <c r="L37" i="14"/>
  <c r="Q45" i="12"/>
  <c r="AI56" i="14"/>
  <c r="AJ56" i="14"/>
  <c r="W57" i="14"/>
  <c r="X57" i="14"/>
  <c r="Q67" i="14"/>
  <c r="R67" i="14"/>
  <c r="J104" i="9"/>
  <c r="AO70" i="14"/>
  <c r="AP70" i="14"/>
  <c r="AI58" i="14"/>
  <c r="AJ58" i="14"/>
  <c r="W58" i="14"/>
  <c r="X58" i="14"/>
  <c r="W70" i="14"/>
  <c r="X70" i="14"/>
  <c r="W46" i="14"/>
  <c r="X46" i="14"/>
  <c r="AO57" i="14"/>
  <c r="AP57" i="14"/>
  <c r="AO69" i="14"/>
  <c r="AP69" i="14"/>
  <c r="AC69" i="14"/>
  <c r="AD69" i="14"/>
  <c r="AC57" i="14"/>
  <c r="AD57" i="14"/>
  <c r="G102" i="9"/>
  <c r="W56" i="14"/>
  <c r="X56" i="14"/>
  <c r="J102" i="9"/>
  <c r="AO68" i="14"/>
  <c r="AP68" i="14"/>
  <c r="AO56" i="14"/>
  <c r="AP56" i="14"/>
  <c r="F102" i="9"/>
  <c r="Q56" i="14"/>
  <c r="R56" i="14"/>
  <c r="Q68" i="14"/>
  <c r="R68" i="14"/>
  <c r="AI68" i="14"/>
  <c r="AJ68" i="14"/>
  <c r="H102" i="9"/>
  <c r="AC68" i="14"/>
  <c r="AD68" i="14"/>
  <c r="AC56" i="14"/>
  <c r="AD56" i="14"/>
  <c r="E102" i="9"/>
  <c r="K56" i="14"/>
  <c r="L56" i="14"/>
  <c r="K68" i="14"/>
  <c r="L68" i="14"/>
  <c r="W68" i="14"/>
  <c r="X68" i="14"/>
  <c r="W55" i="14"/>
  <c r="X55" i="14"/>
  <c r="AC67" i="14"/>
  <c r="AD67" i="14"/>
  <c r="AO67" i="14"/>
  <c r="AP67" i="14"/>
  <c r="W45" i="14"/>
  <c r="X45" i="14"/>
  <c r="G103" i="9"/>
  <c r="Q31" i="14"/>
  <c r="R31" i="14"/>
  <c r="W69" i="14"/>
  <c r="X69" i="14"/>
  <c r="Q55" i="14"/>
  <c r="R55" i="14"/>
  <c r="Q43" i="14"/>
  <c r="R43" i="14"/>
  <c r="L11" i="14"/>
  <c r="B68" i="14"/>
  <c r="E68" i="14"/>
  <c r="F68" i="14"/>
  <c r="B56" i="14"/>
  <c r="E56" i="14"/>
  <c r="F56" i="14"/>
  <c r="W44" i="14"/>
  <c r="X44" i="14"/>
  <c r="AC45" i="14"/>
  <c r="AD45" i="14"/>
  <c r="AO45" i="14"/>
  <c r="AP45" i="14"/>
  <c r="AO46" i="14"/>
  <c r="AP46" i="14"/>
  <c r="AI44" i="14"/>
  <c r="AJ44" i="14"/>
  <c r="Q44" i="14"/>
  <c r="R44" i="14"/>
  <c r="AC44" i="14"/>
  <c r="AD44" i="14"/>
  <c r="AO44" i="14"/>
  <c r="AP44" i="14"/>
  <c r="Q32" i="14"/>
  <c r="R32" i="14"/>
  <c r="AC33" i="14"/>
  <c r="AD33" i="14"/>
  <c r="AO32" i="14"/>
  <c r="AP32" i="14"/>
  <c r="W32" i="14"/>
  <c r="X32" i="14"/>
  <c r="K32" i="14"/>
  <c r="L32" i="14"/>
  <c r="AO33" i="14"/>
  <c r="AP33" i="14"/>
  <c r="W34" i="14"/>
  <c r="X34" i="14"/>
  <c r="AC32" i="14"/>
  <c r="AD32" i="14"/>
  <c r="K44" i="14"/>
  <c r="L44" i="14"/>
  <c r="AI32" i="14"/>
  <c r="AJ32" i="14"/>
  <c r="AO34" i="14"/>
  <c r="AP34" i="14"/>
  <c r="F104" i="9"/>
  <c r="Q70" i="14"/>
  <c r="R70" i="14"/>
  <c r="Q46" i="14"/>
  <c r="R46" i="14"/>
  <c r="Q58" i="14"/>
  <c r="R58" i="14"/>
  <c r="K58" i="14"/>
  <c r="L58" i="14"/>
  <c r="K70" i="14"/>
  <c r="L70" i="14"/>
  <c r="H104" i="9"/>
  <c r="L194" i="13"/>
  <c r="AC70" i="14"/>
  <c r="AD70" i="14"/>
  <c r="I104" i="9"/>
  <c r="AI70" i="14"/>
  <c r="AJ70" i="14"/>
  <c r="AC58" i="14"/>
  <c r="AD58" i="14"/>
  <c r="AI69" i="14"/>
  <c r="AJ69" i="14"/>
  <c r="AI57" i="14"/>
  <c r="AJ57" i="14"/>
  <c r="AI55" i="14"/>
  <c r="AJ55" i="14"/>
  <c r="AI67" i="14"/>
  <c r="AJ67" i="14"/>
  <c r="L55" i="14"/>
  <c r="W67" i="14"/>
  <c r="X67" i="14"/>
  <c r="AC55" i="14"/>
  <c r="AD55" i="14"/>
  <c r="AO55" i="14"/>
  <c r="AP55" i="14"/>
  <c r="J101" i="9"/>
  <c r="I101" i="9"/>
  <c r="H101" i="9"/>
  <c r="O23" i="8"/>
  <c r="T23" i="8"/>
  <c r="U23" i="8"/>
  <c r="X7" i="14"/>
  <c r="X33" i="14"/>
  <c r="L6" i="14"/>
  <c r="X8" i="14"/>
  <c r="B44" i="14"/>
  <c r="E44" i="14"/>
  <c r="F44" i="14"/>
  <c r="AI31" i="14"/>
  <c r="AJ31" i="14"/>
  <c r="W31" i="14"/>
  <c r="X31" i="14"/>
  <c r="E67" i="14"/>
  <c r="F67" i="14"/>
  <c r="L67" i="14"/>
  <c r="AO31" i="14"/>
  <c r="AP31" i="14"/>
  <c r="AC31" i="14"/>
  <c r="AD31" i="14"/>
  <c r="B70" i="14"/>
  <c r="E70" i="14"/>
  <c r="F70" i="14"/>
  <c r="E55" i="14"/>
  <c r="F55" i="14"/>
  <c r="AI43" i="14"/>
  <c r="AJ43" i="14"/>
  <c r="AO43" i="14"/>
  <c r="AP43" i="14"/>
  <c r="AC43" i="14"/>
  <c r="AD43" i="14"/>
  <c r="B58" i="14"/>
  <c r="E58" i="14"/>
  <c r="F58" i="14"/>
  <c r="W43" i="14"/>
  <c r="X43" i="14"/>
  <c r="AI45" i="14"/>
  <c r="AJ45" i="14"/>
  <c r="AC46" i="14"/>
  <c r="AD46" i="14"/>
  <c r="AC34" i="14"/>
  <c r="AD34" i="14"/>
  <c r="AI33" i="14"/>
  <c r="AJ33" i="14"/>
  <c r="AI34" i="14"/>
  <c r="AJ34" i="14"/>
  <c r="K46" i="14"/>
  <c r="L46" i="14"/>
  <c r="L43" i="14"/>
  <c r="Q34" i="14"/>
  <c r="R34" i="14"/>
  <c r="K34" i="14"/>
  <c r="L34" i="14"/>
  <c r="B34" i="14"/>
  <c r="F32" i="14"/>
  <c r="T51" i="8"/>
  <c r="U51" i="8"/>
  <c r="P44" i="2"/>
  <c r="P46" i="2"/>
  <c r="O44" i="2"/>
  <c r="O46" i="2"/>
  <c r="AD7" i="14"/>
  <c r="AD6" i="14"/>
  <c r="AJ6" i="14"/>
  <c r="R6" i="14"/>
  <c r="R8" i="14"/>
  <c r="R5" i="14"/>
  <c r="L5" i="14"/>
  <c r="X6" i="14"/>
  <c r="L8" i="14"/>
  <c r="AJ8" i="14"/>
  <c r="AP8" i="14"/>
  <c r="AP7" i="14"/>
  <c r="AP6" i="14"/>
  <c r="B6" i="14"/>
  <c r="E6" i="14"/>
  <c r="F6" i="14"/>
  <c r="E43" i="14"/>
  <c r="F43" i="14"/>
  <c r="AI46" i="14"/>
  <c r="AJ46" i="14"/>
  <c r="B46" i="14"/>
  <c r="E46" i="14"/>
  <c r="F46" i="14"/>
  <c r="E34" i="14"/>
  <c r="F34" i="14"/>
  <c r="F31" i="14"/>
  <c r="F5" i="14"/>
  <c r="AJ7" i="14"/>
  <c r="AP5" i="14"/>
  <c r="AD5" i="14"/>
  <c r="AD8" i="14"/>
  <c r="X5" i="14"/>
  <c r="B8" i="14"/>
  <c r="E8" i="14"/>
  <c r="F8" i="14"/>
  <c r="AN20" i="8"/>
  <c r="AI20" i="8"/>
  <c r="AD20" i="8"/>
  <c r="Y20" i="8"/>
  <c r="O20" i="8"/>
  <c r="AR44" i="2"/>
  <c r="AR46" i="2"/>
  <c r="AQ44" i="2"/>
  <c r="AQ46" i="2"/>
  <c r="AK44" i="2"/>
  <c r="AK46" i="2"/>
  <c r="AJ44" i="2"/>
  <c r="AJ46" i="2"/>
  <c r="AD44" i="2"/>
  <c r="AD46" i="2"/>
  <c r="AC44" i="2"/>
  <c r="AC46" i="2"/>
  <c r="Q60" i="14"/>
  <c r="R60" i="14"/>
  <c r="Q72" i="14"/>
  <c r="R72" i="14"/>
  <c r="Q73" i="14"/>
  <c r="R73" i="14"/>
  <c r="Q61" i="14"/>
  <c r="R61" i="14"/>
  <c r="F106" i="9"/>
  <c r="I44" i="2"/>
  <c r="I46" i="2"/>
  <c r="V44" i="2"/>
  <c r="V46" i="2"/>
  <c r="W44" i="2"/>
  <c r="W46" i="2"/>
  <c r="H44" i="2"/>
  <c r="H46" i="2"/>
  <c r="Q49" i="14"/>
  <c r="R49" i="14"/>
  <c r="Q48" i="14"/>
  <c r="R48" i="14"/>
  <c r="Q36" i="14"/>
  <c r="R36" i="14"/>
  <c r="Q37" i="14"/>
  <c r="R37" i="14"/>
  <c r="Q71" i="14"/>
  <c r="R71" i="14"/>
  <c r="Q59" i="14"/>
  <c r="R59" i="14"/>
  <c r="AC72" i="14"/>
  <c r="AD72" i="14"/>
  <c r="AC60" i="14"/>
  <c r="AD60" i="14"/>
  <c r="K60" i="14"/>
  <c r="L60" i="14"/>
  <c r="K72" i="14"/>
  <c r="L72" i="14"/>
  <c r="F105" i="9"/>
  <c r="U28" i="8"/>
  <c r="T56" i="8"/>
  <c r="U56" i="8"/>
  <c r="AC48" i="14"/>
  <c r="AD48" i="14"/>
  <c r="Q47" i="14"/>
  <c r="R47" i="14"/>
  <c r="K36" i="14"/>
  <c r="L36" i="14"/>
  <c r="AC36" i="14"/>
  <c r="AD36" i="14"/>
  <c r="Q35" i="14"/>
  <c r="R35" i="14"/>
  <c r="K48" i="14"/>
  <c r="L48" i="14"/>
  <c r="K71" i="14"/>
  <c r="L71" i="14"/>
  <c r="K59" i="14"/>
  <c r="L59" i="14"/>
  <c r="H106" i="9"/>
  <c r="E105" i="9"/>
  <c r="R10" i="14"/>
  <c r="R11" i="14"/>
  <c r="L10" i="14"/>
  <c r="K35" i="14"/>
  <c r="L35" i="14"/>
  <c r="K47" i="14"/>
  <c r="L47" i="14"/>
  <c r="W71" i="14"/>
  <c r="X71" i="14"/>
  <c r="W59" i="14"/>
  <c r="X59" i="14"/>
  <c r="AO73" i="14"/>
  <c r="AP73" i="14"/>
  <c r="AO61" i="14"/>
  <c r="AP61" i="14"/>
  <c r="AI73" i="14"/>
  <c r="AJ73" i="14"/>
  <c r="AI61" i="14"/>
  <c r="AJ61" i="14"/>
  <c r="AO60" i="14"/>
  <c r="AP60" i="14"/>
  <c r="AO72" i="14"/>
  <c r="AP72" i="14"/>
  <c r="AO71" i="14"/>
  <c r="AP71" i="14"/>
  <c r="AO59" i="14"/>
  <c r="AP59" i="14"/>
  <c r="AI59" i="14"/>
  <c r="AJ59" i="14"/>
  <c r="AI71" i="14"/>
  <c r="AJ71" i="14"/>
  <c r="W61" i="14"/>
  <c r="X61" i="14"/>
  <c r="W73" i="14"/>
  <c r="X73" i="14"/>
  <c r="AC61" i="14"/>
  <c r="AD61" i="14"/>
  <c r="AC73" i="14"/>
  <c r="AD73" i="14"/>
  <c r="AI72" i="14"/>
  <c r="AJ72" i="14"/>
  <c r="AI60" i="14"/>
  <c r="AJ60" i="14"/>
  <c r="W72" i="14"/>
  <c r="X72" i="14"/>
  <c r="W60" i="14"/>
  <c r="X60" i="14"/>
  <c r="AC59" i="14"/>
  <c r="AD59" i="14"/>
  <c r="AC71" i="14"/>
  <c r="AD71" i="14"/>
  <c r="G106" i="9"/>
  <c r="H105" i="9"/>
  <c r="AE28" i="8"/>
  <c r="AD56" i="8"/>
  <c r="AE56" i="8"/>
  <c r="I106" i="9"/>
  <c r="G105" i="9"/>
  <c r="Z28" i="8"/>
  <c r="Y56" i="8"/>
  <c r="Z56" i="8"/>
  <c r="J106" i="9"/>
  <c r="J105" i="9"/>
  <c r="I105" i="9"/>
  <c r="E106" i="9"/>
  <c r="AO28" i="8"/>
  <c r="AN56" i="8"/>
  <c r="AO56" i="8"/>
  <c r="AJ28" i="8"/>
  <c r="AI56" i="8"/>
  <c r="AJ56" i="8"/>
  <c r="L9" i="14"/>
  <c r="R9" i="14"/>
  <c r="AD10" i="14"/>
  <c r="AI37" i="14"/>
  <c r="AJ37" i="14"/>
  <c r="AC37" i="14"/>
  <c r="AD37" i="14"/>
  <c r="AO37" i="14"/>
  <c r="AP37" i="14"/>
  <c r="B73" i="14"/>
  <c r="E73" i="14"/>
  <c r="F73" i="14"/>
  <c r="B71" i="14"/>
  <c r="E71" i="14"/>
  <c r="F71" i="14"/>
  <c r="B72" i="14"/>
  <c r="E72" i="14"/>
  <c r="F72" i="14"/>
  <c r="F35" i="14"/>
  <c r="AC47" i="14"/>
  <c r="AD47" i="14"/>
  <c r="AO49" i="14"/>
  <c r="AP49" i="14"/>
  <c r="AC49" i="14"/>
  <c r="AD49" i="14"/>
  <c r="B61" i="14"/>
  <c r="E61" i="14"/>
  <c r="F61" i="14"/>
  <c r="B59" i="14"/>
  <c r="E59" i="14"/>
  <c r="F59" i="14"/>
  <c r="AO48" i="14"/>
  <c r="AP48" i="14"/>
  <c r="AI49" i="14"/>
  <c r="AJ49" i="14"/>
  <c r="AI48" i="14"/>
  <c r="AJ48" i="14"/>
  <c r="W47" i="14"/>
  <c r="X47" i="14"/>
  <c r="AI47" i="14"/>
  <c r="AJ47" i="14"/>
  <c r="AO35" i="14"/>
  <c r="AP35" i="14"/>
  <c r="W36" i="14"/>
  <c r="X36" i="14"/>
  <c r="B36" i="14"/>
  <c r="AI35" i="14"/>
  <c r="AJ35" i="14"/>
  <c r="AO36" i="14"/>
  <c r="AP36" i="14"/>
  <c r="AI36" i="14"/>
  <c r="AJ36" i="14"/>
  <c r="W37" i="14"/>
  <c r="X37" i="14"/>
  <c r="B37" i="14"/>
  <c r="W49" i="14"/>
  <c r="X49" i="14"/>
  <c r="AC35" i="14"/>
  <c r="AD35" i="14"/>
  <c r="W35" i="14"/>
  <c r="X35" i="14"/>
  <c r="W48" i="14"/>
  <c r="X48" i="14"/>
  <c r="F47" i="12"/>
  <c r="F54" i="12"/>
  <c r="K143" i="12"/>
  <c r="K113" i="12"/>
  <c r="K133" i="12"/>
  <c r="K123" i="12"/>
  <c r="X11" i="14"/>
  <c r="X10" i="14"/>
  <c r="AP9" i="14"/>
  <c r="B49" i="14"/>
  <c r="E49" i="14"/>
  <c r="F49" i="14"/>
  <c r="B48" i="14"/>
  <c r="E48" i="14"/>
  <c r="F48" i="14"/>
  <c r="B47" i="14"/>
  <c r="E47" i="14"/>
  <c r="F47" i="14"/>
  <c r="E37" i="14"/>
  <c r="F37" i="14"/>
  <c r="AO47" i="14"/>
  <c r="AP47" i="14"/>
  <c r="B60" i="14"/>
  <c r="E60" i="14"/>
  <c r="F60" i="14"/>
  <c r="E36" i="14"/>
  <c r="F36" i="14"/>
  <c r="E103" i="9"/>
  <c r="F91" i="9"/>
  <c r="F95" i="9"/>
  <c r="K57" i="14"/>
  <c r="L57" i="14"/>
  <c r="B57" i="14"/>
  <c r="E57" i="14"/>
  <c r="F57" i="14"/>
  <c r="K33" i="14"/>
  <c r="L33" i="14"/>
  <c r="B33" i="14"/>
  <c r="K45" i="14"/>
  <c r="L45" i="14"/>
  <c r="B45" i="14"/>
  <c r="E45" i="14"/>
  <c r="F45" i="14"/>
  <c r="O56" i="8"/>
  <c r="P56" i="8"/>
  <c r="K28" i="8"/>
  <c r="K69" i="14"/>
  <c r="L69" i="14"/>
  <c r="B69" i="14"/>
  <c r="E69" i="14"/>
  <c r="F69" i="14"/>
  <c r="B11" i="14"/>
  <c r="E11" i="14"/>
  <c r="F11" i="14"/>
  <c r="AP10" i="14"/>
  <c r="AD9" i="14"/>
  <c r="AJ10" i="14"/>
  <c r="X9" i="14"/>
  <c r="AJ11" i="14"/>
  <c r="AJ9" i="14"/>
  <c r="AD11" i="14"/>
  <c r="AP11" i="14"/>
  <c r="B9" i="14"/>
  <c r="E9" i="14"/>
  <c r="F9" i="14"/>
  <c r="B10" i="14"/>
  <c r="E10" i="14"/>
  <c r="F10" i="14"/>
  <c r="G91" i="9"/>
  <c r="G95" i="9"/>
  <c r="L7" i="14"/>
  <c r="P23" i="8"/>
  <c r="O51" i="8"/>
  <c r="P51" i="8"/>
  <c r="I56" i="8"/>
  <c r="K56" i="8"/>
  <c r="AE14" i="8"/>
  <c r="E33" i="14"/>
  <c r="F33" i="14"/>
  <c r="B7" i="14"/>
  <c r="E7" i="14"/>
  <c r="F7" i="14"/>
  <c r="G26" i="8"/>
  <c r="AG9" i="8"/>
  <c r="AC22" i="8"/>
  <c r="AD22" i="8"/>
  <c r="AE22" i="8"/>
  <c r="AD50" i="8"/>
  <c r="AE50" i="8"/>
  <c r="P22" i="8"/>
  <c r="X22" i="8"/>
  <c r="Y22" i="8"/>
  <c r="Z22" i="8"/>
  <c r="Y50" i="8"/>
  <c r="Z50" i="8"/>
  <c r="AH9" i="8"/>
  <c r="AM22" i="8"/>
  <c r="AN22" i="8"/>
  <c r="AO22" i="8"/>
  <c r="AN50" i="8"/>
  <c r="AO50" i="8"/>
  <c r="S22" i="8"/>
  <c r="T22" i="8"/>
  <c r="U22" i="8"/>
  <c r="T50" i="8"/>
  <c r="U50" i="8"/>
  <c r="AH22" i="8"/>
  <c r="AI22" i="8"/>
  <c r="AJ22" i="8"/>
  <c r="AI50" i="8"/>
  <c r="AJ50" i="8"/>
  <c r="O24" i="8"/>
  <c r="P24" i="8"/>
  <c r="AJ52" i="8"/>
  <c r="AH11" i="8"/>
  <c r="X24" i="8"/>
  <c r="AM24" i="8"/>
  <c r="AN24" i="8"/>
  <c r="AO24" i="8"/>
  <c r="AN52" i="8"/>
  <c r="AO52" i="8"/>
  <c r="AE52" i="8"/>
  <c r="S24" i="8"/>
  <c r="T24" i="8"/>
  <c r="U24" i="8"/>
  <c r="T52" i="8"/>
  <c r="U52" i="8"/>
  <c r="AH12" i="8"/>
  <c r="P25" i="8"/>
  <c r="AM25" i="8"/>
  <c r="AN25" i="8"/>
  <c r="AO25" i="8"/>
  <c r="AN53" i="8"/>
  <c r="AO53" i="8"/>
  <c r="S25" i="8"/>
  <c r="T25" i="8"/>
  <c r="U25" i="8"/>
  <c r="T53" i="8"/>
  <c r="U53" i="8"/>
  <c r="AH25" i="8"/>
  <c r="AI25" i="8"/>
  <c r="AJ25" i="8"/>
  <c r="AI53" i="8"/>
  <c r="AJ53" i="8"/>
  <c r="AC25" i="8"/>
  <c r="AD25" i="8"/>
  <c r="AE25" i="8"/>
  <c r="AD53" i="8"/>
  <c r="AE53" i="8"/>
  <c r="AG12" i="8"/>
  <c r="X25" i="8"/>
  <c r="Y25" i="8"/>
  <c r="Z25" i="8"/>
  <c r="Y53" i="8"/>
  <c r="Z53" i="8"/>
  <c r="AE49" i="8"/>
  <c r="AH8" i="8"/>
  <c r="U49" i="8"/>
  <c r="AJ49" i="8"/>
  <c r="AM21" i="8"/>
  <c r="AN21" i="8"/>
  <c r="AO21" i="8"/>
  <c r="AN49" i="8"/>
  <c r="AO49" i="8"/>
  <c r="X21" i="8"/>
  <c r="Y21" i="8"/>
  <c r="Z21" i="8"/>
  <c r="Y49" i="8"/>
  <c r="Z49" i="8"/>
  <c r="AH10" i="8"/>
  <c r="AE23" i="8"/>
  <c r="AD51" i="8"/>
  <c r="AE51" i="8"/>
  <c r="AH23" i="8"/>
  <c r="AI23" i="8"/>
  <c r="AJ23" i="8"/>
  <c r="AI51" i="8"/>
  <c r="AJ51" i="8"/>
  <c r="AM23" i="8"/>
  <c r="AN23" i="8"/>
  <c r="AO23" i="8"/>
  <c r="AN51" i="8"/>
  <c r="AO51" i="8"/>
  <c r="Z23" i="8"/>
  <c r="N26" i="8"/>
  <c r="O26" i="8"/>
  <c r="P26" i="8"/>
  <c r="O54" i="8"/>
  <c r="P54" i="8"/>
  <c r="AG13" i="8"/>
  <c r="AH26" i="8"/>
  <c r="AI26" i="8"/>
  <c r="AJ26" i="8"/>
  <c r="AI54" i="8"/>
  <c r="AJ54" i="8"/>
  <c r="AH13" i="8"/>
  <c r="S26" i="8"/>
  <c r="T26" i="8"/>
  <c r="U26" i="8"/>
  <c r="T54" i="8"/>
  <c r="U54" i="8"/>
  <c r="X26" i="8"/>
  <c r="Y26" i="8"/>
  <c r="Z26" i="8"/>
  <c r="Y54" i="8"/>
  <c r="Z54" i="8"/>
  <c r="AC26" i="8"/>
  <c r="AD26" i="8"/>
  <c r="AE26" i="8"/>
  <c r="AD54" i="8"/>
  <c r="AE54" i="8"/>
  <c r="AM26" i="8"/>
  <c r="AN26" i="8"/>
  <c r="AO26" i="8"/>
  <c r="AN54" i="8"/>
  <c r="AO54" i="8"/>
  <c r="Y24" i="8"/>
  <c r="Z24" i="8"/>
  <c r="Y52" i="8"/>
  <c r="Z52" i="8"/>
  <c r="K26" i="8"/>
  <c r="I54" i="8"/>
  <c r="K54" i="8"/>
  <c r="K23" i="8"/>
  <c r="Y51" i="8"/>
  <c r="Z51" i="8"/>
  <c r="O50" i="8"/>
  <c r="P50" i="8"/>
  <c r="K22" i="8"/>
  <c r="O53" i="8"/>
  <c r="P53" i="8"/>
  <c r="K25" i="8"/>
  <c r="O52" i="8"/>
  <c r="P52" i="8"/>
  <c r="P49" i="8"/>
  <c r="K21" i="8"/>
  <c r="AE8" i="8"/>
  <c r="K24" i="8"/>
  <c r="I52" i="8"/>
  <c r="K52" i="8"/>
  <c r="AE13" i="8"/>
  <c r="AE9" i="8"/>
  <c r="I50" i="8"/>
  <c r="K50" i="8"/>
  <c r="AE12" i="8"/>
  <c r="I53" i="8"/>
  <c r="K53" i="8"/>
  <c r="I51" i="8"/>
  <c r="K51" i="8"/>
  <c r="AE10" i="8"/>
  <c r="I49" i="8"/>
  <c r="K49" i="8"/>
  <c r="AE11"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George</author>
    <author>tc={1F5DF5DC-EC18-4B16-ABB7-6488ED1CFC5B}</author>
  </authors>
  <commentList>
    <comment ref="C33" authorId="0" shapeId="0" xr:uid="{5FFA2DC1-489A-4878-BD03-ABA066EC2EBB}">
      <text>
        <r>
          <rPr>
            <b/>
            <sz val="9"/>
            <color indexed="81"/>
            <rFont val="Tahoma"/>
            <family val="2"/>
          </rPr>
          <t>Approx 40-45% of total production from broadleaved woodlands is from thinning. Broadleaved woodland yield an average of 4 to 8 Cu m per annum. This means thinning can provide 3.6 Cu m of timber per annum. (Nix, 2020)
Broadleaved thinnings have a value of £0 to £16 per Cu m. (ABC, 2020)</t>
        </r>
      </text>
    </comment>
    <comment ref="C95" authorId="1" shapeId="0" xr:uid="{1F5DF5DC-EC18-4B16-ABB7-6488ED1CFC5B}">
      <text>
        <t>[Threaded comment]
Your version of Excel allows you to read this threaded comment; however, any edits to it will get removed if the file is opened in a newer version of Excel. Learn more: https://go.microsoft.com/fwlink/?linkid=870924
Comment:
    may need tp one higher for livestock systems...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C27" authorId="0" shapeId="0" xr:uid="{8B6B699C-85E6-4F5B-937E-11A113945BD5}">
      <text>
        <r>
          <rPr>
            <b/>
            <sz val="9"/>
            <color indexed="81"/>
            <rFont val="Tahoma"/>
            <family val="2"/>
          </rPr>
          <t>Approx 40-45% of total production from broadleaved woodlands is from thinning. Broadleaved woodland yield an average of 4 to 8 Cu m per annum. This means thinning can provide 3.6 Cu m of timber per annum. (Nix, 2020)
Broadleaved thinnings have a value of £0 to £16 per Cu m. (ABC, 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George</author>
  </authors>
  <commentList>
    <comment ref="C23" authorId="0" shapeId="0" xr:uid="{80A01EBD-0392-446C-81D5-C9384840A3AB}">
      <text>
        <r>
          <rPr>
            <b/>
            <sz val="9"/>
            <color indexed="81"/>
            <rFont val="Tahoma"/>
            <family val="2"/>
          </rPr>
          <t>Approx 40-45% of total production from broadleaved woodlands is from thinning. Broadleaved woodland yield an average of 4 to 8 Cu m per annum. This means thinning can provide 3.6 Cu m of timber per annum. (Nix, 2020)
Broadleaved thinnings have a value of £0 to £16 per Cu m. (ABC, 2020)</t>
        </r>
      </text>
    </comment>
    <comment ref="C24" authorId="0" shapeId="0" xr:uid="{CE514F59-9F4A-4AA0-AB11-8148092DEF10}">
      <text>
        <r>
          <rPr>
            <b/>
            <sz val="9"/>
            <color indexed="81"/>
            <rFont val="Tahoma"/>
            <family val="2"/>
          </rPr>
          <t>Sites in lowland Britain typically produce an average of 12 to 18 Cu m of timber per ha per year over the whole rotation (Nix, 2020)
Average confier standing sale price for GB 2019 was £30.03
 in real terms. (Forestry Commission: Timber Price Indices. May 2019)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tc={21A92FA1-CE7F-4FED-976E-1F1DC18947F5}</author>
    <author>tc={C57785B0-38F7-472B-B498-7899F13F9BF6}</author>
    <author>tc={44B36385-B9C0-4F7C-BBDF-86898FFEE5AA}</author>
    <author>tc={1B2A0D81-2423-40EC-98DF-E60A394914E7}</author>
    <author>tc={07FC8631-109C-4018-96CD-C90F2446A02C}</author>
    <author>tc={F8755DE6-8CA7-4768-98E4-1241F0AA5571}</author>
    <author>tc={52D05CA4-8711-4DBC-92CB-36A4BBC2B44A}</author>
    <author>tc={ACBAE256-01CF-4A98-9927-A3B07C93CF6E}</author>
    <author>tc={D1AD0BF6-3596-4FC2-9F3B-B5CF1D336119}</author>
    <author>tc={C92F0CCD-05D0-49E9-83E1-76D5340316F8}</author>
    <author>tc={0A2B6D83-E181-4DF2-94B3-E691D60D87AD}</author>
    <author>tc={7009ED7D-E6DF-41B3-BF2C-5E1A29BFDED0}</author>
    <author>tc={B49D0EA8-B677-4798-B474-237A38258673}</author>
    <author>tc={F1071165-5F52-4DD4-B05F-ADAE51327FDD}</author>
    <author>tc={B2B5C18B-89A6-4FAE-B78B-CE5331635673}</author>
    <author>tc={A6AE56FA-1736-4A24-A5E7-67886C5A72F8}</author>
    <author>tc={83742E9D-A59E-40DC-8E7C-BEAFEA9C66F2}</author>
    <author>tc={1AECA73B-4AF0-4521-8E62-CD597A18C66D}</author>
    <author>tc={BB57ADE8-EDA5-45D0-86D7-FAF8EBFAE4F8}</author>
    <author>tc={13C9A8CC-E50B-4C2C-9D41-301B7C5FB454}</author>
  </authors>
  <commentList>
    <comment ref="F24" authorId="0" shapeId="0" xr:uid="{21A92FA1-CE7F-4FED-976E-1F1DC18947F5}">
      <text>
        <t>[Threaded comment]
Your version of Excel allows you to read this threaded comment; however, any edits to it will get removed if the file is opened in a newer version of Excel. Learn more: https://go.microsoft.com/fwlink/?linkid=870924
Comment:
    Area of farm woodland based on the June agricultural service - Defra, The Scottish Government, Wlesh Government, Northern Ireland Executive (2018) https://www.forestresearch.gov.uk/tools-and-resources/statistics/forestry-statistics/forestry-statistics-2019/woodland-area-and-planting/area-of-farm-woodland/</t>
      </text>
    </comment>
    <comment ref="M25" authorId="1" shapeId="0" xr:uid="{C57785B0-38F7-472B-B498-7899F13F9BF6}">
      <text>
        <t>[Threaded comment]
Your version of Excel allows you to read this threaded comment; however, any edits to it will get removed if the file is opened in a newer version of Excel. Learn more: https://go.microsoft.com/fwlink/?linkid=870924
Comment:
    based on total production value / farm divided by average farm area (TYFA model)</t>
      </text>
    </comment>
    <comment ref="Q25" authorId="2" shapeId="0" xr:uid="{44B36385-B9C0-4F7C-BBDF-86898FFEE5AA}">
      <text>
        <t>[Threaded comment]
Your version of Excel allows you to read this threaded comment; however, any edits to it will get removed if the file is opened in a newer version of Excel. Learn more: https://go.microsoft.com/fwlink/?linkid=870924
Comment:
    (ABC, 2020) total output Dairy Cows - Freisian /Holstein (Autumn Calving)</t>
      </text>
    </comment>
    <comment ref="U25" authorId="3" shapeId="0" xr:uid="{1B2A0D81-2423-40EC-98DF-E60A394914E7}">
      <text>
        <t>[Threaded comment]
Your version of Excel allows you to read this threaded comment; however, any edits to it will get removed if the file is opened in a newer version of Excel. Learn more: https://go.microsoft.com/fwlink/?linkid=870924
Comment:
    (ABC, 2020) output from upland breeding stock and lamb production at stocking density of 7.5 ewes/ha</t>
      </text>
    </comment>
    <comment ref="V25" authorId="4" shapeId="0" xr:uid="{07FC8631-109C-4018-96CD-C90F2446A02C}">
      <text>
        <t>[Threaded comment]
Your version of Excel allows you to read this threaded comment; however, any edits to it will get removed if the file is opened in a newer version of Excel. Learn more: https://go.microsoft.com/fwlink/?linkid=870924
Comment:
    Based on TYFA model</t>
      </text>
    </comment>
    <comment ref="Y25" authorId="5" shapeId="0" xr:uid="{F8755DE6-8CA7-4768-98E4-1241F0AA5571}">
      <text>
        <t>[Threaded comment]
Your version of Excel allows you to read this threaded comment; however, any edits to it will get removed if the file is opened in a newer version of Excel. Learn more: https://go.microsoft.com/fwlink/?linkid=870924
Comment:
    Gross margin for 18-20 Month Beef - Freisian-Cross - Steer at a stocking rate of 3.3 head/Ha (ABC, 2020)
Beef cows are used to exemplify lowland grazing systems as they account for more than half of the LU that are poroduced on lowland grazing systems.</t>
      </text>
    </comment>
    <comment ref="Z25" authorId="6" shapeId="0" xr:uid="{52D05CA4-8711-4DBC-92CB-36A4BBC2B44A}">
      <text>
        <t>[Threaded comment]
Your version of Excel allows you to read this threaded comment; however, any edits to it will get removed if the file is opened in a newer version of Excel. Learn more: https://go.microsoft.com/fwlink/?linkid=870924
Comment:
    Based on TYFA model</t>
      </text>
    </comment>
    <comment ref="AD25" authorId="7" shapeId="0" xr:uid="{ACBAE256-01CF-4A98-9927-A3B07C93CF6E}">
      <text>
        <t>[Threaded comment]
Your version of Excel allows you to read this threaded comment; however, any edits to it will get removed if the file is opened in a newer version of Excel. Learn more: https://go.microsoft.com/fwlink/?linkid=870924
Comment:
    Based on TYFA model</t>
      </text>
    </comment>
    <comment ref="E39" authorId="8" shapeId="0" xr:uid="{D1AD0BF6-3596-4FC2-9F3B-B5CF1D336119}">
      <text>
        <t>[Threaded comment]
Your version of Excel allows you to read this threaded comment; however, any edits to it will get removed if the file is opened in a newer version of Excel. Learn more: https://go.microsoft.com/fwlink/?linkid=870924
Comment:
    number of sheep</t>
      </text>
    </comment>
    <comment ref="E40" authorId="9" shapeId="0" xr:uid="{C92F0CCD-05D0-49E9-83E1-76D5340316F8}">
      <text>
        <t>[Threaded comment]
Your version of Excel allows you to read this threaded comment; however, any edits to it will get removed if the file is opened in a newer version of Excel. Learn more: https://go.microsoft.com/fwlink/?linkid=870924
Comment:
    Number of beef cows</t>
      </text>
    </comment>
    <comment ref="F70" authorId="10" shapeId="0" xr:uid="{0A2B6D83-E181-4DF2-94B3-E691D60D87AD}">
      <text>
        <t>[Threaded comment]
Your version of Excel allows you to read this threaded comment; however, any edits to it will get removed if the file is opened in a newer version of Excel. Learn more: https://go.microsoft.com/fwlink/?linkid=870924
Comment:
    Based on average number of hectares for lowdland dairy farms surveyed in Wales https://www.aber.ac.uk/en/media/departmental/ibers/farmbusinesssurvey/FBS_Booklet_2019_Web.pdf</t>
      </text>
    </comment>
    <comment ref="D71" authorId="11" shapeId="0" xr:uid="{7009ED7D-E6DF-41B3-BF2C-5E1A29BFDED0}">
      <text>
        <t>[Threaded comment]
Your version of Excel allows you to read this threaded comment; however, any edits to it will get removed if the file is opened in a newer version of Excel. Learn more: https://go.microsoft.com/fwlink/?linkid=870924
Comment:
    Wales define farm types as disadvantaged and seriously disadvantaged. For this model we consider these terms synonymous with LFA.</t>
      </text>
    </comment>
    <comment ref="F71" authorId="12" shapeId="0" xr:uid="{B49D0EA8-B677-4798-B474-237A38258673}">
      <text>
        <t>[Threaded comment]
Your version of Excel allows you to read this threaded comment; however, any edits to it will get removed if the file is opened in a newer version of Excel. Learn more: https://go.microsoft.com/fwlink/?linkid=870924
Comment:
    Based on average number of hectares for hill and upland cattle and sheep farms surveyed in Wales https://www.aber.ac.uk/en/media/departmental/ibers/farmbusinesssurvey/FBS_Booklet_2019_Web.pdf</t>
      </text>
    </comment>
    <comment ref="D72" authorId="13" shapeId="0" xr:uid="{F1071165-5F52-4DD4-B05F-ADAE51327FDD}">
      <text>
        <t>[Threaded comment]
Your version of Excel allows you to read this threaded comment; however, any edits to it will get removed if the file is opened in a newer version of Excel. Learn more: https://go.microsoft.com/fwlink/?linkid=870924
Comment:
    Wales define non-LFA grazing. We consider this synonymous with lowland grazing.</t>
      </text>
    </comment>
    <comment ref="F72" authorId="14" shapeId="0" xr:uid="{B2B5C18B-89A6-4FAE-B78B-CE5331635673}">
      <text>
        <t>[Threaded comment]
Your version of Excel allows you to read this threaded comment; however, any edits to it will get removed if the file is opened in a newer version of Excel. Learn more: https://go.microsoft.com/fwlink/?linkid=870924
Comment:
    Based on average number of hectares for lowland cattle and sheep farms surveyed in Wales https://www.aber.ac.uk/en/media/departmental/ibers/farmbusinesssurvey/FBS_Booklet_2019_Web.pdf</t>
      </text>
    </comment>
    <comment ref="P81" authorId="15" shapeId="0" xr:uid="{A6AE56FA-1736-4A24-A5E7-67886C5A72F8}">
      <text>
        <t>[Threaded comment]
Your version of Excel allows you to read this threaded comment; however, any edits to it will get removed if the file is opened in a newer version of Excel. Learn more: https://go.microsoft.com/fwlink/?linkid=870924
Comment:
    Figures are not available for the areas of these farm types. So the total area of grassland across NI is used as a proxy for the total area of grazing land. THe percentage of this land allocated to each grazing farm type is based on the grazing land taken up by each farm type in the Welsh context (18% area dairy, 74% area LFA, 9% lowland grazing)</t>
      </text>
    </comment>
    <comment ref="D83" authorId="16" shapeId="0" xr:uid="{83742E9D-A59E-40DC-8E7C-BEAFEA9C66F2}">
      <text>
        <t>[Threaded comment]
Your version of Excel allows you to read this threaded comment; however, any edits to it will get removed if the file is opened in a newer version of Excel. Learn more: https://go.microsoft.com/fwlink/?linkid=870924
Comment:
    Defined as lowland cattle and sheep in NI farm incomes</t>
      </text>
    </comment>
    <comment ref="D92" authorId="17" shapeId="0" xr:uid="{1AECA73B-4AF0-4521-8E62-CD597A18C66D}">
      <text>
        <t>[Threaded comment]
Your version of Excel allows you to read this threaded comment; however, any edits to it will get removed if the file is opened in a newer version of Excel. Learn more: https://go.microsoft.com/fwlink/?linkid=870924
Comment:
    As the areas of AFW were not available for each farm type these areas have been estimated by making the proportion of AFW estimated for each farm type equivalent to the percentage of total agricultural area taken up by each farm type.</t>
      </text>
    </comment>
    <comment ref="D93" authorId="18" shapeId="0" xr:uid="{BB57ADE8-EDA5-45D0-86D7-FAF8EBFAE4F8}">
      <text>
        <t>[Threaded comment]
Your version of Excel allows you to read this threaded comment; however, any edits to it will get removed if the file is opened in a newer version of Excel. Learn more: https://go.microsoft.com/fwlink/?linkid=870924
Comment:
    As the areas of AFW were not available for each farm type these areas have been estimated by making the proportion of AFW estimated for each farm type equivalent to the percentage of total agricultural area taken up by each farm type.</t>
      </text>
    </comment>
    <comment ref="D94" authorId="19" shapeId="0" xr:uid="{13C9A8CC-E50B-4C2C-9D41-301B7C5FB454}">
      <text>
        <t>[Threaded comment]
Your version of Excel allows you to read this threaded comment; however, any edits to it will get removed if the file is opened in a newer version of Excel. Learn more: https://go.microsoft.com/fwlink/?linkid=870924
Comment:
    As the areas of AFW were not available for each farm type these areas have been estimated by making the proportion of AFW estimated for each farm type equivalent to the percentage of total agricultural area taken up by each farm type.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<sst xmlns="http://schemas.openxmlformats.org/spreadsheetml/2006/main" count="2525" uniqueCount="738">
  <si>
    <t>Select the country that you wish to model:</t>
  </si>
  <si>
    <t>England</t>
  </si>
  <si>
    <t>Scenario</t>
  </si>
  <si>
    <t>Net income</t>
  </si>
  <si>
    <t>SA SP Orchard</t>
  </si>
  <si>
    <t>SA SP timber production</t>
  </si>
  <si>
    <t>Silvopastoral</t>
  </si>
  <si>
    <t>Shelterbelts</t>
  </si>
  <si>
    <t>Farm woodland</t>
  </si>
  <si>
    <t>Baseline</t>
  </si>
  <si>
    <t>Cereals:</t>
  </si>
  <si>
    <t>SA SP Orchards</t>
  </si>
  <si>
    <t>Horticultural:</t>
  </si>
  <si>
    <t>No support</t>
  </si>
  <si>
    <t>Dairy:</t>
  </si>
  <si>
    <t>LFA grazing:</t>
  </si>
  <si>
    <t>Lowland grazing:</t>
  </si>
  <si>
    <t>Farm woodland (conifer)</t>
  </si>
  <si>
    <t>Poultry:</t>
  </si>
  <si>
    <t>Impact of agroforestry and farm woodland on agricultural performance</t>
  </si>
  <si>
    <t>Moderate</t>
  </si>
  <si>
    <t>Farm woodland (broadleaf)</t>
  </si>
  <si>
    <t>Custom</t>
  </si>
  <si>
    <t>Composition and performance of the UK agricultural sector</t>
  </si>
  <si>
    <t>All farm types</t>
  </si>
  <si>
    <t>Cereals</t>
  </si>
  <si>
    <t>Horticultural</t>
  </si>
  <si>
    <t>Dairy</t>
  </si>
  <si>
    <t>LFA grazing</t>
  </si>
  <si>
    <t>Lowland grazing</t>
  </si>
  <si>
    <t>Poultry</t>
  </si>
  <si>
    <t>Silvoarable and silvopastoral orchards</t>
  </si>
  <si>
    <t>Silvoarable and silvopastoral timber production</t>
  </si>
  <si>
    <t>Shelter belts</t>
  </si>
  <si>
    <t>5A</t>
  </si>
  <si>
    <t>Farm woodland conifer</t>
  </si>
  <si>
    <t>5B</t>
  </si>
  <si>
    <t>Farm woodland broadleaf</t>
  </si>
  <si>
    <t>5C</t>
  </si>
  <si>
    <t>Farm woodland mixed</t>
  </si>
  <si>
    <t>Net income United Kingdom</t>
  </si>
  <si>
    <t>Cereal</t>
  </si>
  <si>
    <t>Horticulture</t>
  </si>
  <si>
    <t>Change in net income compared to baseline</t>
  </si>
  <si>
    <t>% change in net income compared to the baseline</t>
  </si>
  <si>
    <t>Income change no policy payments</t>
  </si>
  <si>
    <t>Income change current policy payments</t>
  </si>
  <si>
    <t>Cost of current policy</t>
  </si>
  <si>
    <t>Income change income foregone payment</t>
  </si>
  <si>
    <t>Cost of income foregone payment</t>
  </si>
  <si>
    <t>Net income England</t>
  </si>
  <si>
    <t>Farm woodland Mixed</t>
  </si>
  <si>
    <t>Net income Scotland</t>
  </si>
  <si>
    <t>Net income Wales</t>
  </si>
  <si>
    <t>Net income Northern Ireland</t>
  </si>
  <si>
    <t>SCENARIO DETAILS AND COSTINGS</t>
  </si>
  <si>
    <t>Scenario No.</t>
  </si>
  <si>
    <t>Scenario Name</t>
  </si>
  <si>
    <t>Description</t>
  </si>
  <si>
    <t xml:space="preserve">An overview of the current average performance or the modelled farm types. </t>
  </si>
  <si>
    <t>Management requirements / actions</t>
  </si>
  <si>
    <t>-</t>
  </si>
  <si>
    <t>Assumptions</t>
  </si>
  <si>
    <t>Farm type</t>
  </si>
  <si>
    <t>£/ha</t>
  </si>
  <si>
    <t>Income</t>
  </si>
  <si>
    <t>Output</t>
  </si>
  <si>
    <t>Average gross margin</t>
  </si>
  <si>
    <t>Sub-total</t>
  </si>
  <si>
    <t>Costs</t>
  </si>
  <si>
    <t>Labour</t>
  </si>
  <si>
    <t>Machinery</t>
  </si>
  <si>
    <t>Inputs</t>
  </si>
  <si>
    <t>% AFW</t>
  </si>
  <si>
    <t>Area of AFW</t>
  </si>
  <si>
    <t>TOTAL</t>
  </si>
  <si>
    <t xml:space="preserve">Alley cropped orchards producing fruit and either livestock or cereals. </t>
  </si>
  <si>
    <t xml:space="preserve">Plant and protect orchard trees. Trim and maintain vegetation around trees. </t>
  </si>
  <si>
    <t>Mainenance of orchard trees.</t>
  </si>
  <si>
    <t xml:space="preserve">Harvesting, transport and processing of fruit. </t>
  </si>
  <si>
    <t xml:space="preserve">Transporting and fencing of livestock. </t>
  </si>
  <si>
    <t>Apple tree strips in silvoarable orchard and silvopastoral systems are spaced 23m apart to allow for machinery to pass.</t>
  </si>
  <si>
    <t>2.5m spacings are left between trees within the same strip.</t>
  </si>
  <si>
    <t xml:space="preserve">Trees are planted at an average density of 160 trees per hectare. </t>
  </si>
  <si>
    <t>On average trees are planted along 4 strips  2m wide and 100m long taking up an area of 800 sq m (8% of the area).</t>
  </si>
  <si>
    <t>Trees in silvopastoral systems are protected with a stake 65p; rabbit spiral guard 43p; netlon guard 64p. Totalling £1.72 per tree.</t>
  </si>
  <si>
    <t>Harvesting of fruit is managed by the farmer.</t>
  </si>
  <si>
    <t>All systems are presumed to grow cider apples. Yielding 10 kg per tree pre annum; totalling 1.6 tonnes per ha.</t>
  </si>
  <si>
    <t>Losses</t>
  </si>
  <si>
    <t>Gains</t>
  </si>
  <si>
    <t>Custom variables</t>
  </si>
  <si>
    <t>Value (£/annum)</t>
  </si>
  <si>
    <t>Extra income</t>
  </si>
  <si>
    <t>Increased livestock productivity due to tree shade</t>
  </si>
  <si>
    <t>Costs saved</t>
  </si>
  <si>
    <t>Income lost</t>
  </si>
  <si>
    <t>Reduced arable productivity due to shade and headland</t>
  </si>
  <si>
    <t>Extra costs</t>
  </si>
  <si>
    <t>Establishment costs</t>
  </si>
  <si>
    <t>Variable costs</t>
  </si>
  <si>
    <t>Total variable costs</t>
  </si>
  <si>
    <t>Maintenance costs</t>
  </si>
  <si>
    <t>Change in Net income</t>
  </si>
  <si>
    <t>Policy payments</t>
  </si>
  <si>
    <t>Agri-environmental support</t>
  </si>
  <si>
    <t>Carbon payments</t>
  </si>
  <si>
    <t>Change in Net income with policy payments</t>
  </si>
  <si>
    <t>Table 1A</t>
  </si>
  <si>
    <t>Cider apple yield per hectare of SA/SP orchard</t>
  </si>
  <si>
    <t>Unit</t>
  </si>
  <si>
    <t>Value</t>
  </si>
  <si>
    <t>Yield per hectare of cider apple orchard (Nix, 2020)</t>
  </si>
  <si>
    <t>Tonne/ha</t>
  </si>
  <si>
    <t>Estimated trees per hectare cider orchard</t>
  </si>
  <si>
    <t>Trees</t>
  </si>
  <si>
    <t>Yield per cider tree</t>
  </si>
  <si>
    <t>Tonnes</t>
  </si>
  <si>
    <t>Trees per hectare SA/SP orchard</t>
  </si>
  <si>
    <t>Value per tonne of cider apples (Nix, 2020)</t>
  </si>
  <si>
    <t>£/tonne</t>
  </si>
  <si>
    <t>Apple yield per hectare SA/SP orchard</t>
  </si>
  <si>
    <t>Income from cider apples sales per hectare SA/SP orchard</t>
  </si>
  <si>
    <t>£</t>
  </si>
  <si>
    <t>Table 1B</t>
  </si>
  <si>
    <t>Agricultural gross margin lost (TYFA)</t>
  </si>
  <si>
    <t>Gross margin of farm type per ha</t>
  </si>
  <si>
    <t>Total output of farm type per ha</t>
  </si>
  <si>
    <t>Area planted with orchard trees</t>
  </si>
  <si>
    <t>Gross margin lost</t>
  </si>
  <si>
    <t xml:space="preserve">Cereals </t>
  </si>
  <si>
    <t>Table 1C</t>
  </si>
  <si>
    <t>Establishment costs (ABC, 2020; Nix, 2020)</t>
  </si>
  <si>
    <t>Unit value</t>
  </si>
  <si>
    <t>Site preparation (subsoiling) (ABC, 2020)</t>
  </si>
  <si>
    <t>Fertiliser (ABC, 2020)</t>
  </si>
  <si>
    <t>Sprays (ABC, 2020)</t>
  </si>
  <si>
    <t>Apple trees (80 / Ha) (ABC, 2020)</t>
  </si>
  <si>
    <t>£/tree</t>
  </si>
  <si>
    <t>Tree guard (tube and mesh) (based on countryside stewardship payment TE6)</t>
  </si>
  <si>
    <t>Area of SA/SP growing trees</t>
  </si>
  <si>
    <t>%</t>
  </si>
  <si>
    <t>Trees per hectare SA/SP orchard (ABC, 2020)</t>
  </si>
  <si>
    <t>Total cost</t>
  </si>
  <si>
    <t>Average annual orchard establishment costs over 25 year period</t>
  </si>
  <si>
    <t>Table 1D</t>
  </si>
  <si>
    <t>Variable costs (Nix, 2020)</t>
  </si>
  <si>
    <t>Cost/ha</t>
  </si>
  <si>
    <t>Fertiliser/spray/sundry</t>
  </si>
  <si>
    <t>Assume grown organically</t>
  </si>
  <si>
    <t>Harvesting</t>
  </si>
  <si>
    <t>Transport</t>
  </si>
  <si>
    <t>Total cost per hectare SA/SP orchard</t>
  </si>
  <si>
    <t>Replacement of dead btrees @ 20% of establishment costs (year 2 only)</t>
  </si>
  <si>
    <t>Weed control ( spot weeding with a herbicide 2x per year for 4 years )</t>
  </si>
  <si>
    <t>General yearly maintenance charge</t>
  </si>
  <si>
    <t>£50/year</t>
  </si>
  <si>
    <t>Total maintenance costs for SA/SP orchard</t>
  </si>
  <si>
    <t>Average annual maintenance costs for orchard over 25 year period</t>
  </si>
  <si>
    <t>Table 1E</t>
  </si>
  <si>
    <t>Evidence of shade benefit for productivity</t>
  </si>
  <si>
    <t>Change in productivity</t>
  </si>
  <si>
    <t>Reference</t>
  </si>
  <si>
    <t>Shade impact on milk productivity (New Zealand)</t>
  </si>
  <si>
    <t>https://www.sciencedirect.com/science/article/pii/S1871141306000412?casa_token=MOpGpRho3w8AAAAA:e1NFZI3iuMjHwbYXigPp4-mJErKpjZxtm0a_mV_RQh2RWE6yofL9-NDWYnZ-weXD7vTXgkin</t>
  </si>
  <si>
    <t>https://www.tandfonline.com/doi/abs/10.1080/00288230809510439</t>
  </si>
  <si>
    <t>Table 1F</t>
  </si>
  <si>
    <t>Carbon payment for orchard</t>
  </si>
  <si>
    <t>References</t>
  </si>
  <si>
    <t>Average carbon sequestration of UK woodland</t>
  </si>
  <si>
    <t>tCO2/ha</t>
  </si>
  <si>
    <t>https://www.forestresearch.gov.uk/documents/284/fcrp018_8ATkMhd.pdf</t>
  </si>
  <si>
    <t>Payment rate per tonne CO2</t>
  </si>
  <si>
    <t>£/tCO2</t>
  </si>
  <si>
    <t>Total carbon payment</t>
  </si>
  <si>
    <t>Table 1G</t>
  </si>
  <si>
    <t>Reduced yield close to linear features due to shade and headlands</t>
  </si>
  <si>
    <t>Reduced yield at two times the height of the environmental feature</t>
  </si>
  <si>
    <t>Sunoj, S., D. Kharel, T.P. Kharel, J. Cho, K.J. Czymmek, and Q.M. Ketterings (2020). Impact of headland area on whole field and farm corn silage and grain yield. Agronomy Journal (in press). https://doi.org/10.1002/agj2.20489.</t>
  </si>
  <si>
    <t>Sklenicka, Petr &amp; Šálek, Miroslav. (2005). Effects of forest edges on the yield of silage maize (Zea mays L.). Bodenkultur. 56. 161-168.</t>
  </si>
  <si>
    <t>Table 1H</t>
  </si>
  <si>
    <t>Arable yield reduction close to trees</t>
  </si>
  <si>
    <t>Height of feature</t>
  </si>
  <si>
    <t>m</t>
  </si>
  <si>
    <t>Total length of linear features</t>
  </si>
  <si>
    <t>Area of reduced yield</t>
  </si>
  <si>
    <t>ha</t>
  </si>
  <si>
    <t>Reduced productivity close to trees</t>
  </si>
  <si>
    <t>Table 1I</t>
  </si>
  <si>
    <t>Current policy support</t>
  </si>
  <si>
    <t>Payment rate (total)</t>
  </si>
  <si>
    <t>Possible payments available</t>
  </si>
  <si>
    <t>Best payment option average per year over 25 year period</t>
  </si>
  <si>
    <t>Orchard creation - country side stewardship</t>
  </si>
  <si>
    <t>Planting single trees - country side stewardship</t>
  </si>
  <si>
    <t>Tree guards - country side stewardship</t>
  </si>
  <si>
    <t>Scotland</t>
  </si>
  <si>
    <t>Small scale tree and scrub planting - agri-environmental climate scheme</t>
  </si>
  <si>
    <t>Agroforestry creation (200 trees) - woodland creation scheme</t>
  </si>
  <si>
    <t>£/ha/5year</t>
  </si>
  <si>
    <t>Wales</t>
  </si>
  <si>
    <t>Tree &amp; scrub planting - glastir wider</t>
  </si>
  <si>
    <t>Orchard management - glastir advanced</t>
  </si>
  <si>
    <t>Agroforestry - glastir woodland</t>
  </si>
  <si>
    <t>Northern Ireland</t>
  </si>
  <si>
    <t>Establishment of Agroforestry</t>
  </si>
  <si>
    <t>Creation of traditional orchard</t>
  </si>
  <si>
    <t>Table 1J</t>
  </si>
  <si>
    <t>Net incomes England</t>
  </si>
  <si>
    <t>Income foregone</t>
  </si>
  <si>
    <t>Agri-environment payment</t>
  </si>
  <si>
    <t>Loss of gross margin</t>
  </si>
  <si>
    <t>Total income / ha</t>
  </si>
  <si>
    <t>Table 1K</t>
  </si>
  <si>
    <t>Net incomes Scotland</t>
  </si>
  <si>
    <t>Table 1L</t>
  </si>
  <si>
    <t>Net incomes Wales</t>
  </si>
  <si>
    <t>Table 1M</t>
  </si>
  <si>
    <t>Net incomes Northern Ireland</t>
  </si>
  <si>
    <t xml:space="preserve">Projecting a doubling of AFW through the planting of strips of trees within agricultural fields for the production of timber. </t>
  </si>
  <si>
    <t>Preparation of land. Planting and protecting of sampling.</t>
  </si>
  <si>
    <t xml:space="preserve">Mainenance of trees. Weeding and mowing around trees. </t>
  </si>
  <si>
    <t xml:space="preserve">Felling and transporting of timber. </t>
  </si>
  <si>
    <t xml:space="preserve">Tree strips in silvoarable systems are spaced 23m apart to allow for machinery to pass. </t>
  </si>
  <si>
    <t>5 m spacings are left between trees within the same strip.</t>
  </si>
  <si>
    <t>Felling, processing and transporting of timber is managed under contract.</t>
  </si>
  <si>
    <t xml:space="preserve">All systems are presumed to grow poplar. Harvesting of timber takes place after 25 years. </t>
  </si>
  <si>
    <t>An average poplar timber price of £12.50 per tonne is modelled. Average coniferous standing sales price GB per cu m = £30.03. Average poplar = £0-£5 per tonne</t>
  </si>
  <si>
    <t>(or £10-£25 for quality poplar for export) (Nix, 2020)</t>
  </si>
  <si>
    <t>Timber sales</t>
  </si>
  <si>
    <t>Lost Gross Margin from agricultural production</t>
  </si>
  <si>
    <t>Payment per tonne CO2</t>
  </si>
  <si>
    <t>Table 2A</t>
  </si>
  <si>
    <t>Income from timber sales</t>
  </si>
  <si>
    <t>Number of poplar per hectare plantation</t>
  </si>
  <si>
    <t>Yield class 4x4 planted poplar (4 to 26) (https://www.forestresearch.gov.uk/documents/6908/FCTP006.pdf)</t>
  </si>
  <si>
    <t>Cumulative yield at yield class 16 after 25 years</t>
  </si>
  <si>
    <t>cu m</t>
  </si>
  <si>
    <t>Number of poplar per hectare SA/SP timber production</t>
  </si>
  <si>
    <t>Price per unit poplar</t>
  </si>
  <si>
    <t>Conversion factor poplar (https://www.forestresearch.gov.uk/tools-and-resources/statistics/forestry-statistics/forestry-statistics-2016-introduction/sources/timber/conversion-factors/)</t>
  </si>
  <si>
    <t>m3/tonne</t>
  </si>
  <si>
    <t>Yield of timber per poplar tree</t>
  </si>
  <si>
    <t>Yield of poplar timber SA/SP timber production</t>
  </si>
  <si>
    <t xml:space="preserve">Total income </t>
  </si>
  <si>
    <t>Income per annum</t>
  </si>
  <si>
    <t>Table 2B</t>
  </si>
  <si>
    <t>Area planted with timber trees</t>
  </si>
  <si>
    <t>Table 2C</t>
  </si>
  <si>
    <t>Cost per broadleaf tree (Forestry Commission)</t>
  </si>
  <si>
    <t>Poplar trees per ha SA/SP timber system</t>
  </si>
  <si>
    <t>Area of SA/SP timber system growing trees</t>
  </si>
  <si>
    <t>Average annual SA SP timber establishment costs over 25 year period</t>
  </si>
  <si>
    <t>Table 2D</t>
  </si>
  <si>
    <t>Replacement of dead trees @ 20% of establishment costs (year 2 only)</t>
  </si>
  <si>
    <t>Average annual SA SP timber maintenance costs over 25 year period</t>
  </si>
  <si>
    <t>Table 2E</t>
  </si>
  <si>
    <t>Carbon sequestration rates conifers</t>
  </si>
  <si>
    <t>tCO2/ha/yr</t>
  </si>
  <si>
    <t>Stand of Sitka Spruce</t>
  </si>
  <si>
    <t>(Magnani et al., 2007)</t>
  </si>
  <si>
    <t>Stand of Sitka Spruce YC 14-16</t>
  </si>
  <si>
    <t>(Clement, Moncrieff and Jarvis, 2003; Jarvis et al., 2009)</t>
  </si>
  <si>
    <t>Black et al. (2009)</t>
  </si>
  <si>
    <t>(Fenn et al., 2010; Thomas et al., 2010)</t>
  </si>
  <si>
    <t>Avergae Carbon sequestration for fast growing varieties in the UK</t>
  </si>
  <si>
    <t>Table 2F</t>
  </si>
  <si>
    <t>Carbon payment for SA SP timber system</t>
  </si>
  <si>
    <t>Table 2G</t>
  </si>
  <si>
    <t>All crops will be shaded</t>
  </si>
  <si>
    <t>Table 2H</t>
  </si>
  <si>
    <t>Payment rate</t>
  </si>
  <si>
    <t>NA</t>
  </si>
  <si>
    <t>Table 2I</t>
  </si>
  <si>
    <t>Table 2J</t>
  </si>
  <si>
    <t>Table 2K</t>
  </si>
  <si>
    <t>Table 2L</t>
  </si>
  <si>
    <t xml:space="preserve">An increase in the areas of grazed woodlands, partially wooded pasture and parklands across the UK. </t>
  </si>
  <si>
    <t xml:space="preserve">Planting and protection of inidividual broadleaf trees. </t>
  </si>
  <si>
    <t>6% of grazed pasture in the UK is planted with sparse tree cover (16 broadleaf trees per hectare)</t>
  </si>
  <si>
    <t>Providing livestock with areas to shade and forage reduces stress and benefits growth rate. Need to research further.</t>
  </si>
  <si>
    <t>Broadleaved timber sales</t>
  </si>
  <si>
    <t>Table 3A</t>
  </si>
  <si>
    <t>Broadleaf timber sales</t>
  </si>
  <si>
    <t>Trees per hectare silvopastoral</t>
  </si>
  <si>
    <t>Average annual timber yield per ha broadleaf woodland</t>
  </si>
  <si>
    <t>Average annual broadleaf timber yield from thinnings</t>
  </si>
  <si>
    <t>Tree per ha broadleaf woodland</t>
  </si>
  <si>
    <t>trees/ha</t>
  </si>
  <si>
    <t xml:space="preserve">Timber yield per ha silvopastoral </t>
  </si>
  <si>
    <t>Price per unit broadleaf timber (as firewood) (Nix, 2020)</t>
  </si>
  <si>
    <t>Conversion factor hardwood (Forest research)</t>
  </si>
  <si>
    <t>Income from timber sales silvopastoral</t>
  </si>
  <si>
    <t>Table 3B</t>
  </si>
  <si>
    <t>Area planted with broadleaf trees</t>
  </si>
  <si>
    <t>Table 3C</t>
  </si>
  <si>
    <t>Planting of standard parkland tree (CS payment)</t>
  </si>
  <si>
    <t>Tree guard (wood post and rail - CS payment)</t>
  </si>
  <si>
    <t>Tree per ha silvopastoral</t>
  </si>
  <si>
    <t>Average annual silvopastoral establishment costs over 25 year period</t>
  </si>
  <si>
    <t>Table 3D</t>
  </si>
  <si>
    <t>Replacement of dead trees @ 20% of establishment costs (subracting tree guard) (year 2 only)</t>
  </si>
  <si>
    <t>Average annual silvopastoral maintanence costs over 25 year period</t>
  </si>
  <si>
    <t>Table 3E</t>
  </si>
  <si>
    <t>Carbon payment for silvopastoral</t>
  </si>
  <si>
    <t>Area planted with trees</t>
  </si>
  <si>
    <t>Table 3F</t>
  </si>
  <si>
    <t>Table 3G</t>
  </si>
  <si>
    <t>Table 3H</t>
  </si>
  <si>
    <t>Table 3I</t>
  </si>
  <si>
    <t>Table 3J</t>
  </si>
  <si>
    <t>Shelterbelt</t>
  </si>
  <si>
    <t>Expansion of the area of AFW through the integration of mixed coniferous and broadleaved shelterbelts across the UK.</t>
  </si>
  <si>
    <t>Preparation of ground for planting. Planting and fencing of shelterbelt.</t>
  </si>
  <si>
    <t>Maintenance of trees.</t>
  </si>
  <si>
    <t xml:space="preserve">Shelter belts are planted with 50% conifer and 50% broadleaf. Planted at a density of 1,600 trees per ha (2.5m x 2.5m). </t>
  </si>
  <si>
    <t xml:space="preserve">Shelter  belts are evenly distributed across all farm types and crops to provide shelter benefits across all enterprises. </t>
  </si>
  <si>
    <t>Shelterbelts are 10m deep.</t>
  </si>
  <si>
    <t>Hedgerows cover approximately 200,000 ha of the UK. We assume half of these could have shelterbelts established along them. An average hedge width of 3m means</t>
  </si>
  <si>
    <t xml:space="preserve">potential hedgerows for shelter belts extend across 167,000 km. If 10m wide shelterbelts were to be planted along this legth th area of proposed shelterbelts </t>
  </si>
  <si>
    <t xml:space="preserve">would equate to 167,000 ha, or 2% of unforested english agricultural area. </t>
  </si>
  <si>
    <t>The table below models the impact of planting 10% of 1ha of each farm type with shelterbelts. This scenario is then projected across 20% of agricultural land to model</t>
  </si>
  <si>
    <t>the impact of a 2% conversion of land area to shelterbelts.</t>
  </si>
  <si>
    <t xml:space="preserve">At the average UK wind speed of 4.2 m/s shelter belts provide an estimated benefit of 15% to 20% increase to livestock productivity (He et al., 2017). </t>
  </si>
  <si>
    <t>In a meta-analysis on the impacts of shelterbelts on yields, (Nuberg, 1998) summarises 5 studies relevant to the climate in the UK. One in Czechoslovakia, two in</t>
  </si>
  <si>
    <t xml:space="preserve"> Ukraine, and two in Germany. The results are summarised below.</t>
  </si>
  <si>
    <t>Increased crop productivity</t>
  </si>
  <si>
    <t>Increased livestock productivity</t>
  </si>
  <si>
    <t>Sundries (ABC, 2020)</t>
  </si>
  <si>
    <t>Bedding (ABC, 2020)</t>
  </si>
  <si>
    <t>Table 4A</t>
  </si>
  <si>
    <t>Low productivity increase due to wind shelter</t>
  </si>
  <si>
    <t>Medium productivity increase due to wind shelter</t>
  </si>
  <si>
    <t>High productivity increase due to wind shelter</t>
  </si>
  <si>
    <t>Table 4B</t>
  </si>
  <si>
    <t>Studies showing impact of shelterbelts on arable production</t>
  </si>
  <si>
    <t>Country</t>
  </si>
  <si>
    <t>Crop</t>
  </si>
  <si>
    <t>Yield increase</t>
  </si>
  <si>
    <t>Average yield increae</t>
  </si>
  <si>
    <t>Bulir, 1992</t>
  </si>
  <si>
    <t>Czechoslovakia</t>
  </si>
  <si>
    <t>Winter wheat</t>
  </si>
  <si>
    <t>Miloserdov, 1989</t>
  </si>
  <si>
    <t>Ukraine</t>
  </si>
  <si>
    <t>Winter Barley</t>
  </si>
  <si>
    <t>6-9% in wet years
13-15% in normal years
17-18% in dry years</t>
  </si>
  <si>
    <t>Mozheiko and Semyakin, 1985</t>
  </si>
  <si>
    <t>Nikoajenko, 1985</t>
  </si>
  <si>
    <t>Unspecified</t>
  </si>
  <si>
    <t>10-40%</t>
  </si>
  <si>
    <t>Pretzschell et al., 1991</t>
  </si>
  <si>
    <t>Germany</t>
  </si>
  <si>
    <t>Lupins, oats, serradella</t>
  </si>
  <si>
    <t>5-16.8%</t>
  </si>
  <si>
    <t>Tkach, 1986</t>
  </si>
  <si>
    <t>Wheat, barley</t>
  </si>
  <si>
    <t>11-23%</t>
  </si>
  <si>
    <t>Lowest average yield increase</t>
  </si>
  <si>
    <t>Average yield increase across all studies</t>
  </si>
  <si>
    <t>Highest average yield increase</t>
  </si>
  <si>
    <t>Table 4C</t>
  </si>
  <si>
    <t>Area planted with shelterbelt trees</t>
  </si>
  <si>
    <t>Table 4D</t>
  </si>
  <si>
    <t>Cost per coniferous tree (Forestry Commission)</t>
  </si>
  <si>
    <t>Tree per ha of shelter belt</t>
  </si>
  <si>
    <t>Establishment costs per hectare of shelterbelt</t>
  </si>
  <si>
    <t>Area of shelter belt per ha</t>
  </si>
  <si>
    <t>Average annual shelterbelt establishment costs over 25 year period</t>
  </si>
  <si>
    <t>Table 4E</t>
  </si>
  <si>
    <t>Total maintenance costs per hectare shelterbelt (over 25 years)</t>
  </si>
  <si>
    <t>Total maintenance costs for 2% area converted to shelterbelt</t>
  </si>
  <si>
    <t>Average annual shelterbelt maintenance costs over 25 year period</t>
  </si>
  <si>
    <t>Table 4F</t>
  </si>
  <si>
    <t>Table 4G</t>
  </si>
  <si>
    <t>Carbon payment for broadlead trees in shelterbelts</t>
  </si>
  <si>
    <t>Table 4H</t>
  </si>
  <si>
    <t>Carbon payment for coniferous trees in shelterbelts</t>
  </si>
  <si>
    <t>Table 4I</t>
  </si>
  <si>
    <t>Yield reduction close to trees</t>
  </si>
  <si>
    <t>Table 4J</t>
  </si>
  <si>
    <t>EWCO</t>
  </si>
  <si>
    <t>Small woodland creation</t>
  </si>
  <si>
    <t>Enhanced mixed woodland</t>
  </si>
  <si>
    <t>Planting of native tree corridors (min 0.1ha)</t>
  </si>
  <si>
    <t>Table 4K</t>
  </si>
  <si>
    <t>Increased crop productivity wind reduction</t>
  </si>
  <si>
    <t>Increased livestock productivity wind reduction</t>
  </si>
  <si>
    <t>Table 4L</t>
  </si>
  <si>
    <t>Table 4M</t>
  </si>
  <si>
    <t>Table 4N</t>
  </si>
  <si>
    <t xml:space="preserve">A partial budget to estimate the economic impact of a doubling of farm woodland area across all farm types. </t>
  </si>
  <si>
    <t xml:space="preserve">Prepare the ground for tree planting. Plant and protect the trees. </t>
  </si>
  <si>
    <t xml:space="preserve">Coniferous woodlands are managed intesively for timber production. Planted at a density of 2,250 trees per ha. Harvesting is managed under contract and takes place after 40 years </t>
  </si>
  <si>
    <t>Broadleaved woodlands are managed for habitat provision. Planted at a density of 1,000 trees per ha. Thinning of broadleaved trees provides timber (fire wood) and some on farm resources.</t>
  </si>
  <si>
    <t>Conifer</t>
  </si>
  <si>
    <t>Broadleaf</t>
  </si>
  <si>
    <t>Mixed</t>
  </si>
  <si>
    <t>Broadleaved timber sales (Table 5A)</t>
  </si>
  <si>
    <t>Coniferous timber sales (Table 5B)</t>
  </si>
  <si>
    <t>Mixed woodland timber sales (Table 5C)</t>
  </si>
  <si>
    <t>Lost Gross Margin from agricultural production (Table 5D)</t>
  </si>
  <si>
    <t>Average annual costs for establishing mixed woodland (over 25 year period)</t>
  </si>
  <si>
    <t>Average annual maintenance costs for mixed woodland (over 25 year period)</t>
  </si>
  <si>
    <t>Change in Net income Coniferous</t>
  </si>
  <si>
    <t>Change in Net income Broadleaf</t>
  </si>
  <si>
    <t>Change in Net income Mixed</t>
  </si>
  <si>
    <t>Agri-environmental support conifer</t>
  </si>
  <si>
    <t>Agri-environmental support broadleaf</t>
  </si>
  <si>
    <t>Agri-environmental support mixed</t>
  </si>
  <si>
    <t>Carbon payments conifer</t>
  </si>
  <si>
    <t>Carbon payments broadleaf</t>
  </si>
  <si>
    <t>Carbon payments mixed woodland</t>
  </si>
  <si>
    <t>Change in Net income Coniferous with policy payments</t>
  </si>
  <si>
    <t>Change in Net income Broadleaf with policy payments</t>
  </si>
  <si>
    <t>Change in Net income Mixed with policy payments</t>
  </si>
  <si>
    <t>Table 5A</t>
  </si>
  <si>
    <t>Percentage broadleaf timber yield from thinnings</t>
  </si>
  <si>
    <t>Timber yield from thinning of farm woodland</t>
  </si>
  <si>
    <t>cu m/ha</t>
  </si>
  <si>
    <t>Income from timber sales broadleaf farm woodland</t>
  </si>
  <si>
    <t>Table 5B</t>
  </si>
  <si>
    <t>Coniferous timber sales</t>
  </si>
  <si>
    <t>Average annual timber harvested from thinings and felling</t>
  </si>
  <si>
    <t>Average coniferous standing sales price for GB</t>
  </si>
  <si>
    <t>£/cu m</t>
  </si>
  <si>
    <t>Income from timber sales coniferous farm woodland</t>
  </si>
  <si>
    <t>Table 5C</t>
  </si>
  <si>
    <t>Mixed woodland timber sales</t>
  </si>
  <si>
    <t>Area of conifers</t>
  </si>
  <si>
    <t>Percentage of timber harvested from thinnings</t>
  </si>
  <si>
    <t>Coniferous income from thinnnings</t>
  </si>
  <si>
    <t>Area of broadleafs</t>
  </si>
  <si>
    <t>Broadleaf income from thinnings</t>
  </si>
  <si>
    <t>Income from timber sales from mixed woodland</t>
  </si>
  <si>
    <t>Table 5D</t>
  </si>
  <si>
    <t>Table 5E</t>
  </si>
  <si>
    <t>Woodland establishment costs (ABC, 2020; Nix, 2020)</t>
  </si>
  <si>
    <t>Supply and fix 1.2m shelter (Forestry Commission)</t>
  </si>
  <si>
    <t>Tree per ha of broadleaf woodland</t>
  </si>
  <si>
    <t>Tree per ha of coniferous woodland</t>
  </si>
  <si>
    <t>Total cost per hectare broadleaf woodland</t>
  </si>
  <si>
    <t>Total cost per hectare coniferous woodland</t>
  </si>
  <si>
    <t>Average annual costs for establishing broadleaf woodland (over 25 year period)</t>
  </si>
  <si>
    <t>Average annual costs for establishing coniferous woodland (over 25 year period)</t>
  </si>
  <si>
    <t>Table 5F</t>
  </si>
  <si>
    <t>Replacement of dead broadleaves @ 20% of establishment costs (year 2 only)</t>
  </si>
  <si>
    <t>Replacement of conifers @ 20% of establishment costs (year 2 only)</t>
  </si>
  <si>
    <t>Total maintenance costs for broadleaf woodland</t>
  </si>
  <si>
    <t>Total maintenance costs for coniferous woodland</t>
  </si>
  <si>
    <t>Average annual maintenance costs for  broadleaf woodland (over 25 year period)</t>
  </si>
  <si>
    <t>Average annual maintenance costs for  coniferous woodland (over 25 year period)</t>
  </si>
  <si>
    <t>Table 5G</t>
  </si>
  <si>
    <t>Table 5H</t>
  </si>
  <si>
    <t>Carbon payment for coniferous</t>
  </si>
  <si>
    <t>Table 5I</t>
  </si>
  <si>
    <t>Carbon payment for broadleaf</t>
  </si>
  <si>
    <t>Area planted with broadleaf</t>
  </si>
  <si>
    <t>Table 5J</t>
  </si>
  <si>
    <t>Current policy support (Broadleaf)</t>
  </si>
  <si>
    <t>Small and farm woodland creation</t>
  </si>
  <si>
    <t>Native woodland (broadleaf)</t>
  </si>
  <si>
    <t>Small woodland grant scheme (Woodland above 0.2 ha)</t>
  </si>
  <si>
    <t>Table 5K</t>
  </si>
  <si>
    <t>Current policy support (Coniferous)</t>
  </si>
  <si>
    <t>Table 5L</t>
  </si>
  <si>
    <t>Net incomes England Conifer</t>
  </si>
  <si>
    <t>Net incomes England Broadleaf</t>
  </si>
  <si>
    <t>Net incomes England Mixed</t>
  </si>
  <si>
    <t>Table 5M</t>
  </si>
  <si>
    <t>Net incomes Scotland Conifer</t>
  </si>
  <si>
    <t>Net incomes Scotland Broadleaf</t>
  </si>
  <si>
    <t>Net incomes Scotland Mixed</t>
  </si>
  <si>
    <t>Table 5N</t>
  </si>
  <si>
    <t>Net incomes Wales Conifer</t>
  </si>
  <si>
    <t>Net incomes Wales Broadleaf</t>
  </si>
  <si>
    <t>Net incomes Wales Mixed</t>
  </si>
  <si>
    <t>Table 5O</t>
  </si>
  <si>
    <t>Net incomes Northern Ireland Conifer</t>
  </si>
  <si>
    <t>Net incomes Northern Ireland Broadleaf</t>
  </si>
  <si>
    <t>Net incomes Northern Ireland Mixed</t>
  </si>
  <si>
    <t>Hectares</t>
  </si>
  <si>
    <t>Heads of livestock</t>
  </si>
  <si>
    <t>Wheat</t>
  </si>
  <si>
    <t>Barley</t>
  </si>
  <si>
    <t>Dairy &amp; Beef</t>
  </si>
  <si>
    <t>Sheep</t>
  </si>
  <si>
    <t>Pigs</t>
  </si>
  <si>
    <t>Woodlands</t>
  </si>
  <si>
    <t>Source</t>
  </si>
  <si>
    <t>https://assets.publishing.service.gov.uk/government/uploads/system/uploads/attachment_data/file/946241/structure-landuse-june20-eng-22dec20.pdf</t>
  </si>
  <si>
    <t>file:///C:/Users/George/Downloads/scottish-agricultural-census-final-results-june-2020.pdf</t>
  </si>
  <si>
    <t>https://gov.wales/sites/default/files/statistics-and-research/2020-12/survey-agriculture-and-horticulture-june-2020-932.pdf</t>
  </si>
  <si>
    <t>https://www.daera-ni.gov.uk/sites/default/files/publications/daera/Agricultural%20Census%202020%20Publication.pdf</t>
  </si>
  <si>
    <t>UK (total from separate reports)</t>
  </si>
  <si>
    <t>UK total</t>
  </si>
  <si>
    <t>https://assets.publishing.service.gov.uk/government/uploads/system/uploads/attachment_data/file/946161/structure-jun2020final-uk-22dec20.pdf</t>
  </si>
  <si>
    <t>Hectares (thousands)</t>
  </si>
  <si>
    <t>Livestock Units (thousands)</t>
  </si>
  <si>
    <t>Dairy &amp; beef</t>
  </si>
  <si>
    <t>% of total area</t>
  </si>
  <si>
    <t>LU conversion factors https://ec.europa.eu/eurostat/statistics-explained/index.php?title=Glossary:Livestock_unit_(LSU)</t>
  </si>
  <si>
    <t>Table 6A</t>
  </si>
  <si>
    <t>Total area of farmland modelled</t>
  </si>
  <si>
    <t>Total area of AFW</t>
  </si>
  <si>
    <t>Area ha</t>
  </si>
  <si>
    <t>Average Output/ha</t>
  </si>
  <si>
    <t>Gross margin/ha</t>
  </si>
  <si>
    <t>Output/ha</t>
  </si>
  <si>
    <t>United Kingdom</t>
  </si>
  <si>
    <t>UK
(https://assets.publishing.service.gov.uk/government/uploads/system/uploads/attachment_data/file/946161/structure-jun2020final-uk-22dec20.pdf)</t>
  </si>
  <si>
    <t>Number of livestock</t>
  </si>
  <si>
    <t>Stocking density (heads/ha)</t>
  </si>
  <si>
    <t>Number of hectares</t>
  </si>
  <si>
    <t>Number of holdings</t>
  </si>
  <si>
    <t>Average Area</t>
  </si>
  <si>
    <t>Total crop output £ / farm</t>
  </si>
  <si>
    <t>Total livestock output £ / farm</t>
  </si>
  <si>
    <t>Total miscellaneous output £ / farm</t>
  </si>
  <si>
    <t>Total average inputs (costs/
expenses)</t>
  </si>
  <si>
    <t>Gross margin/farm</t>
  </si>
  <si>
    <t>Total gross margin</t>
  </si>
  <si>
    <t>Gross margin £/ha</t>
  </si>
  <si>
    <t>Farm Business Income £/farm</t>
  </si>
  <si>
    <t>Net Income of farm type £</t>
  </si>
  <si>
    <t xml:space="preserve">Horticultural </t>
  </si>
  <si>
    <t>Total area grassland</t>
  </si>
  <si>
    <t>Dairy cows</t>
  </si>
  <si>
    <t>Beef cows</t>
  </si>
  <si>
    <t>Temporary</t>
  </si>
  <si>
    <t>Aged 2 years or more</t>
  </si>
  <si>
    <t>Permanent</t>
  </si>
  <si>
    <t>Aged between 1 and 2</t>
  </si>
  <si>
    <t>Total</t>
  </si>
  <si>
    <t>Less than 1 year</t>
  </si>
  <si>
    <t>Total livestock</t>
  </si>
  <si>
    <t>Table 6B</t>
  </si>
  <si>
    <t>England
(TYFA model - data from 2018/2019 only)</t>
  </si>
  <si>
    <t>Total crop output £ / farm type</t>
  </si>
  <si>
    <t>Average output £ / ha</t>
  </si>
  <si>
    <t>Farm business income/ha</t>
  </si>
  <si>
    <t>fixed costs</t>
  </si>
  <si>
    <r>
      <rPr>
        <b/>
        <sz val="11"/>
        <color theme="1"/>
        <rFont val="Calibri"/>
        <family val="2"/>
        <scheme val="minor"/>
      </rPr>
      <t xml:space="preserve">Scotland </t>
    </r>
    <r>
      <rPr>
        <sz val="11"/>
        <color theme="1"/>
        <rFont val="Calibri"/>
        <family val="2"/>
        <scheme val="minor"/>
      </rPr>
      <t xml:space="preserve">
(Farm Business Survey 2018-2019 - https://www.gov.scot/publications/farm-business-survey-2018-19-profitability-scottish-farming/)
(June agricultural census 2019 - https://www.gov.scot/publications/final-results-june-2019-agricultural-census/documents/)
(Publication tables - https://www.gov.scot/publications/final-results-june-2019-agricultural-census/documents/)</t>
    </r>
  </si>
  <si>
    <t>Total output £ / farm</t>
  </si>
  <si>
    <t>Total output £ / ha</t>
  </si>
  <si>
    <t>Total average inputs</t>
  </si>
  <si>
    <t>Other fixed costs</t>
  </si>
  <si>
    <t>Total average variable costs</t>
  </si>
  <si>
    <t>Table 6C</t>
  </si>
  <si>
    <r>
      <rPr>
        <b/>
        <sz val="11"/>
        <color theme="1"/>
        <rFont val="Calibri"/>
        <family val="2"/>
        <scheme val="minor"/>
      </rPr>
      <t xml:space="preserve">Wales </t>
    </r>
    <r>
      <rPr>
        <sz val="11"/>
        <color theme="1"/>
        <rFont val="Calibri"/>
        <family val="2"/>
        <scheme val="minor"/>
      </rPr>
      <t xml:space="preserve">
(https://gov.wales/farm-incomes-april-2018-march-2019)
(https://gov.wales/sites/default/files/statistics-and-research/2019-07/farming-facts-and-figures-2019-492.pdf)
(https://gov.wales/sites/default/files/statistics-and-research/2019-11/survey-agriculture-and-horticulture-june-2019-tables-116.ods)</t>
    </r>
  </si>
  <si>
    <t>Area of farm type</t>
  </si>
  <si>
    <t>Total agricultural output £ / farm</t>
  </si>
  <si>
    <t>Variable costs/farm</t>
  </si>
  <si>
    <t>Variable costs/ha</t>
  </si>
  <si>
    <t>Net income of farm type</t>
  </si>
  <si>
    <t>Table 6D</t>
  </si>
  <si>
    <r>
      <rPr>
        <b/>
        <sz val="11"/>
        <color theme="1"/>
        <rFont val="Calibri"/>
        <family val="2"/>
        <scheme val="minor"/>
      </rPr>
      <t xml:space="preserve">Nothern Ireland </t>
    </r>
    <r>
      <rPr>
        <sz val="11"/>
        <color theme="1"/>
        <rFont val="Calibri"/>
        <family val="2"/>
        <scheme val="minor"/>
      </rPr>
      <t xml:space="preserve">
(https://www.daera-ni.gov.uk/sites/default/files/publications/daera/farm-incomes-in-northern-ireland-2018-19.pdf)
(https://www.daera-ni.gov.uk/sites/default/files/publications/daera/Crop%20Areas%201847%20to%202019.ods)</t>
    </r>
  </si>
  <si>
    <t>Total agricultural output £ / ha</t>
  </si>
  <si>
    <t>Fixed costs/farm</t>
  </si>
  <si>
    <t>Total area of farm type ha</t>
  </si>
  <si>
    <t>Table 6E</t>
  </si>
  <si>
    <t>Areas of each farm type as AFW</t>
  </si>
  <si>
    <t>Nation</t>
  </si>
  <si>
    <t>All farms</t>
  </si>
  <si>
    <t>Total area of farm type</t>
  </si>
  <si>
    <t>Area of AFW modelled</t>
  </si>
  <si>
    <t>Percentage of farm type</t>
  </si>
  <si>
    <t>% of total agricultural area taken up by farm type</t>
  </si>
  <si>
    <t>Estimated area of AFW</t>
  </si>
  <si>
    <t>Table 6F</t>
  </si>
  <si>
    <t xml:space="preserve">Change in income </t>
  </si>
  <si>
    <t>Table 6G</t>
  </si>
  <si>
    <t>Additional biomass produced carbon storage for custom scenario</t>
  </si>
  <si>
    <t>Additional area AFW</t>
  </si>
  <si>
    <t>Additional biomass</t>
  </si>
  <si>
    <t>Additional carbon stored</t>
  </si>
  <si>
    <t>Table 6H</t>
  </si>
  <si>
    <t>Table 6I</t>
  </si>
  <si>
    <t>Table 6J</t>
  </si>
  <si>
    <t>Table for drop down lists</t>
  </si>
  <si>
    <t>Woodland creation support schemes</t>
  </si>
  <si>
    <t>Countries</t>
  </si>
  <si>
    <t xml:space="preserve">Subsidy &amp; payments </t>
  </si>
  <si>
    <t>Scenarios</t>
  </si>
  <si>
    <t>Percentage Change</t>
  </si>
  <si>
    <t>Livestock performance benefit in SA SP Orchards</t>
  </si>
  <si>
    <t>Performance benefit provided by AFW</t>
  </si>
  <si>
    <t>Carbon price £/tonne CO2</t>
  </si>
  <si>
    <t>Support Scheme</t>
  </si>
  <si>
    <t>Scheme</t>
  </si>
  <si>
    <t>Support option</t>
  </si>
  <si>
    <t>Payment Rates Planting (per ha)</t>
  </si>
  <si>
    <t>Payment rates maintenance (per ha)</t>
  </si>
  <si>
    <t>Average annual payment (per ha)</t>
  </si>
  <si>
    <t>Notes</t>
  </si>
  <si>
    <t>Good</t>
  </si>
  <si>
    <t>Coutryside stewardship (England)</t>
  </si>
  <si>
    <t>Planting single tree</t>
  </si>
  <si>
    <t>England Woodland Creation Offer (EWCO) (England)</t>
  </si>
  <si>
    <t>Woodland 1ha or more. Can be spread over smaller blocks at a minimum width of 10m.</t>
  </si>
  <si>
    <t>maintenance payments for 10 years</t>
  </si>
  <si>
    <t>Current support schemes</t>
  </si>
  <si>
    <t>Tree guard</t>
  </si>
  <si>
    <t>Forestry Grant Scheme (Scotland)</t>
  </si>
  <si>
    <t>Agroforestry</t>
  </si>
  <si>
    <t>£1,860 - £3,600</t>
  </si>
  <si>
    <t>£48 - £84</t>
  </si>
  <si>
    <t>£420 for 200 tree/ha
£804 for 400 trees/ha</t>
  </si>
  <si>
    <t>maintenance payments for 5 years (prices for 200-400 trees per ha respectively)</t>
  </si>
  <si>
    <t>Poor</t>
  </si>
  <si>
    <t>Orchard creations</t>
  </si>
  <si>
    <t>Small and farm woodland</t>
  </si>
  <si>
    <t>maintenance payments for 5 years</t>
  </si>
  <si>
    <t>Agri-environmental climate scheme (Scotland)</t>
  </si>
  <si>
    <t>Small scale tree and scrub planting (up to 0.25 ha and 1,100 trees/ha)</t>
  </si>
  <si>
    <t>Glastir Woodland (Wales)</t>
  </si>
  <si>
    <t>Agroforestry (80 trees per ha)</t>
  </si>
  <si>
    <t>maintenance payments for 12 years.</t>
  </si>
  <si>
    <t>Glastir (Wales)</t>
  </si>
  <si>
    <t>Tree &amp; scrub planting (need to exclude livestock)</t>
  </si>
  <si>
    <t>Native woodland (minimum 0.1ha)</t>
  </si>
  <si>
    <t>maintenance payments for 12 years. Additional premium payment of £350 to cover income forgone.</t>
  </si>
  <si>
    <t>Orchard management</t>
  </si>
  <si>
    <t>Wood pasture management</t>
  </si>
  <si>
    <t>Small Woodland Grant Scheme (Northern Ireland)</t>
  </si>
  <si>
    <t>maintenance payments for 10 years to cover income foregone</t>
  </si>
  <si>
    <t>Woodland-stock exclusion</t>
  </si>
  <si>
    <t>EFS (Northern Ireland)</t>
  </si>
  <si>
    <t>Year 1</t>
  </si>
  <si>
    <t>Year 2-5</t>
  </si>
  <si>
    <t>Annual average payment</t>
  </si>
  <si>
    <t>Establishment of Agroforestry (approx 400 tree/ha or 80 per 0.2ha)</t>
  </si>
  <si>
    <t>Establishment of native woodland lass than 5ha</t>
  </si>
  <si>
    <t>Increased poultry productivity due to tree shade</t>
  </si>
  <si>
    <t>Shade impact on poultry productivity</t>
  </si>
  <si>
    <t>1-2%</t>
  </si>
  <si>
    <t>https://www.farminguk.com/news/two-billion-eggs-sold-through-woodland-trust-scheme_36018.html</t>
  </si>
  <si>
    <t>https://www.faifarms.com/portfolio-item/mcdonalds-tree-range-hens/</t>
  </si>
  <si>
    <t>% ruminant productivity increase</t>
  </si>
  <si>
    <t>% poultry productivity increase</t>
  </si>
  <si>
    <t xml:space="preserve">Shade from the tree provides performance benefits are provided to the livestock. This varies depending on whether poor, moderate, or good performance </t>
  </si>
  <si>
    <t xml:space="preserve">benefits are selected in the dashboard. Poor assumes no beneift is provided, moderate assumes the average benefit is provided based on the available </t>
  </si>
  <si>
    <t xml:space="preserve">literature, good assumes the highest perfromance benefit found in the literature is provided to the animals. </t>
  </si>
  <si>
    <t>For the ruminants performance benefit ranges from a 8% reduction in productivity due to reduced grazing area to a 3% increase in productivity.</t>
  </si>
  <si>
    <t>For the poultry performance benefit ranges from a 0% increase in productivity to a 2% increase in productivity.</t>
  </si>
  <si>
    <t>Annual net income</t>
  </si>
  <si>
    <r>
      <t>Additional biomass produced per annum (m</t>
    </r>
    <r>
      <rPr>
        <b/>
        <vertAlign val="superscript"/>
        <sz val="11"/>
        <color theme="1"/>
        <rFont val="Calibri"/>
        <family val="2"/>
        <scheme val="minor"/>
      </rPr>
      <t>3</t>
    </r>
    <r>
      <rPr>
        <b/>
        <sz val="11"/>
        <color theme="1"/>
        <rFont val="Calibri"/>
        <family val="2"/>
        <scheme val="minor"/>
      </rPr>
      <t>)</t>
    </r>
  </si>
  <si>
    <r>
      <t>Additional carbon sequestered by trees per annum (tCO</t>
    </r>
    <r>
      <rPr>
        <b/>
        <vertAlign val="subscript"/>
        <sz val="11"/>
        <color theme="1"/>
        <rFont val="Calibri"/>
        <family val="2"/>
        <scheme val="minor"/>
      </rPr>
      <t>2</t>
    </r>
    <r>
      <rPr>
        <b/>
        <sz val="11"/>
        <color theme="1"/>
        <rFont val="Calibri"/>
        <family val="2"/>
        <scheme val="minor"/>
      </rPr>
      <t>)</t>
    </r>
  </si>
  <si>
    <t>AFW scenario</t>
  </si>
  <si>
    <t>Overview of the model</t>
  </si>
  <si>
    <t>Aims</t>
  </si>
  <si>
    <t>What it shows</t>
  </si>
  <si>
    <t>Developers and acknowledgments</t>
  </si>
  <si>
    <t>Model structure</t>
  </si>
  <si>
    <t>Overview and dashboard</t>
  </si>
  <si>
    <t>1 - SA SP Orchards</t>
  </si>
  <si>
    <t>2 - SA SP Timber Production</t>
  </si>
  <si>
    <t>3 - Silvopastoral</t>
  </si>
  <si>
    <t>4 - Shelterbelts</t>
  </si>
  <si>
    <t>5 - Farm woodland</t>
  </si>
  <si>
    <t>Scenario showing the change in net income per ha from converting 1 ha of each of the main UK farm types to silvoarable or silvopastoral orchard.</t>
  </si>
  <si>
    <t>Scenario showing the change in net income per ha from converting 1 ha of each of the main UK farm types to silvoarable or silvopastoral timber production.</t>
  </si>
  <si>
    <t>Scenario showing the change in net income per ha from converting 1 ha of each of the main UK farm types to silvopastoral grazing.</t>
  </si>
  <si>
    <t>Scenario showing the change in net income per ha when integrating shelterbelts into 1 ha of each of the main UK farm types.</t>
  </si>
  <si>
    <t>Scenario showing the change in net income per ha from converting 1 ha of each of the main UK farm types to coniferous, broadleaf, or mixed woodland.</t>
  </si>
  <si>
    <t>The development of the model  was commissioned by the Soil Association and developed by Cumulus Consultants Ltd. Support and advice was provided by representatives from a steering group from the Soil Association.</t>
  </si>
  <si>
    <t>Introduction</t>
  </si>
  <si>
    <t>User Guide</t>
  </si>
  <si>
    <t>Interpreting the results</t>
  </si>
  <si>
    <t>Customisability</t>
  </si>
  <si>
    <t>% change in the area of agroforestry and farm woodland compared to the baseline</t>
  </si>
  <si>
    <t>% area of poultry farms converted to agroforestry and farm woodland</t>
  </si>
  <si>
    <t>% area of lowland grazing farms converted to agroforestry and farm woodland</t>
  </si>
  <si>
    <t>% area of LFA grazing farms converted to agroforestry and farm woodland</t>
  </si>
  <si>
    <t>% area of dairy farms converted to agroforestry and farm woodland</t>
  </si>
  <si>
    <t>% area of horticultural farms converted to agroforestry and farm woodland</t>
  </si>
  <si>
    <t>% area of cereal farms converted to agroforestry and farm woodland</t>
  </si>
  <si>
    <t>Total Area of Agriculture (ha)</t>
  </si>
  <si>
    <t>Area of cropping cereal (ha)</t>
  </si>
  <si>
    <t>Area of horticultural (ha)</t>
  </si>
  <si>
    <t>Area of grazing livestock dairy (ha)</t>
  </si>
  <si>
    <t>Area of LFA grazing (ha)</t>
  </si>
  <si>
    <t>Areaof lowland grazing (ha)</t>
  </si>
  <si>
    <t>Area poultry farming (ha)</t>
  </si>
  <si>
    <t>Agroforestry and farm woodland scenario</t>
  </si>
  <si>
    <t>Change in annual net Income campared to baseline</t>
  </si>
  <si>
    <t>% change in annual net income</t>
  </si>
  <si>
    <t>Below the summary tables bar charts are provide to help visualise the comparitive net incomes of the different agroforestry and farm woodland scenarios. The annual net income is presented for each farm type, or combination of farm types and, hence, compares the impact of the agroforestry and farm woodland scenarios upon the profitability of UK agriculture.</t>
  </si>
  <si>
    <t xml:space="preserve">Below the bar charts are another set of tables that quantify and summarise the change in annual net income that occurs for each of the farm types, when the various agroforestry and farm woodland scnearios are modelled. These changes are presented in pound sterling and as a percentage change in the overall income. These provides insightss into the total impact of profitability and the relative impacts compared to the total performance of each farm type. </t>
  </si>
  <si>
    <t>Overview and dashboard - summary tables</t>
  </si>
  <si>
    <t>Overview and dashboard - bar charts</t>
  </si>
  <si>
    <t>Overview and dashboard - performance change tables</t>
  </si>
  <si>
    <t>High level table presenting aggregate findings for all UK farm types</t>
  </si>
  <si>
    <t>Overview and dashboard - total net incomes, biomass produced and carbon sequestered</t>
  </si>
  <si>
    <r>
      <t>The final summary table in the overview and dashboard can be found to the top right of the tab. It displays, for all UK farm types, the annual net income associated with each scenario, the biomass produced in cubic metres (we focus here on timber production), and finally the additional carbon sequestered in (tCO</t>
    </r>
    <r>
      <rPr>
        <vertAlign val="subscript"/>
        <sz val="11"/>
        <color theme="1"/>
        <rFont val="Calibri"/>
        <family val="2"/>
        <scheme val="minor"/>
      </rPr>
      <t>2</t>
    </r>
    <r>
      <rPr>
        <sz val="11"/>
        <color theme="1"/>
        <rFont val="Calibri"/>
        <family val="2"/>
        <scheme val="minor"/>
      </rPr>
      <t>). This provides a high level indication of how the changes in area dedicated to agroforestry and farm woodland impact domestic timber production and carbon sequestration.</t>
    </r>
  </si>
  <si>
    <t>Scenario tabs - partial budgets</t>
  </si>
  <si>
    <t>Area of interest</t>
  </si>
  <si>
    <r>
      <t xml:space="preserve">These costs and benefits are totalled at the bottom of the table to give a total change in net income per hectare of each farm type that the agroforestry and farm woodland scenario is applied to. To give the nation wide results shown in the overview and dashboard tab, the change in income per hectare is multiplied by the total number of hectares that are dedicated to that scenario for each farm type. For example, if 1,000 ha of cereal farms were to be dedicated to the agroforestry and farm woodland scenario displayed below, then this would lead to a total loss of annual net income of -£177,000.
Unfortunately, due to complexities in agreggating performance data from farm types across the devolved nations of the UK, the partial budgets only display results when the separate nations are selected, and not when the UK is selected. This related to the custom variable </t>
    </r>
    <r>
      <rPr>
        <b/>
        <u/>
        <sz val="11"/>
        <color theme="1"/>
        <rFont val="Calibri"/>
        <family val="2"/>
        <scheme val="minor"/>
      </rPr>
      <t>Area of interest</t>
    </r>
    <r>
      <rPr>
        <sz val="11"/>
        <color theme="1"/>
        <rFont val="Calibri"/>
        <family val="2"/>
        <scheme val="minor"/>
      </rPr>
      <t xml:space="preserve"> and is explained in the tab</t>
    </r>
    <r>
      <rPr>
        <b/>
        <sz val="11"/>
        <color theme="1"/>
        <rFont val="Calibri"/>
        <family val="2"/>
        <scheme val="minor"/>
      </rPr>
      <t xml:space="preserve"> </t>
    </r>
    <r>
      <rPr>
        <b/>
        <u/>
        <sz val="11"/>
        <color theme="1"/>
        <rFont val="Calibri"/>
        <family val="2"/>
        <scheme val="minor"/>
      </rPr>
      <t>Customisability</t>
    </r>
    <r>
      <rPr>
        <sz val="11"/>
        <color theme="1"/>
        <rFont val="Calibri"/>
        <family val="2"/>
        <scheme val="minor"/>
      </rPr>
      <t>.</t>
    </r>
  </si>
  <si>
    <t>Total area change in AFW (ha)</t>
  </si>
  <si>
    <t>Total area  change in AFW (ha)</t>
  </si>
  <si>
    <t>Area of farm type (ha)</t>
  </si>
  <si>
    <t>Total area AFW (ha)</t>
  </si>
  <si>
    <t>Total area of all farms</t>
  </si>
  <si>
    <t>UK change in net income per hectare</t>
  </si>
  <si>
    <t xml:space="preserve">To change the country simply click on the box shown in the screenshot below and select from the drop down list of countries. </t>
  </si>
  <si>
    <t>Overview and dashboard - selecting the area of interest</t>
  </si>
  <si>
    <t>Overview and dashboard - creating the custom scenario</t>
  </si>
  <si>
    <t>Creating the custom scenario</t>
  </si>
  <si>
    <t>Select the agroforestry and farm woodland scenario you wish to apply to each farm type</t>
  </si>
  <si>
    <t>Select the % of the total area of the farm type that you wish to apply the scenario to</t>
  </si>
  <si>
    <t xml:space="preserve">Change in net income per ha </t>
  </si>
  <si>
    <t>This box also allows you to vary the percentage of the total area of the farm type that you apply the agroforestry and farm woodland scenario to. This means that if you select 20%, as we are selecting in the second screenshot, the per hectare change in net income from that scenario will be applied to 20% of the area of cereal farms in your selected country. You can either select the percentage using the drop down, or type a number directly into the cell.</t>
  </si>
  <si>
    <t>Overview and dashboard - selecting the levels of support payments and performance impact of agroforestry and farm woodland</t>
  </si>
  <si>
    <t>Select the level of payment for public goods and perfomance impact of agroforestry and farm woodland</t>
  </si>
  <si>
    <t>Area of agroforestry and farm woodland (ha)</t>
  </si>
  <si>
    <r>
      <t>Carbon price £/tCO</t>
    </r>
    <r>
      <rPr>
        <vertAlign val="subscript"/>
        <sz val="11"/>
        <color theme="1"/>
        <rFont val="Calibri"/>
        <family val="2"/>
        <scheme val="minor"/>
      </rPr>
      <t>2</t>
    </r>
  </si>
  <si>
    <r>
      <t xml:space="preserve">The </t>
    </r>
    <r>
      <rPr>
        <b/>
        <u/>
        <sz val="11"/>
        <color theme="1"/>
        <rFont val="Calibri"/>
        <family val="2"/>
        <scheme val="minor"/>
      </rPr>
      <t>poor</t>
    </r>
    <r>
      <rPr>
        <sz val="11"/>
        <color theme="1"/>
        <rFont val="Calibri"/>
        <family val="2"/>
        <scheme val="minor"/>
      </rPr>
      <t xml:space="preserve"> setting projects that the scenario has no impact upon agricultural performance; the </t>
    </r>
    <r>
      <rPr>
        <b/>
        <u/>
        <sz val="11"/>
        <color theme="1"/>
        <rFont val="Calibri"/>
        <family val="2"/>
        <scheme val="minor"/>
      </rPr>
      <t>moderate</t>
    </r>
    <r>
      <rPr>
        <sz val="11"/>
        <color theme="1"/>
        <rFont val="Calibri"/>
        <family val="2"/>
        <scheme val="minor"/>
      </rPr>
      <t xml:space="preserve"> setting projects the average performance benefit reported in the reviewed literature; and the </t>
    </r>
    <r>
      <rPr>
        <b/>
        <u/>
        <sz val="11"/>
        <color theme="1"/>
        <rFont val="Calibri"/>
        <family val="2"/>
        <scheme val="minor"/>
      </rPr>
      <t>good</t>
    </r>
    <r>
      <rPr>
        <sz val="11"/>
        <color theme="1"/>
        <rFont val="Calibri"/>
        <family val="2"/>
        <scheme val="minor"/>
      </rPr>
      <t xml:space="preserve"> setting projects the higher level of performance benefit reported. The percentage performance benefit that is associated with each setting is shown within the partial budgets laid out within each scenario tab. The screenshot below shows us selecting a </t>
    </r>
    <r>
      <rPr>
        <b/>
        <u/>
        <sz val="11"/>
        <color theme="1"/>
        <rFont val="Calibri"/>
        <family val="2"/>
        <scheme val="minor"/>
      </rPr>
      <t>good</t>
    </r>
    <r>
      <rPr>
        <sz val="11"/>
        <color theme="1"/>
        <rFont val="Calibri"/>
        <family val="2"/>
        <scheme val="minor"/>
      </rPr>
      <t xml:space="preserve"> performance impact for shelterbelts.</t>
    </r>
  </si>
  <si>
    <t>This model sets out to explore the economics of different agroforestry and farm woodland systems, to better understand how public policy, natural capital markets and improved agricultural performance could support this land use change. The findings feed into a wider report - Woodland and trees in the farmed landscape.</t>
  </si>
  <si>
    <t>1) To model the economic impacts of an increase in sustainable agroforestry and farm woodland across the UK agricultural economy.
2) To model the varying economic impacts of different types of agroforestry and farm woodland upon UK agriculture and the different farm types it is composed of.
3) To model the impact public and private payments for public goods can have upon the economic performance of agroforestry and farm woodland in the UK.</t>
  </si>
  <si>
    <t xml:space="preserve">The model demonstrates how the major management and land use changes for each of the types of agroforestry and farm woodland defined in the report impact the budgets for the main farm types in the UK. This allows conclusions to be drawn about the key costs and benefits. The model also shows how varying agri-environment payments and payments for public goods would impact performance of the different types of agroforestry and farm woodland. 
</t>
  </si>
  <si>
    <t xml:space="preserve">The modelling shows that agroforestry and farm woodland options that are structured to enhance agricultural performance can be effective at enhancing farm profitability, particularly on more productive UK farm types. It also reveals that for lower yielding systems, such as Less Favoured Areas (LFA) grazing, woodland systems can be a more economically viable land use option if there are opportunities to monetise the carbon storage. Moreover, farm woodland planting (broadleaved, coniferous, and mixed) was found to be the scenario most dependent on policy payments, but also the most effectively supported by current policy. In contrast, agroforestry systems with sparser tree planting and greater integration with agriculture were less well recognised and under-supported by current policy. Relatively small amounts of funding could enable these forms of agroforestry to be economically viable.
</t>
  </si>
  <si>
    <t>The model also enables the user to create custom scenarios that apply different types and areas of agrofrestry and farm woodland land uses to each of the farm types. This enables insights to be drawn about how agroforestry and farm woodland can be effectively integrated into UK agriculture, the impact, and the types of support that should be provided. The model is an exploratory tool that is not intended to provide definitive anwsers on what is an early stage and poorly understood area of research. It is intended to inform and shape the discussion around the optimal and necessary support for agroforestry and farm woodland in the UK.</t>
  </si>
  <si>
    <r>
      <t xml:space="preserve">The workbook contains a number of sheets that provide varying levels of information about the impacts of the different types of agroforestry and farm woodland, and high level summaries of the impact across all UK agriculture. You can navigate through these tabs by selecting them from the bar along the bottom of the page, or by selecting the scenario you are interested in by clicking of the relevant blue button within the main table of the </t>
    </r>
    <r>
      <rPr>
        <b/>
        <u/>
        <sz val="11"/>
        <color theme="1"/>
        <rFont val="Calibri"/>
        <family val="2"/>
        <scheme val="minor"/>
      </rPr>
      <t>Overview and dashboard</t>
    </r>
    <r>
      <rPr>
        <sz val="11"/>
        <color theme="1"/>
        <rFont val="Calibri"/>
        <family val="2"/>
        <scheme val="minor"/>
      </rPr>
      <t xml:space="preserve"> tab. A description of each sheet is provided below.</t>
    </r>
  </si>
  <si>
    <t>This user guide provides a detailed overview of how to use and interpret the model. This includes text and screenshots.</t>
  </si>
  <si>
    <t>This user guide provides a detailed overview of how to vary and customise the model in order to draw novel and context specific insights about the impact of agroforestry and farm woodland. This includes text and screenshots.</t>
  </si>
  <si>
    <t>Summarises the impact of each of the types of agroforestry and farm woodland (the scenarios) upon the net income of UK agriculture. It also disaggregates this to show the impact of the scenarios upon each of the different farm types. 
The impacts on the agricultural net incomes are displayed across several graphs and tables which show the change in net income and the proportion of agricultural area that is converted to the agroforestry and farm woodland land use. 
This tab also provides the dashboard from which the variables in the model can be adjusted.</t>
  </si>
  <si>
    <t>The main results table in the Overveiw and dashboard tab is divided into sections from left to right with the first summarising information for all of UK agriculture and the subsequent sections summarising information related to each of the main farm types: Cereals, Horticultural, Dairy, LFA grazing, Lowland grazing, Poultry.</t>
  </si>
  <si>
    <t xml:space="preserve">For each of these sections, information is shown about the impact of each of the agroforestry and farm woodland scenarios upon land use and net income. This information includes: </t>
  </si>
  <si>
    <r>
      <rPr>
        <sz val="11"/>
        <color theme="1"/>
        <rFont val="Calibri"/>
        <family val="2"/>
      </rPr>
      <t xml:space="preserve"> • </t>
    </r>
    <r>
      <rPr>
        <sz val="11"/>
        <color theme="1"/>
        <rFont val="Calibri"/>
        <family val="2"/>
        <scheme val="minor"/>
      </rPr>
      <t>the total area taken up by the farm type in the UK;
 • the area that would be dedicated to agroforestry and farm woodland under each scenario;
 • the percentage change in agroforestry and farmwoodland compared to the baseline;
 • the net income of that farm type once the scenario has been applied.</t>
    </r>
  </si>
  <si>
    <r>
      <t xml:space="preserve">The vertical axis shows annual net income in millions of pounds sterling and the horizontal axis displays which agroforestry and farm woodland scenario each of the bars relates to. The baseline scenario is displayed in blue, the main scenarios in yellow, and the custom scenario (explained in the </t>
    </r>
    <r>
      <rPr>
        <b/>
        <u/>
        <sz val="11"/>
        <color theme="1"/>
        <rFont val="Calibri"/>
        <family val="2"/>
        <scheme val="minor"/>
      </rPr>
      <t>Customisability</t>
    </r>
    <r>
      <rPr>
        <sz val="11"/>
        <color theme="1"/>
        <rFont val="Calibri"/>
        <family val="2"/>
        <scheme val="minor"/>
      </rPr>
      <t xml:space="preserve"> tab) is shown in green. This colour coding is used at various points in the model.</t>
    </r>
  </si>
  <si>
    <t xml:space="preserve">Within each of the scenario tabs a partial budget is presented which summarises the key changes to income and costs that occur when one hectare of each of the main farm types is converted to the relevant type of agroforestry and farm woodland. The type of agroforestry and farm woodland is described above the table to explain the change that is being investigated. Further details about these scenarios are also provided in the report. </t>
  </si>
  <si>
    <t>The first variable that is customisable is the area, or country, that the model focuses on. The drop down allows you to select the UK or any of the devolved nations it is comprised of. The country that is selected changes the budegtary data that is integrated into the calculations and the policy and payment scheme calculations that are applied to the model. The areas of each farm type and areas of agroforestry and farm woodland also change based on the area selected.</t>
  </si>
  <si>
    <t>This box enables you to vary which agroforestry and farm woodland scenario is applied to each farm type. This can be undertaken by selecting the desired scenario in the box to the right of the farm type of interest. The first screenshot below shows how this can be varied for cereal farms. Here we are selecting to apply the scenario shelterbelts to the cereal farm type.</t>
  </si>
  <si>
    <t>The final set of cells in the box show the change in income per hectare of the farm type that the scenario is applied to. In this case, every hectare of cereal farms that have shelterbelts established on them will lead to a £36 increase in net income. This figure varies depending on the country of focus and payment support options that are selected.</t>
  </si>
  <si>
    <t>This box allows you to vary the type of agri-environment payment and carbon payments that are provided across all scenarios and farm types. Varying these payments changes the per hectare net income for each scenario. An in depth description of how these payment rates are constructed is available in the main report that this model contributes to.</t>
  </si>
  <si>
    <r>
      <t>The box also gives the option to vary the Carbon price that is hypothetically paid to the land manager for the estimated carbon sequestered across each hectare of land on which the agroforestry and farm woodland type is established. In the screenshot below we select a payment rate of £20 per tCO</t>
    </r>
    <r>
      <rPr>
        <vertAlign val="subscript"/>
        <sz val="11"/>
        <color theme="1"/>
        <rFont val="Calibri"/>
        <family val="2"/>
        <scheme val="minor"/>
      </rPr>
      <t>2</t>
    </r>
    <r>
      <rPr>
        <sz val="11"/>
        <color theme="1"/>
        <rFont val="Calibri"/>
        <family val="2"/>
        <scheme val="minor"/>
      </rPr>
      <t xml:space="preserve"> to be applied to the Farm woodland scenario. This means that for every tonne of CO</t>
    </r>
    <r>
      <rPr>
        <vertAlign val="subscript"/>
        <sz val="11"/>
        <color theme="1"/>
        <rFont val="Calibri"/>
        <family val="2"/>
        <scheme val="minor"/>
      </rPr>
      <t xml:space="preserve">2  </t>
    </r>
    <r>
      <rPr>
        <sz val="11"/>
        <color theme="1"/>
        <rFont val="Calibri"/>
        <family val="2"/>
        <scheme val="minor"/>
      </rPr>
      <t>sequestered by the woodland scenarios, a payment of £20 is provided.</t>
    </r>
  </si>
  <si>
    <t>Finally, the box also allows you to vary the impact the agroforestry and fram woodland scenario has upon the performance of the farm type. Where agroforestry and farm woodland are established, they can provide a variety of performance benefits to agriculture by, for example, shading and sheltering livestock and reducing how exposed crops are to wind. However, there is a high degree of uncertainty around the scale of benefit that is provided to the different farm types. The impacts we have incorporated into the model are based on a range of peer reviewed studies, but there remains variation in the predicted impact. Hence, we provide the option to vary these performance benefits.</t>
  </si>
  <si>
    <r>
      <t xml:space="preserve">Selecting the option </t>
    </r>
    <r>
      <rPr>
        <b/>
        <u/>
        <sz val="11"/>
        <color theme="1"/>
        <rFont val="Calibri"/>
        <family val="2"/>
        <scheme val="minor"/>
      </rPr>
      <t>Income foregone</t>
    </r>
    <r>
      <rPr>
        <sz val="11"/>
        <color theme="1"/>
        <rFont val="Calibri"/>
        <family val="2"/>
        <scheme val="minor"/>
      </rPr>
      <t xml:space="preserve"> provides payment support based on the total costs and incomes lost from establishing the agroforestry and farm woodland.</t>
    </r>
  </si>
  <si>
    <r>
      <t xml:space="preserve">The sreenshot below shows how you can vary the agri-environment payment rate that is applied to each scenario. The option </t>
    </r>
    <r>
      <rPr>
        <b/>
        <u/>
        <sz val="11"/>
        <color theme="1"/>
        <rFont val="Calibri"/>
        <family val="2"/>
        <scheme val="minor"/>
      </rPr>
      <t>Current support schemes</t>
    </r>
    <r>
      <rPr>
        <sz val="11"/>
        <color theme="1"/>
        <rFont val="Calibri"/>
        <family val="2"/>
        <scheme val="minor"/>
      </rPr>
      <t xml:space="preserve"> applies the agri-environment support options and payment rates that are currently applicable to the agroforestry and farm woodland scenario in the country of interest. For example, in England this may include Countryside Stewardship payments for the planting of single trees or EWCO payments per hectare of woodland planted.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</si>
</sst>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43" formatCode="_-* #,##0.00_-;\-* #,##0.00_-;_-* &quot;-&quot;??_-;_-@_-"/>
    <numFmt numFmtId="164" formatCode="&quot;£&quot;#,##0.00"/>
    <numFmt numFmtId="165" formatCode="0_)"/>
    <numFmt numFmtId="166" formatCode="&quot;£&quot;#,##0"/>
    <numFmt numFmtId="167" formatCode="_-* #,##0_-;\-* #,##0_-;_-* &quot;-&quot;??_-;_-@_-"/>
    <numFmt numFmtId="168" formatCode="0.0%"/>
    <numFmt numFmtId="169" formatCode="&quot;£&quot;#,##0.0000"/>
  </numFmts>
  <fonts count="34">
    <font>
      <sz val="11"/>
      <color theme="1"/>
      <name val="Calibri"/>
      <family val="2"/>
      <scheme val="minor"/>
    </font>
    <font>
      <sz val="11"/>
      <color theme="1"/>
      <name val="Calibri"/>
      <family val="2"/>
      <scheme val="minor"/>
    </font>
    <font>
      <b/>
      <sz val="11"/>
      <color theme="1"/>
      <name val="Calibri"/>
      <family val="2"/>
      <scheme val="minor"/>
    </font>
    <font>
      <sz val="10"/>
      <color theme="1"/>
      <name val="Roboto"/>
    </font>
    <font>
      <sz val="9"/>
      <color theme="1"/>
      <name val="Roboto"/>
    </font>
    <font>
      <b/>
      <sz val="9"/>
      <color indexed="81"/>
      <name val="Tahoma"/>
      <family val="2"/>
    </font>
    <font>
      <sz val="12"/>
      <color theme="1"/>
      <name val="Arial"/>
      <family val="2"/>
    </font>
    <font>
      <sz val="8"/>
      <color indexed="72"/>
      <name val="MS Sans Serif"/>
      <family val="2"/>
    </font>
    <font>
      <sz val="10"/>
      <name val="Arial"/>
      <family val="2"/>
    </font>
    <font>
      <b/>
      <sz val="10"/>
      <color theme="1"/>
      <name val="Roboto"/>
    </font>
    <font>
      <sz val="10"/>
      <name val="Roboto"/>
    </font>
    <font>
      <b/>
      <sz val="10"/>
      <name val="Roboto"/>
    </font>
    <font>
      <u/>
      <sz val="11"/>
      <color theme="10"/>
      <name val="Calibri"/>
      <family val="2"/>
      <scheme val="minor"/>
    </font>
    <font>
      <sz val="12"/>
      <color theme="1"/>
      <name val="Times New Roman"/>
      <family val="2"/>
    </font>
    <font>
      <sz val="12"/>
      <name val="Arial MT"/>
    </font>
    <font>
      <sz val="10"/>
      <color theme="1"/>
      <name val="Arial"/>
      <family val="2"/>
    </font>
    <font>
      <sz val="10"/>
      <name val="Helv"/>
    </font>
    <font>
      <b/>
      <sz val="11"/>
      <color theme="0"/>
      <name val="Calibri"/>
      <family val="2"/>
      <scheme val="minor"/>
    </font>
    <font>
      <sz val="10"/>
      <color theme="1"/>
      <name val="Segoe UI"/>
      <family val="2"/>
    </font>
    <font>
      <sz val="12"/>
      <color rgb="FF000000"/>
      <name val="Arial"/>
      <family val="2"/>
    </font>
    <font>
      <u/>
      <sz val="12"/>
      <color rgb="FF0563C1"/>
      <name val="Arial"/>
      <family val="2"/>
    </font>
    <font>
      <u/>
      <sz val="12"/>
      <color rgb="FF0000FF"/>
      <name val="Arial"/>
      <family val="2"/>
    </font>
    <font>
      <sz val="12"/>
      <color rgb="FF000000"/>
      <name val="Times New Roman"/>
      <family val="1"/>
    </font>
    <font>
      <sz val="11"/>
      <name val="Calibri"/>
      <family val="2"/>
      <scheme val="minor"/>
    </font>
    <font>
      <b/>
      <sz val="11"/>
      <name val="Calibri"/>
      <family val="2"/>
      <scheme val="minor"/>
    </font>
    <font>
      <sz val="8"/>
      <name val="Calibri"/>
      <family val="2"/>
      <scheme val="minor"/>
    </font>
    <font>
      <sz val="10"/>
      <name val="Arial"/>
    </font>
    <font>
      <sz val="11"/>
      <color theme="1"/>
      <name val="Arial"/>
      <family val="2"/>
    </font>
    <font>
      <vertAlign val="subscript"/>
      <sz val="11"/>
      <color theme="1"/>
      <name val="Calibri"/>
      <family val="2"/>
      <scheme val="minor"/>
    </font>
    <font>
      <b/>
      <vertAlign val="superscript"/>
      <sz val="11"/>
      <color theme="1"/>
      <name val="Calibri"/>
      <family val="2"/>
      <scheme val="minor"/>
    </font>
    <font>
      <b/>
      <vertAlign val="subscript"/>
      <sz val="11"/>
      <color theme="1"/>
      <name val="Calibri"/>
      <family val="2"/>
      <scheme val="minor"/>
    </font>
    <font>
      <b/>
      <u/>
      <sz val="11"/>
      <color theme="1"/>
      <name val="Calibri"/>
      <family val="2"/>
      <scheme val="minor"/>
    </font>
    <font>
      <b/>
      <sz val="16"/>
      <color theme="1"/>
      <name val="Calibri"/>
      <family val="2"/>
      <scheme val="minor"/>
    </font>
    <font>
      <sz val="11"/>
      <color theme="1"/>
      <name val="Calibri"/>
      <family val="2"/>
    </font>
  </fonts>
  <fills count="15">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0"/>
        <bgColor indexed="64"/>
      </patternFill>
    </fill>
    <fill>
      <patternFill patternType="solid">
        <fgColor rgb="FFF2F5FC"/>
        <bgColor indexed="64"/>
      </patternFill>
    </fill>
    <fill>
      <patternFill patternType="solid">
        <fgColor theme="0" tint="-4.9989318521683403E-2"/>
        <bgColor indexed="64"/>
      </patternFill>
    </fill>
    <fill>
      <patternFill patternType="solid">
        <fgColor rgb="FFA5A5A5"/>
      </patternFill>
    </fill>
    <fill>
      <patternFill patternType="solid">
        <fgColor rgb="FFFFD966"/>
        <bgColor indexed="64"/>
      </patternFill>
    </fill>
    <fill>
      <patternFill patternType="solid">
        <fgColor theme="9" tint="0.39997558519241921"/>
        <bgColor indexed="64"/>
      </patternFill>
    </fill>
    <fill>
      <patternFill patternType="solid">
        <fgColor theme="2"/>
        <bgColor indexed="64"/>
      </patternFill>
    </fill>
    <fill>
      <patternFill patternType="solid">
        <fgColor theme="8" tint="0.59999389629810485"/>
        <bgColor indexed="65"/>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medium">
        <color indexed="64"/>
      </right>
      <top/>
      <bottom/>
      <diagonal/>
    </border>
    <border>
      <left style="dotted">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double">
        <color indexed="64"/>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right/>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double">
        <color indexed="64"/>
      </top>
      <bottom/>
      <diagonal/>
    </border>
    <border>
      <left style="double">
        <color rgb="FF3F3F3F"/>
      </left>
      <right/>
      <top style="double">
        <color rgb="FF3F3F3F"/>
      </top>
      <bottom style="double">
        <color rgb="FF3F3F3F"/>
      </bottom>
      <diagonal/>
    </border>
    <border>
      <left/>
      <right style="double">
        <color rgb="FF3F3F3F"/>
      </right>
      <top style="double">
        <color rgb="FF3F3F3F"/>
      </top>
      <bottom style="double">
        <color rgb="FF3F3F3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double">
        <color rgb="FF3F3F3F"/>
      </bottom>
      <diagonal/>
    </border>
  </borders>
  <cellStyleXfs count="46">
    <xf numFmtId="0" fontId="0" fillId="0" borderId="0"/>
    <xf numFmtId="9" fontId="1" fillId="0" borderId="0" applyFont="0" applyFill="0" applyBorder="0" applyAlignment="0" applyProtection="0"/>
    <xf numFmtId="0" fontId="6" fillId="0" borderId="0"/>
    <xf numFmtId="0" fontId="1" fillId="0" borderId="0"/>
    <xf numFmtId="0" fontId="7" fillId="0" borderId="0" applyAlignment="0">
      <alignment vertical="top" wrapText="1"/>
      <protection locked="0"/>
    </xf>
    <xf numFmtId="0" fontId="7" fillId="0" borderId="0" applyAlignment="0">
      <alignment vertical="top" wrapText="1"/>
      <protection locked="0"/>
    </xf>
    <xf numFmtId="0" fontId="6" fillId="0" borderId="0"/>
    <xf numFmtId="0" fontId="12" fillId="0" borderId="0" applyNumberFormat="0" applyFill="0" applyBorder="0" applyAlignment="0" applyProtection="0"/>
    <xf numFmtId="0" fontId="13" fillId="0" borderId="0"/>
    <xf numFmtId="43" fontId="13" fillId="0" borderId="0" applyFont="0" applyFill="0" applyBorder="0" applyAlignment="0" applyProtection="0"/>
    <xf numFmtId="165" fontId="14" fillId="0" borderId="0"/>
    <xf numFmtId="0" fontId="15" fillId="0" borderId="0"/>
    <xf numFmtId="0" fontId="16" fillId="0" borderId="0">
      <alignment horizontal="center"/>
    </xf>
    <xf numFmtId="9" fontId="15" fillId="0" borderId="0" applyFont="0" applyFill="0" applyBorder="0" applyAlignment="0" applyProtection="0"/>
    <xf numFmtId="0" fontId="8" fillId="0" borderId="0"/>
    <xf numFmtId="43" fontId="1" fillId="0" borderId="0" applyFont="0" applyFill="0" applyBorder="0" applyAlignment="0" applyProtection="0"/>
    <xf numFmtId="0" fontId="17" fillId="10" borderId="27" applyNumberFormat="0" applyAlignment="0" applyProtection="0"/>
    <xf numFmtId="0" fontId="19" fillId="0" borderId="0" applyNumberFormat="0" applyFont="0" applyBorder="0" applyProtection="0"/>
    <xf numFmtId="43" fontId="13" fillId="0" borderId="0" applyFont="0" applyFill="0" applyBorder="0" applyAlignment="0" applyProtection="0"/>
    <xf numFmtId="0" fontId="22" fillId="0" borderId="0" applyNumberFormat="0" applyBorder="0" applyProtection="0"/>
    <xf numFmtId="0" fontId="19" fillId="0" borderId="0" applyNumberFormat="0" applyFont="0" applyBorder="0" applyProtection="0"/>
    <xf numFmtId="0" fontId="20" fillId="0" borderId="0" applyNumberFormat="0" applyFill="0" applyBorder="0" applyAlignment="0" applyProtection="0"/>
    <xf numFmtId="0" fontId="19" fillId="0" borderId="0" applyNumberFormat="0" applyFont="0" applyBorder="0" applyProtection="0"/>
    <xf numFmtId="0" fontId="19" fillId="0" borderId="0" applyNumberFormat="0" applyFont="0" applyBorder="0" applyProtection="0"/>
    <xf numFmtId="0" fontId="21" fillId="0" borderId="0" applyNumberFormat="0" applyFill="0" applyBorder="0" applyAlignment="0" applyProtection="0"/>
    <xf numFmtId="0" fontId="19" fillId="0" borderId="0"/>
    <xf numFmtId="0" fontId="26" fillId="0" borderId="0"/>
    <xf numFmtId="43" fontId="8" fillId="0" borderId="0" applyFont="0" applyFill="0" applyBorder="0" applyAlignment="0" applyProtection="0"/>
    <xf numFmtId="43" fontId="8" fillId="0" borderId="0" applyFont="0" applyFill="0" applyBorder="0" applyAlignment="0" applyProtection="0"/>
    <xf numFmtId="0" fontId="15"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5" fillId="0" borderId="0"/>
    <xf numFmtId="43" fontId="8" fillId="0" borderId="0" applyFont="0" applyFill="0" applyBorder="0" applyAlignment="0" applyProtection="0"/>
    <xf numFmtId="0" fontId="15" fillId="0" borderId="0"/>
    <xf numFmtId="0" fontId="15" fillId="0" borderId="0"/>
    <xf numFmtId="0" fontId="8" fillId="0" borderId="0"/>
    <xf numFmtId="0" fontId="15" fillId="0" borderId="0"/>
    <xf numFmtId="0" fontId="27" fillId="0" borderId="0"/>
    <xf numFmtId="9" fontId="27" fillId="0" borderId="0" applyFont="0" applyFill="0" applyBorder="0" applyAlignment="0" applyProtection="0"/>
    <xf numFmtId="0" fontId="27" fillId="14" borderId="0" applyNumberFormat="0" applyBorder="0" applyAlignment="0" applyProtection="0"/>
    <xf numFmtId="0" fontId="8" fillId="0" borderId="0"/>
    <xf numFmtId="43" fontId="8" fillId="0" borderId="0" applyFont="0" applyFill="0" applyBorder="0" applyAlignment="0" applyProtection="0"/>
  </cellStyleXfs>
  <cellXfs count="518">
    <xf numFmtId="0" fontId="0" fillId="0" borderId="0" xfId="0"/>
    <xf numFmtId="0" fontId="0" fillId="2" borderId="4" xfId="0" applyFill="1" applyBorder="1"/>
    <xf numFmtId="0" fontId="0" fillId="2" borderId="3" xfId="0" applyFill="1" applyBorder="1"/>
    <xf numFmtId="0" fontId="2" fillId="0" borderId="0" xfId="0" applyFont="1"/>
    <xf numFmtId="0" fontId="0" fillId="3" borderId="1" xfId="0" applyFill="1" applyBorder="1" applyAlignment="1">
      <alignment horizontal="center"/>
    </xf>
    <xf numFmtId="0" fontId="2" fillId="3" borderId="7" xfId="0" applyFont="1" applyFill="1" applyBorder="1"/>
    <xf numFmtId="0" fontId="0" fillId="3" borderId="6" xfId="0" applyFill="1" applyBorder="1"/>
    <xf numFmtId="0" fontId="0" fillId="3" borderId="5" xfId="0" applyFill="1" applyBorder="1"/>
    <xf numFmtId="0" fontId="2" fillId="3" borderId="3" xfId="0" applyFont="1" applyFill="1" applyBorder="1"/>
    <xf numFmtId="0" fontId="0" fillId="3" borderId="1" xfId="0" applyFill="1" applyBorder="1"/>
    <xf numFmtId="0" fontId="0" fillId="3" borderId="2" xfId="0" applyFill="1" applyBorder="1"/>
    <xf numFmtId="0" fontId="0" fillId="3" borderId="3" xfId="0" applyFill="1" applyBorder="1"/>
    <xf numFmtId="0" fontId="0" fillId="3" borderId="4" xfId="0" applyFill="1" applyBorder="1"/>
    <xf numFmtId="0" fontId="0" fillId="3" borderId="2" xfId="0" applyFill="1" applyBorder="1" applyAlignment="1">
      <alignment horizontal="center"/>
    </xf>
    <xf numFmtId="0" fontId="0" fillId="4" borderId="0" xfId="0" applyFill="1"/>
    <xf numFmtId="0" fontId="2" fillId="4" borderId="0" xfId="0" applyFont="1" applyFill="1"/>
    <xf numFmtId="0" fontId="0" fillId="4" borderId="0" xfId="0" applyFill="1" applyAlignment="1">
      <alignment horizontal="left"/>
    </xf>
    <xf numFmtId="0" fontId="0" fillId="5" borderId="3" xfId="0" applyFill="1" applyBorder="1" applyAlignment="1">
      <alignment horizontal="center"/>
    </xf>
    <xf numFmtId="0" fontId="0" fillId="5" borderId="1" xfId="0" applyFill="1" applyBorder="1" applyAlignment="1">
      <alignment horizontal="center"/>
    </xf>
    <xf numFmtId="0" fontId="2" fillId="3" borderId="1" xfId="0" applyFont="1" applyFill="1" applyBorder="1"/>
    <xf numFmtId="0" fontId="3" fillId="0" borderId="0" xfId="0" applyFont="1"/>
    <xf numFmtId="0" fontId="4" fillId="0" borderId="0" xfId="0" applyFont="1" applyAlignment="1">
      <alignment horizontal="center" vertical="center"/>
    </xf>
    <xf numFmtId="0" fontId="2" fillId="3" borderId="4" xfId="0" applyFont="1" applyFill="1" applyBorder="1"/>
    <xf numFmtId="0" fontId="0" fillId="5" borderId="2" xfId="0" applyFill="1" applyBorder="1" applyAlignment="1">
      <alignment horizontal="center" wrapText="1"/>
    </xf>
    <xf numFmtId="0" fontId="2" fillId="3" borderId="8" xfId="0" applyFont="1" applyFill="1" applyBorder="1"/>
    <xf numFmtId="0" fontId="0" fillId="2" borderId="1" xfId="0" applyFill="1" applyBorder="1" applyAlignment="1">
      <alignment horizontal="center"/>
    </xf>
    <xf numFmtId="9" fontId="0" fillId="0" borderId="0" xfId="1" applyFont="1"/>
    <xf numFmtId="0" fontId="0" fillId="4" borderId="0" xfId="0" applyFill="1" applyAlignment="1">
      <alignment wrapText="1"/>
    </xf>
    <xf numFmtId="0" fontId="0" fillId="0" borderId="0" xfId="0" applyAlignment="1">
      <alignment wrapText="1"/>
    </xf>
    <xf numFmtId="0" fontId="2" fillId="7" borderId="1" xfId="0" applyFont="1" applyFill="1" applyBorder="1"/>
    <xf numFmtId="9" fontId="3" fillId="3" borderId="1" xfId="1"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vertical="center" wrapText="1"/>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3" fillId="4" borderId="0" xfId="0" applyFont="1" applyFill="1"/>
    <xf numFmtId="0" fontId="4" fillId="4" borderId="0" xfId="0" applyFont="1" applyFill="1" applyAlignment="1">
      <alignment horizontal="center" vertical="center"/>
    </xf>
    <xf numFmtId="0" fontId="3" fillId="4" borderId="0" xfId="0" applyFont="1" applyFill="1" applyAlignment="1">
      <alignment horizontal="center"/>
    </xf>
    <xf numFmtId="0" fontId="0" fillId="0" borderId="1" xfId="0" applyBorder="1"/>
    <xf numFmtId="164" fontId="0" fillId="0" borderId="1" xfId="0" applyNumberFormat="1" applyBorder="1"/>
    <xf numFmtId="0" fontId="2" fillId="0" borderId="0" xfId="0" applyFont="1" applyAlignment="1">
      <alignment horizontal="left"/>
    </xf>
    <xf numFmtId="164" fontId="2" fillId="0" borderId="0" xfId="0" applyNumberFormat="1" applyFont="1"/>
    <xf numFmtId="0" fontId="2" fillId="0" borderId="12" xfId="0" applyFont="1" applyBorder="1"/>
    <xf numFmtId="0" fontId="2" fillId="0" borderId="13" xfId="0" applyFont="1" applyBorder="1"/>
    <xf numFmtId="0" fontId="2" fillId="0" borderId="14" xfId="0" applyFont="1" applyBorder="1"/>
    <xf numFmtId="0" fontId="0" fillId="0" borderId="15" xfId="0" applyBorder="1"/>
    <xf numFmtId="164" fontId="0" fillId="0" borderId="16" xfId="0" applyNumberFormat="1" applyBorder="1"/>
    <xf numFmtId="164" fontId="2" fillId="0" borderId="16" xfId="0" applyNumberFormat="1" applyFont="1" applyBorder="1"/>
    <xf numFmtId="164" fontId="2" fillId="0" borderId="19" xfId="0" applyNumberFormat="1" applyFont="1" applyBorder="1"/>
    <xf numFmtId="0" fontId="0" fillId="5" borderId="2" xfId="0" applyFill="1" applyBorder="1" applyAlignment="1">
      <alignment horizontal="center"/>
    </xf>
    <xf numFmtId="0" fontId="2" fillId="0" borderId="15" xfId="0" applyFont="1" applyBorder="1" applyAlignment="1">
      <alignment horizontal="left"/>
    </xf>
    <xf numFmtId="0" fontId="2" fillId="0" borderId="1" xfId="0" applyFont="1" applyBorder="1" applyAlignment="1">
      <alignment horizontal="left"/>
    </xf>
    <xf numFmtId="0" fontId="2" fillId="0" borderId="17" xfId="0" applyFont="1" applyBorder="1" applyAlignment="1">
      <alignment horizontal="left"/>
    </xf>
    <xf numFmtId="0" fontId="2" fillId="0" borderId="18" xfId="0" applyFont="1" applyBorder="1" applyAlignment="1">
      <alignment horizontal="left"/>
    </xf>
    <xf numFmtId="0" fontId="2" fillId="0" borderId="17" xfId="0" applyFont="1" applyBorder="1"/>
    <xf numFmtId="0" fontId="2" fillId="0" borderId="18" xfId="0" applyFont="1" applyBorder="1"/>
    <xf numFmtId="0" fontId="0" fillId="5" borderId="1" xfId="0" applyFill="1" applyBorder="1" applyAlignment="1">
      <alignment horizontal="center" wrapText="1"/>
    </xf>
    <xf numFmtId="0" fontId="2" fillId="0" borderId="1" xfId="0" applyFont="1" applyBorder="1" applyAlignment="1">
      <alignment wrapText="1"/>
    </xf>
    <xf numFmtId="0" fontId="0" fillId="0" borderId="16" xfId="0" applyBorder="1"/>
    <xf numFmtId="0" fontId="2" fillId="0" borderId="17" xfId="0" applyFont="1" applyBorder="1" applyAlignment="1">
      <alignment wrapText="1"/>
    </xf>
    <xf numFmtId="9" fontId="0" fillId="0" borderId="1" xfId="1" applyFont="1" applyBorder="1"/>
    <xf numFmtId="0" fontId="2" fillId="0" borderId="1" xfId="0" applyFont="1" applyBorder="1"/>
    <xf numFmtId="9" fontId="0" fillId="0" borderId="16" xfId="1" applyFont="1" applyBorder="1"/>
    <xf numFmtId="0" fontId="0" fillId="0" borderId="17" xfId="0" applyBorder="1"/>
    <xf numFmtId="0" fontId="0" fillId="0" borderId="18" xfId="0" applyBorder="1"/>
    <xf numFmtId="0" fontId="0" fillId="0" borderId="19" xfId="0" applyBorder="1"/>
    <xf numFmtId="0" fontId="2" fillId="0" borderId="19" xfId="0" applyFont="1" applyBorder="1"/>
    <xf numFmtId="164" fontId="2" fillId="0" borderId="16" xfId="0" applyNumberFormat="1" applyFont="1" applyBorder="1" applyAlignment="1">
      <alignment horizontal="left"/>
    </xf>
    <xf numFmtId="0" fontId="0" fillId="0" borderId="1" xfId="0" applyBorder="1" applyAlignment="1">
      <alignment wrapText="1"/>
    </xf>
    <xf numFmtId="0" fontId="2" fillId="0" borderId="16" xfId="0" applyFont="1" applyBorder="1"/>
    <xf numFmtId="9" fontId="0" fillId="0" borderId="18" xfId="1" applyFont="1" applyBorder="1"/>
    <xf numFmtId="3" fontId="0" fillId="0" borderId="0" xfId="0" applyNumberFormat="1"/>
    <xf numFmtId="0" fontId="0" fillId="0" borderId="16" xfId="1" applyNumberFormat="1" applyFont="1" applyBorder="1"/>
    <xf numFmtId="0" fontId="0" fillId="0" borderId="15" xfId="0" applyBorder="1" applyAlignment="1">
      <alignment wrapText="1"/>
    </xf>
    <xf numFmtId="0" fontId="0" fillId="0" borderId="16" xfId="0" applyBorder="1" applyAlignment="1">
      <alignment wrapText="1"/>
    </xf>
    <xf numFmtId="0" fontId="0" fillId="0" borderId="17" xfId="0" applyBorder="1" applyAlignment="1">
      <alignment wrapText="1"/>
    </xf>
    <xf numFmtId="0" fontId="2" fillId="0" borderId="15" xfId="0" applyFont="1" applyBorder="1" applyAlignment="1">
      <alignment wrapText="1"/>
    </xf>
    <xf numFmtId="0" fontId="2" fillId="0" borderId="16" xfId="0" applyFont="1" applyBorder="1" applyAlignment="1">
      <alignment wrapText="1"/>
    </xf>
    <xf numFmtId="0" fontId="2" fillId="0" borderId="18" xfId="0" applyFont="1" applyBorder="1" applyAlignment="1">
      <alignment wrapText="1"/>
    </xf>
    <xf numFmtId="8" fontId="0" fillId="0" borderId="16" xfId="0" applyNumberFormat="1" applyBorder="1" applyAlignment="1">
      <alignment wrapText="1"/>
    </xf>
    <xf numFmtId="8" fontId="2" fillId="0" borderId="19" xfId="0" applyNumberFormat="1" applyFont="1" applyBorder="1" applyAlignment="1">
      <alignment wrapText="1"/>
    </xf>
    <xf numFmtId="8" fontId="2" fillId="0" borderId="16" xfId="0" applyNumberFormat="1" applyFont="1" applyBorder="1" applyAlignment="1">
      <alignment wrapText="1"/>
    </xf>
    <xf numFmtId="0" fontId="0" fillId="2" borderId="1" xfId="0" applyFill="1" applyBorder="1" applyAlignment="1">
      <alignment horizontal="center" wrapText="1"/>
    </xf>
    <xf numFmtId="0" fontId="2" fillId="0" borderId="15" xfId="0" applyFont="1" applyBorder="1" applyAlignment="1">
      <alignment horizontal="left" wrapText="1"/>
    </xf>
    <xf numFmtId="0" fontId="2" fillId="0" borderId="17" xfId="0" applyFont="1" applyBorder="1" applyAlignment="1">
      <alignment horizontal="left" wrapText="1"/>
    </xf>
    <xf numFmtId="164" fontId="0" fillId="0" borderId="0" xfId="0" applyNumberFormat="1"/>
    <xf numFmtId="164" fontId="2" fillId="0" borderId="1" xfId="0" applyNumberFormat="1" applyFont="1" applyBorder="1"/>
    <xf numFmtId="164" fontId="2" fillId="0" borderId="16" xfId="0" applyNumberFormat="1" applyFont="1" applyBorder="1" applyAlignment="1">
      <alignment horizontal="right"/>
    </xf>
    <xf numFmtId="3" fontId="0" fillId="0" borderId="16" xfId="0" applyNumberFormat="1" applyBorder="1"/>
    <xf numFmtId="0" fontId="2" fillId="3" borderId="9" xfId="0" applyFont="1" applyFill="1" applyBorder="1"/>
    <xf numFmtId="0" fontId="2" fillId="7" borderId="4" xfId="0" applyFont="1" applyFill="1" applyBorder="1"/>
    <xf numFmtId="164" fontId="0" fillId="0" borderId="16" xfId="0" applyNumberFormat="1" applyBorder="1" applyAlignment="1">
      <alignment horizontal="right"/>
    </xf>
    <xf numFmtId="0" fontId="2" fillId="0" borderId="15" xfId="0" applyFont="1" applyBorder="1"/>
    <xf numFmtId="9" fontId="0" fillId="0" borderId="0" xfId="1" applyFont="1" applyBorder="1" applyAlignment="1">
      <alignment wrapText="1"/>
    </xf>
    <xf numFmtId="9" fontId="0" fillId="0" borderId="1" xfId="1" applyFont="1" applyBorder="1" applyAlignment="1">
      <alignment wrapText="1"/>
    </xf>
    <xf numFmtId="9" fontId="0" fillId="0" borderId="1" xfId="0" applyNumberFormat="1" applyBorder="1"/>
    <xf numFmtId="9" fontId="0" fillId="0" borderId="1" xfId="1" applyFont="1" applyFill="1" applyBorder="1" applyAlignment="1">
      <alignment wrapText="1"/>
    </xf>
    <xf numFmtId="9" fontId="0" fillId="0" borderId="16" xfId="0" applyNumberFormat="1" applyBorder="1"/>
    <xf numFmtId="9" fontId="0" fillId="0" borderId="1" xfId="0" applyNumberFormat="1" applyBorder="1" applyAlignment="1">
      <alignment wrapText="1"/>
    </xf>
    <xf numFmtId="10" fontId="0" fillId="0" borderId="1" xfId="0" applyNumberFormat="1" applyBorder="1" applyAlignment="1">
      <alignment wrapText="1"/>
    </xf>
    <xf numFmtId="9" fontId="2" fillId="0" borderId="16" xfId="0" applyNumberFormat="1" applyFont="1" applyBorder="1" applyAlignment="1">
      <alignment wrapText="1"/>
    </xf>
    <xf numFmtId="9" fontId="2" fillId="0" borderId="16" xfId="0" applyNumberFormat="1" applyFont="1" applyBorder="1"/>
    <xf numFmtId="9" fontId="2" fillId="0" borderId="19" xfId="0" applyNumberFormat="1" applyFont="1" applyBorder="1" applyAlignment="1">
      <alignment wrapText="1"/>
    </xf>
    <xf numFmtId="0" fontId="0" fillId="6" borderId="5" xfId="0" applyFill="1" applyBorder="1" applyAlignment="1">
      <alignment horizontal="center" vertical="center"/>
    </xf>
    <xf numFmtId="0" fontId="2" fillId="6" borderId="5" xfId="0" applyFont="1" applyFill="1" applyBorder="1" applyAlignment="1">
      <alignment horizontal="center" vertical="center"/>
    </xf>
    <xf numFmtId="0" fontId="2" fillId="6" borderId="9"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0" borderId="0" xfId="0" applyFont="1" applyAlignment="1">
      <alignment horizontal="left" wrapText="1"/>
    </xf>
    <xf numFmtId="9" fontId="2" fillId="0" borderId="0" xfId="0" applyNumberFormat="1" applyFont="1" applyAlignment="1">
      <alignment wrapText="1"/>
    </xf>
    <xf numFmtId="3" fontId="0" fillId="0" borderId="1" xfId="0" applyNumberFormat="1" applyBorder="1"/>
    <xf numFmtId="0" fontId="2" fillId="3" borderId="8" xfId="0" applyFont="1" applyFill="1" applyBorder="1" applyAlignment="1">
      <alignment wrapText="1"/>
    </xf>
    <xf numFmtId="0" fontId="0" fillId="0" borderId="15" xfId="0" applyBorder="1" applyAlignment="1">
      <alignment horizontal="left" wrapText="1"/>
    </xf>
    <xf numFmtId="0" fontId="0" fillId="8" borderId="1" xfId="0" applyFill="1" applyBorder="1"/>
    <xf numFmtId="0" fontId="0" fillId="8" borderId="1" xfId="0" applyFill="1" applyBorder="1" applyAlignment="1">
      <alignment horizontal="center"/>
    </xf>
    <xf numFmtId="0" fontId="2" fillId="8" borderId="1" xfId="0" applyFont="1" applyFill="1" applyBorder="1"/>
    <xf numFmtId="1" fontId="0" fillId="0" borderId="1" xfId="0" applyNumberFormat="1" applyBorder="1" applyAlignment="1">
      <alignment horizontal="right"/>
    </xf>
    <xf numFmtId="1" fontId="0" fillId="0" borderId="1" xfId="0" applyNumberFormat="1" applyBorder="1"/>
    <xf numFmtId="0" fontId="2" fillId="9" borderId="1" xfId="0" applyFont="1" applyFill="1" applyBorder="1"/>
    <xf numFmtId="1" fontId="2" fillId="9" borderId="1" xfId="0" applyNumberFormat="1" applyFont="1" applyFill="1" applyBorder="1" applyAlignment="1">
      <alignment horizontal="right"/>
    </xf>
    <xf numFmtId="1" fontId="2" fillId="9" borderId="1" xfId="0" applyNumberFormat="1" applyFont="1" applyFill="1" applyBorder="1"/>
    <xf numFmtId="1" fontId="0" fillId="9" borderId="1" xfId="0" applyNumberFormat="1" applyFill="1" applyBorder="1" applyAlignment="1">
      <alignment horizontal="right"/>
    </xf>
    <xf numFmtId="0" fontId="12" fillId="0" borderId="1" xfId="7" applyBorder="1"/>
    <xf numFmtId="9" fontId="2" fillId="9" borderId="1" xfId="1" applyFont="1" applyFill="1" applyBorder="1" applyAlignment="1">
      <alignment horizontal="right"/>
    </xf>
    <xf numFmtId="1" fontId="2" fillId="0" borderId="1" xfId="0" applyNumberFormat="1" applyFont="1" applyBorder="1" applyAlignment="1">
      <alignment horizontal="right"/>
    </xf>
    <xf numFmtId="1" fontId="2" fillId="0" borderId="1" xfId="0" applyNumberFormat="1" applyFont="1" applyBorder="1"/>
    <xf numFmtId="0" fontId="0" fillId="5" borderId="15" xfId="0" applyFill="1" applyBorder="1" applyAlignment="1">
      <alignment horizontal="center" wrapText="1"/>
    </xf>
    <xf numFmtId="0" fontId="0" fillId="5" borderId="16" xfId="0" applyFill="1" applyBorder="1" applyAlignment="1">
      <alignment horizontal="center" wrapText="1"/>
    </xf>
    <xf numFmtId="0" fontId="0" fillId="0" borderId="24" xfId="0" applyBorder="1"/>
    <xf numFmtId="0" fontId="0" fillId="0" borderId="25" xfId="0" applyBorder="1"/>
    <xf numFmtId="1" fontId="0" fillId="0" borderId="15" xfId="0" applyNumberFormat="1" applyBorder="1"/>
    <xf numFmtId="166" fontId="0" fillId="0" borderId="1" xfId="0" applyNumberFormat="1" applyBorder="1"/>
    <xf numFmtId="164" fontId="0" fillId="0" borderId="1" xfId="0" applyNumberFormat="1" applyBorder="1" applyAlignment="1">
      <alignment horizontal="right"/>
    </xf>
    <xf numFmtId="166" fontId="0" fillId="0" borderId="1" xfId="0" applyNumberFormat="1" applyBorder="1" applyAlignment="1">
      <alignment horizontal="right"/>
    </xf>
    <xf numFmtId="166" fontId="0" fillId="0" borderId="16" xfId="0" applyNumberFormat="1" applyBorder="1"/>
    <xf numFmtId="166" fontId="2" fillId="0" borderId="1" xfId="0" applyNumberFormat="1" applyFont="1" applyBorder="1" applyAlignment="1">
      <alignment horizontal="right"/>
    </xf>
    <xf numFmtId="3" fontId="2" fillId="0" borderId="1" xfId="0" applyNumberFormat="1" applyFont="1" applyBorder="1"/>
    <xf numFmtId="164" fontId="0" fillId="0" borderId="1" xfId="0" applyNumberFormat="1" applyBorder="1" applyAlignment="1">
      <alignment wrapText="1"/>
    </xf>
    <xf numFmtId="166" fontId="2" fillId="0" borderId="1" xfId="0" applyNumberFormat="1" applyFont="1" applyBorder="1" applyAlignment="1">
      <alignment wrapText="1"/>
    </xf>
    <xf numFmtId="0" fontId="0" fillId="5" borderId="1" xfId="0" applyFill="1" applyBorder="1"/>
    <xf numFmtId="0" fontId="12" fillId="0" borderId="0" xfId="7"/>
    <xf numFmtId="3" fontId="0" fillId="0" borderId="1" xfId="0" applyNumberFormat="1" applyBorder="1" applyAlignment="1">
      <alignment horizontal="right" vertical="top"/>
    </xf>
    <xf numFmtId="9" fontId="3" fillId="7" borderId="1" xfId="1" applyFont="1" applyFill="1" applyBorder="1" applyAlignment="1">
      <alignment horizontal="center" vertical="center" wrapText="1"/>
    </xf>
    <xf numFmtId="0" fontId="0" fillId="0" borderId="3" xfId="0" applyBorder="1"/>
    <xf numFmtId="0" fontId="0" fillId="6" borderId="26" xfId="0" applyFill="1" applyBorder="1" applyAlignment="1">
      <alignment horizontal="center" vertical="center"/>
    </xf>
    <xf numFmtId="0" fontId="2" fillId="5" borderId="1" xfId="0" applyFont="1" applyFill="1" applyBorder="1" applyAlignment="1">
      <alignment wrapText="1"/>
    </xf>
    <xf numFmtId="9" fontId="2" fillId="6" borderId="5" xfId="1" applyFont="1" applyFill="1" applyBorder="1" applyAlignment="1">
      <alignment horizontal="center" vertical="center"/>
    </xf>
    <xf numFmtId="0" fontId="0" fillId="0" borderId="1" xfId="0" applyBorder="1" applyAlignment="1">
      <alignment horizontal="right"/>
    </xf>
    <xf numFmtId="0" fontId="12" fillId="0" borderId="16" xfId="7" applyBorder="1"/>
    <xf numFmtId="0" fontId="0" fillId="5" borderId="21" xfId="0" applyFill="1" applyBorder="1" applyAlignment="1">
      <alignment wrapText="1"/>
    </xf>
    <xf numFmtId="0" fontId="0" fillId="5" borderId="23" xfId="0" applyFill="1" applyBorder="1" applyAlignment="1">
      <alignment wrapText="1"/>
    </xf>
    <xf numFmtId="0" fontId="0" fillId="5" borderId="22" xfId="0" applyFill="1" applyBorder="1" applyAlignment="1">
      <alignment wrapText="1"/>
    </xf>
    <xf numFmtId="164" fontId="0" fillId="0" borderId="1" xfId="0" applyNumberFormat="1" applyBorder="1" applyAlignment="1">
      <alignment vertical="top"/>
    </xf>
    <xf numFmtId="0" fontId="0" fillId="9" borderId="0" xfId="0" applyFill="1"/>
    <xf numFmtId="0" fontId="0" fillId="9" borderId="7" xfId="0" applyFill="1" applyBorder="1"/>
    <xf numFmtId="0" fontId="0" fillId="9" borderId="5" xfId="0" applyFill="1" applyBorder="1"/>
    <xf numFmtId="0" fontId="3" fillId="9" borderId="0" xfId="0" applyFont="1" applyFill="1"/>
    <xf numFmtId="0" fontId="0" fillId="9" borderId="0" xfId="0" applyFill="1" applyAlignment="1">
      <alignment wrapText="1"/>
    </xf>
    <xf numFmtId="0" fontId="0" fillId="9" borderId="5" xfId="0" applyFill="1" applyBorder="1" applyAlignment="1">
      <alignment wrapText="1"/>
    </xf>
    <xf numFmtId="0" fontId="3" fillId="9" borderId="0" xfId="0" applyFont="1" applyFill="1" applyAlignment="1">
      <alignment wrapText="1"/>
    </xf>
    <xf numFmtId="9" fontId="3" fillId="0" borderId="1" xfId="1" applyFont="1" applyBorder="1" applyAlignment="1">
      <alignment horizontal="center" vertical="center"/>
    </xf>
    <xf numFmtId="0" fontId="2" fillId="5" borderId="1" xfId="0" applyFont="1" applyFill="1" applyBorder="1" applyAlignment="1">
      <alignment horizontal="center" wrapText="1"/>
    </xf>
    <xf numFmtId="164" fontId="2" fillId="0" borderId="1" xfId="0" applyNumberFormat="1" applyFont="1" applyBorder="1" applyAlignment="1">
      <alignment horizontal="right"/>
    </xf>
    <xf numFmtId="166" fontId="2" fillId="0" borderId="1" xfId="0" applyNumberFormat="1" applyFont="1" applyBorder="1"/>
    <xf numFmtId="166" fontId="0" fillId="0" borderId="1" xfId="0" applyNumberFormat="1" applyBorder="1" applyAlignment="1">
      <alignment wrapText="1"/>
    </xf>
    <xf numFmtId="164" fontId="24" fillId="0" borderId="1" xfId="0" applyNumberFormat="1" applyFont="1" applyBorder="1"/>
    <xf numFmtId="3" fontId="24" fillId="0" borderId="1" xfId="0" applyNumberFormat="1" applyFont="1" applyBorder="1"/>
    <xf numFmtId="0" fontId="24" fillId="0" borderId="1" xfId="0" applyFont="1" applyBorder="1"/>
    <xf numFmtId="166" fontId="24" fillId="0" borderId="1" xfId="0" applyNumberFormat="1" applyFont="1" applyBorder="1"/>
    <xf numFmtId="0" fontId="23" fillId="0" borderId="1" xfId="0" applyFont="1" applyBorder="1"/>
    <xf numFmtId="164" fontId="23" fillId="0" borderId="1" xfId="0" applyNumberFormat="1" applyFont="1" applyBorder="1"/>
    <xf numFmtId="164" fontId="23" fillId="0" borderId="1" xfId="0" applyNumberFormat="1" applyFont="1" applyBorder="1" applyAlignment="1">
      <alignment wrapText="1"/>
    </xf>
    <xf numFmtId="0" fontId="0" fillId="5" borderId="1" xfId="0" applyFill="1" applyBorder="1" applyAlignment="1">
      <alignment wrapText="1"/>
    </xf>
    <xf numFmtId="3" fontId="0" fillId="0" borderId="15" xfId="0" applyNumberFormat="1" applyBorder="1"/>
    <xf numFmtId="0" fontId="0" fillId="0" borderId="34" xfId="0" applyBorder="1"/>
    <xf numFmtId="0" fontId="0" fillId="3" borderId="28" xfId="0" applyFill="1" applyBorder="1"/>
    <xf numFmtId="9" fontId="0" fillId="0" borderId="1" xfId="1" applyFont="1" applyFill="1" applyBorder="1"/>
    <xf numFmtId="9" fontId="0" fillId="0" borderId="18" xfId="1" applyFont="1" applyFill="1" applyBorder="1"/>
    <xf numFmtId="1" fontId="2" fillId="0" borderId="16" xfId="0" applyNumberFormat="1" applyFont="1" applyBorder="1"/>
    <xf numFmtId="1" fontId="0" fillId="0" borderId="18" xfId="0" applyNumberFormat="1" applyBorder="1"/>
    <xf numFmtId="1" fontId="2" fillId="0" borderId="19" xfId="0" applyNumberFormat="1" applyFont="1" applyBorder="1"/>
    <xf numFmtId="0" fontId="0" fillId="9" borderId="0" xfId="0" applyFill="1" applyAlignment="1">
      <alignment horizontal="center" vertical="center"/>
    </xf>
    <xf numFmtId="0" fontId="2" fillId="5" borderId="3" xfId="0" applyFont="1" applyFill="1" applyBorder="1" applyAlignment="1">
      <alignment wrapText="1"/>
    </xf>
    <xf numFmtId="9" fontId="0" fillId="0" borderId="3" xfId="0" applyNumberFormat="1" applyBorder="1"/>
    <xf numFmtId="164" fontId="0" fillId="6" borderId="5" xfId="0" applyNumberFormat="1" applyFill="1" applyBorder="1" applyAlignment="1">
      <alignment horizontal="center" vertical="center"/>
    </xf>
    <xf numFmtId="1" fontId="3" fillId="2" borderId="1" xfId="1" applyNumberFormat="1" applyFont="1" applyFill="1" applyBorder="1" applyAlignment="1">
      <alignment horizontal="center" vertical="center" wrapText="1"/>
    </xf>
    <xf numFmtId="1" fontId="3" fillId="2" borderId="0" xfId="1" applyNumberFormat="1" applyFont="1" applyFill="1" applyBorder="1" applyAlignment="1">
      <alignment horizontal="center" vertical="center" wrapText="1"/>
    </xf>
    <xf numFmtId="166" fontId="9" fillId="3" borderId="1" xfId="0" applyNumberFormat="1" applyFont="1" applyFill="1" applyBorder="1" applyAlignment="1">
      <alignment horizontal="center" vertical="center" wrapText="1"/>
    </xf>
    <xf numFmtId="166" fontId="9" fillId="11" borderId="1" xfId="1" applyNumberFormat="1" applyFont="1" applyFill="1" applyBorder="1" applyAlignment="1">
      <alignment horizontal="center" vertical="center" wrapText="1"/>
    </xf>
    <xf numFmtId="166" fontId="9" fillId="12" borderId="1" xfId="1" applyNumberFormat="1" applyFont="1" applyFill="1" applyBorder="1" applyAlignment="1">
      <alignment horizontal="center" vertical="center" wrapText="1"/>
    </xf>
    <xf numFmtId="166" fontId="3" fillId="7" borderId="1" xfId="0" applyNumberFormat="1" applyFont="1" applyFill="1" applyBorder="1" applyAlignment="1">
      <alignment vertical="center" wrapText="1"/>
    </xf>
    <xf numFmtId="1" fontId="3" fillId="2" borderId="1" xfId="0" applyNumberFormat="1" applyFont="1" applyFill="1" applyBorder="1" applyAlignment="1">
      <alignment horizontal="center" vertical="center" wrapText="1"/>
    </xf>
    <xf numFmtId="167" fontId="3" fillId="3" borderId="1" xfId="15" applyNumberFormat="1" applyFont="1" applyFill="1" applyBorder="1" applyAlignment="1">
      <alignment horizontal="center" vertical="center" wrapText="1"/>
    </xf>
    <xf numFmtId="166" fontId="0" fillId="3" borderId="5" xfId="0" applyNumberFormat="1" applyFill="1" applyBorder="1"/>
    <xf numFmtId="166" fontId="2" fillId="3" borderId="9" xfId="0" applyNumberFormat="1" applyFont="1" applyFill="1" applyBorder="1"/>
    <xf numFmtId="166" fontId="2" fillId="2" borderId="8" xfId="0" applyNumberFormat="1" applyFont="1" applyFill="1" applyBorder="1"/>
    <xf numFmtId="166" fontId="2" fillId="3" borderId="4" xfId="0" applyNumberFormat="1" applyFont="1" applyFill="1" applyBorder="1"/>
    <xf numFmtId="166" fontId="2" fillId="2" borderId="1" xfId="0" applyNumberFormat="1" applyFont="1" applyFill="1" applyBorder="1" applyAlignment="1">
      <alignment horizontal="center"/>
    </xf>
    <xf numFmtId="166" fontId="0" fillId="2" borderId="4" xfId="0" applyNumberFormat="1" applyFill="1" applyBorder="1"/>
    <xf numFmtId="166" fontId="0" fillId="2" borderId="6" xfId="0" applyNumberFormat="1" applyFill="1" applyBorder="1" applyAlignment="1">
      <alignment horizontal="center"/>
    </xf>
    <xf numFmtId="166" fontId="2" fillId="7" borderId="4" xfId="0" applyNumberFormat="1" applyFont="1" applyFill="1" applyBorder="1" applyAlignment="1">
      <alignment vertical="center"/>
    </xf>
    <xf numFmtId="166" fontId="2" fillId="3" borderId="6" xfId="0" applyNumberFormat="1" applyFont="1" applyFill="1" applyBorder="1"/>
    <xf numFmtId="166" fontId="2" fillId="7" borderId="3" xfId="0" applyNumberFormat="1" applyFont="1" applyFill="1" applyBorder="1" applyAlignment="1">
      <alignment vertical="center"/>
    </xf>
    <xf numFmtId="166" fontId="2" fillId="7" borderId="2" xfId="0" applyNumberFormat="1" applyFont="1" applyFill="1" applyBorder="1" applyAlignment="1">
      <alignment vertical="center"/>
    </xf>
    <xf numFmtId="166" fontId="0" fillId="3" borderId="10" xfId="0" applyNumberFormat="1" applyFill="1" applyBorder="1"/>
    <xf numFmtId="166" fontId="0" fillId="3" borderId="0" xfId="0" applyNumberFormat="1" applyFill="1"/>
    <xf numFmtId="166" fontId="0" fillId="3" borderId="11" xfId="0" applyNumberFormat="1" applyFill="1" applyBorder="1"/>
    <xf numFmtId="0" fontId="12" fillId="0" borderId="16" xfId="7" applyFill="1" applyBorder="1" applyAlignment="1"/>
    <xf numFmtId="3" fontId="0" fillId="0" borderId="0" xfId="0" applyNumberFormat="1" applyAlignment="1">
      <alignment horizontal="right" vertical="top"/>
    </xf>
    <xf numFmtId="9" fontId="0" fillId="0" borderId="0" xfId="0" applyNumberFormat="1"/>
    <xf numFmtId="167" fontId="0" fillId="0" borderId="1" xfId="15" applyNumberFormat="1" applyFont="1" applyBorder="1"/>
    <xf numFmtId="167" fontId="0" fillId="0" borderId="1" xfId="15" applyNumberFormat="1" applyFont="1" applyFill="1" applyBorder="1"/>
    <xf numFmtId="167" fontId="3" fillId="3" borderId="1" xfId="15" applyNumberFormat="1" applyFont="1" applyFill="1" applyBorder="1" applyAlignment="1">
      <alignment wrapText="1"/>
    </xf>
    <xf numFmtId="167" fontId="3" fillId="3" borderId="1" xfId="15" applyNumberFormat="1" applyFont="1" applyFill="1" applyBorder="1" applyAlignment="1">
      <alignment horizontal="right" wrapText="1"/>
    </xf>
    <xf numFmtId="0" fontId="0" fillId="9" borderId="35" xfId="0" applyFill="1" applyBorder="1" applyAlignment="1">
      <alignment wrapText="1"/>
    </xf>
    <xf numFmtId="0" fontId="0" fillId="9" borderId="35" xfId="0" applyFill="1" applyBorder="1"/>
    <xf numFmtId="0" fontId="0" fillId="9" borderId="32" xfId="0" applyFill="1" applyBorder="1"/>
    <xf numFmtId="0" fontId="0" fillId="9" borderId="30" xfId="0" applyFill="1" applyBorder="1"/>
    <xf numFmtId="0" fontId="0" fillId="9" borderId="31" xfId="0" applyFill="1" applyBorder="1"/>
    <xf numFmtId="1" fontId="0" fillId="0" borderId="0" xfId="0" applyNumberFormat="1"/>
    <xf numFmtId="167" fontId="0" fillId="7" borderId="1" xfId="15" applyNumberFormat="1" applyFont="1" applyFill="1" applyBorder="1"/>
    <xf numFmtId="0" fontId="2" fillId="9" borderId="36" xfId="0" applyFont="1" applyFill="1" applyBorder="1"/>
    <xf numFmtId="0" fontId="2" fillId="9" borderId="37" xfId="0" applyFont="1" applyFill="1" applyBorder="1"/>
    <xf numFmtId="10" fontId="0" fillId="0" borderId="18" xfId="0" applyNumberFormat="1" applyBorder="1"/>
    <xf numFmtId="0" fontId="18" fillId="0" borderId="19" xfId="0" applyFont="1" applyBorder="1"/>
    <xf numFmtId="9" fontId="0" fillId="0" borderId="18" xfId="0" applyNumberFormat="1" applyBorder="1"/>
    <xf numFmtId="0" fontId="12" fillId="0" borderId="19" xfId="7" applyBorder="1"/>
    <xf numFmtId="166" fontId="0" fillId="2" borderId="28" xfId="0" applyNumberFormat="1" applyFill="1" applyBorder="1"/>
    <xf numFmtId="0" fontId="0" fillId="3" borderId="28" xfId="0" applyFill="1" applyBorder="1" applyAlignment="1">
      <alignment wrapText="1"/>
    </xf>
    <xf numFmtId="0" fontId="2" fillId="5" borderId="1" xfId="0" applyFont="1" applyFill="1" applyBorder="1" applyAlignment="1">
      <alignment vertical="center" wrapText="1"/>
    </xf>
    <xf numFmtId="6" fontId="0" fillId="0" borderId="1" xfId="0" applyNumberFormat="1" applyBorder="1" applyAlignment="1">
      <alignment wrapText="1"/>
    </xf>
    <xf numFmtId="6" fontId="0" fillId="0" borderId="1" xfId="0" applyNumberFormat="1" applyBorder="1"/>
    <xf numFmtId="0" fontId="0" fillId="0" borderId="6" xfId="0" applyBorder="1" applyAlignment="1">
      <alignment wrapText="1"/>
    </xf>
    <xf numFmtId="0" fontId="0" fillId="0" borderId="18" xfId="0" applyBorder="1" applyAlignment="1">
      <alignment wrapText="1"/>
    </xf>
    <xf numFmtId="0" fontId="2" fillId="0" borderId="15" xfId="0" applyFont="1" applyBorder="1" applyAlignment="1">
      <alignment horizontal="center" wrapText="1"/>
    </xf>
    <xf numFmtId="0" fontId="0" fillId="0" borderId="0" xfId="0" applyAlignment="1">
      <alignment horizontal="right" wrapText="1"/>
    </xf>
    <xf numFmtId="164" fontId="0" fillId="0" borderId="19" xfId="0" applyNumberFormat="1" applyBorder="1"/>
    <xf numFmtId="0" fontId="0" fillId="0" borderId="28" xfId="0" applyBorder="1" applyAlignment="1">
      <alignment wrapText="1"/>
    </xf>
    <xf numFmtId="0" fontId="0" fillId="0" borderId="18" xfId="0" applyBorder="1" applyAlignment="1">
      <alignment horizontal="right"/>
    </xf>
    <xf numFmtId="0" fontId="0" fillId="7" borderId="15" xfId="0" applyFill="1" applyBorder="1" applyAlignment="1">
      <alignment wrapText="1"/>
    </xf>
    <xf numFmtId="9" fontId="2" fillId="6" borderId="5" xfId="0" applyNumberFormat="1" applyFont="1" applyFill="1" applyBorder="1" applyAlignment="1">
      <alignment horizontal="center" vertical="center"/>
    </xf>
    <xf numFmtId="0" fontId="17" fillId="10" borderId="27" xfId="16" applyProtection="1">
      <protection locked="0"/>
    </xf>
    <xf numFmtId="0" fontId="17" fillId="10" borderId="27" xfId="16" applyAlignment="1" applyProtection="1">
      <protection locked="0"/>
    </xf>
    <xf numFmtId="0" fontId="17" fillId="10" borderId="27" xfId="16" applyAlignment="1" applyProtection="1">
      <alignment horizontal="center" vertical="center" wrapText="1"/>
      <protection locked="0"/>
    </xf>
    <xf numFmtId="166" fontId="17" fillId="10" borderId="27" xfId="16" applyNumberFormat="1" applyAlignment="1" applyProtection="1">
      <alignment horizontal="center" vertical="center"/>
      <protection locked="0"/>
    </xf>
    <xf numFmtId="0" fontId="17" fillId="10" borderId="27" xfId="16" applyAlignment="1" applyProtection="1">
      <alignment horizontal="center" vertical="center"/>
      <protection locked="0"/>
    </xf>
    <xf numFmtId="166" fontId="3" fillId="4" borderId="0" xfId="0" applyNumberFormat="1" applyFont="1" applyFill="1"/>
    <xf numFmtId="166" fontId="0" fillId="0" borderId="0" xfId="0" applyNumberFormat="1"/>
    <xf numFmtId="168" fontId="0" fillId="0" borderId="0" xfId="1" applyNumberFormat="1" applyFont="1"/>
    <xf numFmtId="0" fontId="9" fillId="4" borderId="0" xfId="0" applyFont="1" applyFill="1"/>
    <xf numFmtId="167" fontId="0" fillId="0" borderId="0" xfId="15" applyNumberFormat="1" applyFont="1"/>
    <xf numFmtId="166" fontId="0" fillId="3" borderId="30" xfId="0" applyNumberFormat="1" applyFill="1" applyBorder="1"/>
    <xf numFmtId="166" fontId="2" fillId="3" borderId="28" xfId="0" applyNumberFormat="1" applyFont="1" applyFill="1" applyBorder="1"/>
    <xf numFmtId="166" fontId="0" fillId="3" borderId="29" xfId="0" applyNumberFormat="1" applyFill="1" applyBorder="1"/>
    <xf numFmtId="0" fontId="2" fillId="0" borderId="0" xfId="0" applyFont="1" applyAlignment="1">
      <alignment wrapText="1"/>
    </xf>
    <xf numFmtId="0" fontId="12" fillId="0" borderId="0" xfId="7" applyBorder="1"/>
    <xf numFmtId="166" fontId="0" fillId="2" borderId="36" xfId="0" applyNumberFormat="1" applyFill="1" applyBorder="1"/>
    <xf numFmtId="166" fontId="2" fillId="7" borderId="36" xfId="0" applyNumberFormat="1" applyFont="1" applyFill="1" applyBorder="1" applyAlignment="1">
      <alignment vertical="center"/>
    </xf>
    <xf numFmtId="166" fontId="2" fillId="7" borderId="30" xfId="0" applyNumberFormat="1" applyFont="1" applyFill="1" applyBorder="1" applyAlignment="1">
      <alignment vertical="center"/>
    </xf>
    <xf numFmtId="166" fontId="0" fillId="3" borderId="28" xfId="0" applyNumberFormat="1" applyFill="1" applyBorder="1"/>
    <xf numFmtId="166" fontId="0" fillId="3" borderId="31" xfId="0" applyNumberFormat="1" applyFill="1" applyBorder="1"/>
    <xf numFmtId="166" fontId="0" fillId="2" borderId="37" xfId="0" applyNumberFormat="1" applyFill="1" applyBorder="1"/>
    <xf numFmtId="166" fontId="2" fillId="7" borderId="31" xfId="0" applyNumberFormat="1" applyFont="1" applyFill="1" applyBorder="1" applyAlignment="1">
      <alignment vertical="center"/>
    </xf>
    <xf numFmtId="166" fontId="0" fillId="3" borderId="6" xfId="0" applyNumberFormat="1" applyFill="1" applyBorder="1"/>
    <xf numFmtId="9" fontId="1" fillId="0" borderId="16" xfId="1" applyFont="1" applyBorder="1"/>
    <xf numFmtId="0" fontId="2" fillId="7" borderId="0" xfId="0" applyFont="1" applyFill="1"/>
    <xf numFmtId="166" fontId="2" fillId="7" borderId="0" xfId="0" applyNumberFormat="1" applyFont="1" applyFill="1" applyAlignment="1">
      <alignment vertical="center"/>
    </xf>
    <xf numFmtId="166" fontId="0" fillId="2" borderId="28" xfId="0" applyNumberFormat="1" applyFill="1" applyBorder="1" applyAlignment="1">
      <alignment horizontal="center"/>
    </xf>
    <xf numFmtId="166" fontId="0" fillId="2" borderId="29" xfId="0" applyNumberFormat="1" applyFill="1" applyBorder="1"/>
    <xf numFmtId="0" fontId="0" fillId="6" borderId="6" xfId="0" applyFill="1" applyBorder="1" applyAlignment="1">
      <alignment horizontal="center" vertical="center"/>
    </xf>
    <xf numFmtId="0" fontId="0" fillId="2" borderId="29" xfId="0" applyFill="1" applyBorder="1" applyAlignment="1">
      <alignment horizontal="center"/>
    </xf>
    <xf numFmtId="166" fontId="0" fillId="3" borderId="37" xfId="0" applyNumberFormat="1" applyFill="1" applyBorder="1"/>
    <xf numFmtId="166" fontId="2" fillId="3" borderId="2" xfId="0" applyNumberFormat="1" applyFont="1" applyFill="1" applyBorder="1"/>
    <xf numFmtId="166" fontId="2" fillId="7" borderId="39" xfId="0" applyNumberFormat="1" applyFont="1" applyFill="1" applyBorder="1" applyAlignment="1">
      <alignment vertical="center"/>
    </xf>
    <xf numFmtId="0" fontId="0" fillId="0" borderId="0" xfId="0" applyAlignment="1">
      <alignment horizontal="center"/>
    </xf>
    <xf numFmtId="166" fontId="0" fillId="0" borderId="19" xfId="0" applyNumberFormat="1" applyBorder="1"/>
    <xf numFmtId="168" fontId="0" fillId="0" borderId="1" xfId="1" applyNumberFormat="1" applyFont="1" applyBorder="1"/>
    <xf numFmtId="168" fontId="0" fillId="0" borderId="16" xfId="1" applyNumberFormat="1" applyFont="1" applyBorder="1"/>
    <xf numFmtId="166" fontId="9" fillId="11" borderId="18" xfId="1" applyNumberFormat="1" applyFont="1" applyFill="1" applyBorder="1" applyAlignment="1">
      <alignment horizontal="center" vertical="center" wrapText="1"/>
    </xf>
    <xf numFmtId="166" fontId="0" fillId="0" borderId="18" xfId="0" applyNumberFormat="1" applyBorder="1"/>
    <xf numFmtId="168" fontId="0" fillId="0" borderId="18" xfId="1" applyNumberFormat="1" applyFont="1" applyBorder="1"/>
    <xf numFmtId="168" fontId="0" fillId="0" borderId="19" xfId="1" applyNumberFormat="1" applyFont="1" applyBorder="1"/>
    <xf numFmtId="0" fontId="2" fillId="13" borderId="15" xfId="0" applyFont="1" applyFill="1" applyBorder="1" applyAlignment="1">
      <alignment wrapText="1"/>
    </xf>
    <xf numFmtId="0" fontId="2" fillId="13" borderId="1" xfId="0" applyFont="1" applyFill="1" applyBorder="1" applyAlignment="1">
      <alignment wrapText="1"/>
    </xf>
    <xf numFmtId="0" fontId="2" fillId="13" borderId="16" xfId="0" applyFont="1" applyFill="1" applyBorder="1" applyAlignment="1">
      <alignment wrapText="1"/>
    </xf>
    <xf numFmtId="169" fontId="9" fillId="11" borderId="1" xfId="1" applyNumberFormat="1" applyFont="1" applyFill="1" applyBorder="1" applyAlignment="1">
      <alignment horizontal="center" vertical="center" wrapText="1"/>
    </xf>
    <xf numFmtId="164" fontId="9" fillId="11" borderId="1" xfId="1" applyNumberFormat="1" applyFont="1" applyFill="1" applyBorder="1" applyAlignment="1">
      <alignment horizontal="center" vertical="center" wrapText="1"/>
    </xf>
    <xf numFmtId="164" fontId="9" fillId="11" borderId="18" xfId="1" applyNumberFormat="1" applyFont="1" applyFill="1" applyBorder="1" applyAlignment="1">
      <alignment horizontal="center" vertical="center" wrapText="1"/>
    </xf>
    <xf numFmtId="0" fontId="2" fillId="13" borderId="12" xfId="0" applyFont="1" applyFill="1" applyBorder="1" applyAlignment="1">
      <alignment horizontal="center"/>
    </xf>
    <xf numFmtId="0" fontId="2" fillId="13" borderId="13" xfId="0" applyFont="1" applyFill="1" applyBorder="1" applyAlignment="1">
      <alignment horizontal="center"/>
    </xf>
    <xf numFmtId="0" fontId="2" fillId="13" borderId="14" xfId="0" applyFont="1" applyFill="1" applyBorder="1" applyAlignment="1">
      <alignment horizontal="center"/>
    </xf>
    <xf numFmtId="0" fontId="2" fillId="13" borderId="1" xfId="0" applyFont="1" applyFill="1" applyBorder="1" applyAlignment="1">
      <alignment horizontal="center"/>
    </xf>
    <xf numFmtId="0" fontId="2" fillId="13" borderId="16" xfId="0" applyFont="1" applyFill="1" applyBorder="1" applyAlignment="1">
      <alignment horizontal="center"/>
    </xf>
    <xf numFmtId="1" fontId="0" fillId="0" borderId="17" xfId="0" applyNumberFormat="1" applyBorder="1"/>
    <xf numFmtId="0" fontId="2" fillId="0" borderId="1" xfId="0" applyFont="1" applyBorder="1" applyAlignment="1">
      <alignment horizontal="center"/>
    </xf>
    <xf numFmtId="0" fontId="0" fillId="5" borderId="1" xfId="0" applyFill="1" applyBorder="1" applyAlignment="1">
      <alignment horizontal="center" vertical="center" wrapText="1"/>
    </xf>
    <xf numFmtId="0" fontId="0" fillId="5" borderId="32" xfId="0" applyFill="1" applyBorder="1" applyAlignment="1">
      <alignment horizontal="center"/>
    </xf>
    <xf numFmtId="0" fontId="0" fillId="0" borderId="36" xfId="0" applyBorder="1" applyAlignment="1">
      <alignment wrapText="1"/>
    </xf>
    <xf numFmtId="164" fontId="2" fillId="0" borderId="18" xfId="0" applyNumberFormat="1" applyFont="1" applyBorder="1"/>
    <xf numFmtId="9" fontId="2" fillId="0" borderId="1" xfId="1" applyFont="1" applyBorder="1" applyAlignment="1">
      <alignment wrapText="1"/>
    </xf>
    <xf numFmtId="0" fontId="0" fillId="5" borderId="1" xfId="0" applyFill="1" applyBorder="1" applyAlignment="1">
      <alignment vertical="center" wrapText="1"/>
    </xf>
    <xf numFmtId="0" fontId="0" fillId="5" borderId="29" xfId="0" applyFill="1" applyBorder="1" applyAlignment="1">
      <alignment horizontal="center"/>
    </xf>
    <xf numFmtId="0" fontId="0" fillId="5" borderId="37" xfId="0" applyFill="1" applyBorder="1" applyAlignment="1">
      <alignment vertical="center" wrapText="1"/>
    </xf>
    <xf numFmtId="0" fontId="0" fillId="5" borderId="5" xfId="0" applyFill="1" applyBorder="1" applyAlignment="1">
      <alignment vertical="center" wrapText="1"/>
    </xf>
    <xf numFmtId="0" fontId="0" fillId="5" borderId="31" xfId="0" applyFill="1" applyBorder="1" applyAlignment="1">
      <alignment vertical="center" wrapText="1"/>
    </xf>
    <xf numFmtId="0" fontId="0" fillId="9" borderId="36" xfId="0" applyFill="1" applyBorder="1"/>
    <xf numFmtId="0" fontId="0" fillId="9" borderId="37" xfId="0" applyFill="1" applyBorder="1"/>
    <xf numFmtId="0" fontId="2" fillId="9" borderId="35" xfId="0" applyFont="1" applyFill="1" applyBorder="1"/>
    <xf numFmtId="0" fontId="0" fillId="9" borderId="32" xfId="0" applyFill="1" applyBorder="1" applyAlignment="1">
      <alignment wrapText="1"/>
    </xf>
    <xf numFmtId="0" fontId="0" fillId="9" borderId="30" xfId="0" applyFill="1" applyBorder="1" applyAlignment="1">
      <alignment wrapText="1"/>
    </xf>
    <xf numFmtId="0" fontId="0" fillId="9" borderId="31" xfId="0" applyFill="1" applyBorder="1" applyAlignment="1">
      <alignment wrapText="1"/>
    </xf>
    <xf numFmtId="0" fontId="3" fillId="9" borderId="30" xfId="0" applyFont="1" applyFill="1" applyBorder="1"/>
    <xf numFmtId="0" fontId="0" fillId="3" borderId="37" xfId="0" applyFill="1" applyBorder="1"/>
    <xf numFmtId="0" fontId="0" fillId="3" borderId="35" xfId="0" applyFill="1" applyBorder="1"/>
    <xf numFmtId="0" fontId="2" fillId="3" borderId="35" xfId="0" applyFont="1" applyFill="1" applyBorder="1"/>
    <xf numFmtId="0" fontId="0" fillId="3" borderId="32" xfId="0" applyFill="1" applyBorder="1"/>
    <xf numFmtId="0" fontId="0" fillId="3" borderId="29" xfId="0" applyFill="1" applyBorder="1"/>
    <xf numFmtId="0" fontId="0" fillId="3" borderId="31" xfId="0" applyFill="1" applyBorder="1"/>
    <xf numFmtId="0" fontId="0" fillId="2" borderId="29" xfId="0" applyFill="1" applyBorder="1" applyAlignment="1">
      <alignment horizontal="center" wrapText="1"/>
    </xf>
    <xf numFmtId="0" fontId="0" fillId="5" borderId="31" xfId="0" applyFill="1" applyBorder="1" applyAlignment="1">
      <alignment horizontal="center" wrapText="1"/>
    </xf>
    <xf numFmtId="0" fontId="2" fillId="3" borderId="28" xfId="0" applyFont="1" applyFill="1" applyBorder="1"/>
    <xf numFmtId="0" fontId="0" fillId="3" borderId="30" xfId="0" applyFill="1" applyBorder="1"/>
    <xf numFmtId="166" fontId="2" fillId="2" borderId="28" xfId="0" applyNumberFormat="1" applyFont="1" applyFill="1" applyBorder="1"/>
    <xf numFmtId="166" fontId="2" fillId="6" borderId="29" xfId="0" applyNumberFormat="1" applyFont="1" applyFill="1" applyBorder="1" applyAlignment="1">
      <alignment horizontal="center" vertical="center"/>
    </xf>
    <xf numFmtId="166" fontId="2" fillId="3" borderId="29" xfId="0" applyNumberFormat="1" applyFont="1" applyFill="1" applyBorder="1"/>
    <xf numFmtId="0" fontId="2" fillId="3" borderId="28" xfId="0" applyFont="1" applyFill="1" applyBorder="1" applyAlignment="1">
      <alignment wrapText="1"/>
    </xf>
    <xf numFmtId="164" fontId="2" fillId="6" borderId="29" xfId="0" applyNumberFormat="1" applyFont="1" applyFill="1" applyBorder="1" applyAlignment="1">
      <alignment horizontal="center" vertical="center"/>
    </xf>
    <xf numFmtId="166" fontId="0" fillId="2" borderId="29" xfId="0" applyNumberFormat="1" applyFill="1" applyBorder="1" applyAlignment="1">
      <alignment horizontal="center"/>
    </xf>
    <xf numFmtId="164" fontId="0" fillId="6" borderId="29" xfId="0" applyNumberFormat="1" applyFill="1" applyBorder="1" applyAlignment="1">
      <alignment horizontal="center" vertical="center"/>
    </xf>
    <xf numFmtId="0" fontId="0" fillId="5" borderId="28" xfId="0" applyFill="1" applyBorder="1" applyAlignment="1">
      <alignment horizontal="center" wrapText="1"/>
    </xf>
    <xf numFmtId="0" fontId="0" fillId="0" borderId="15" xfId="0" applyFill="1" applyBorder="1" applyAlignment="1">
      <alignment wrapText="1"/>
    </xf>
    <xf numFmtId="0" fontId="0" fillId="0" borderId="1" xfId="0" applyFill="1" applyBorder="1"/>
    <xf numFmtId="164" fontId="0" fillId="0" borderId="16" xfId="0" applyNumberFormat="1" applyFill="1" applyBorder="1"/>
    <xf numFmtId="0" fontId="0" fillId="5" borderId="1" xfId="0" applyFill="1" applyBorder="1" applyAlignment="1">
      <alignment horizontal="center"/>
    </xf>
    <xf numFmtId="0" fontId="0" fillId="0" borderId="48" xfId="0" applyBorder="1" applyAlignment="1">
      <alignment wrapText="1"/>
    </xf>
    <xf numFmtId="9" fontId="0" fillId="0" borderId="6" xfId="0" applyNumberFormat="1" applyBorder="1" applyAlignment="1">
      <alignment wrapText="1"/>
    </xf>
    <xf numFmtId="0" fontId="12" fillId="0" borderId="49" xfId="7" applyFill="1" applyBorder="1" applyAlignment="1"/>
    <xf numFmtId="9" fontId="0" fillId="0" borderId="18" xfId="0" applyNumberFormat="1" applyBorder="1" applyAlignment="1">
      <alignment horizontal="right" wrapText="1"/>
    </xf>
    <xf numFmtId="9" fontId="0" fillId="0" borderId="6" xfId="0" applyNumberFormat="1" applyBorder="1" applyAlignment="1">
      <alignment horizontal="right" wrapText="1"/>
    </xf>
    <xf numFmtId="9" fontId="0" fillId="0" borderId="18" xfId="1" applyFont="1" applyBorder="1" applyAlignment="1">
      <alignment wrapText="1"/>
    </xf>
    <xf numFmtId="9" fontId="0" fillId="0" borderId="19" xfId="0" applyNumberFormat="1" applyBorder="1"/>
    <xf numFmtId="0" fontId="17" fillId="10" borderId="27" xfId="16" applyAlignment="1" applyProtection="1">
      <alignment horizontal="center" vertical="center" wrapText="1"/>
      <protection locked="0"/>
    </xf>
    <xf numFmtId="166" fontId="17" fillId="10" borderId="27" xfId="16" applyNumberFormat="1" applyAlignment="1" applyProtection="1">
      <alignment horizontal="center" vertical="center"/>
      <protection locked="0"/>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2" fillId="13" borderId="13" xfId="0" applyFont="1" applyFill="1" applyBorder="1" applyAlignment="1">
      <alignment horizontal="center"/>
    </xf>
    <xf numFmtId="0" fontId="2" fillId="13" borderId="1" xfId="0" applyFont="1" applyFill="1" applyBorder="1" applyAlignment="1">
      <alignment horizontal="center"/>
    </xf>
    <xf numFmtId="0" fontId="2" fillId="9" borderId="35" xfId="0" applyFont="1" applyFill="1" applyBorder="1" applyAlignment="1">
      <alignment wrapText="1"/>
    </xf>
    <xf numFmtId="0" fontId="10" fillId="5" borderId="14"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3" fillId="4" borderId="0" xfId="0" applyFont="1" applyFill="1" applyBorder="1"/>
    <xf numFmtId="0" fontId="2" fillId="9" borderId="12" xfId="0" applyFont="1" applyFill="1" applyBorder="1" applyAlignment="1">
      <alignment horizontal="right" wrapText="1"/>
    </xf>
    <xf numFmtId="0" fontId="2" fillId="9" borderId="14" xfId="0" applyFont="1" applyFill="1" applyBorder="1" applyAlignment="1">
      <alignment horizontal="center" wrapText="1"/>
    </xf>
    <xf numFmtId="0" fontId="0" fillId="9" borderId="15" xfId="0" applyFill="1" applyBorder="1" applyAlignment="1">
      <alignment horizontal="right" wrapText="1"/>
    </xf>
    <xf numFmtId="166" fontId="9" fillId="3" borderId="16" xfId="0" applyNumberFormat="1" applyFont="1" applyFill="1" applyBorder="1" applyAlignment="1">
      <alignment horizontal="center" vertical="center" wrapText="1"/>
    </xf>
    <xf numFmtId="166" fontId="9" fillId="11" borderId="16" xfId="1" applyNumberFormat="1" applyFont="1" applyFill="1" applyBorder="1" applyAlignment="1">
      <alignment horizontal="center" vertical="center" wrapText="1"/>
    </xf>
    <xf numFmtId="0" fontId="0" fillId="9" borderId="17" xfId="0" applyFill="1" applyBorder="1" applyAlignment="1">
      <alignment horizontal="right" wrapText="1"/>
    </xf>
    <xf numFmtId="166" fontId="9" fillId="12" borderId="19" xfId="1" applyNumberFormat="1" applyFont="1" applyFill="1" applyBorder="1" applyAlignment="1">
      <alignment horizontal="center" vertical="center" wrapText="1"/>
    </xf>
    <xf numFmtId="167" fontId="9" fillId="11" borderId="15" xfId="15" applyNumberFormat="1" applyFont="1" applyFill="1" applyBorder="1" applyAlignment="1">
      <alignment horizontal="right" vertical="center" wrapText="1"/>
    </xf>
    <xf numFmtId="167" fontId="9" fillId="11" borderId="16" xfId="15" applyNumberFormat="1" applyFont="1" applyFill="1" applyBorder="1" applyAlignment="1">
      <alignment horizontal="center" vertical="center" wrapText="1"/>
    </xf>
    <xf numFmtId="167" fontId="9" fillId="11" borderId="15" xfId="15" applyNumberFormat="1" applyFont="1" applyFill="1" applyBorder="1" applyAlignment="1">
      <alignment horizontal="center" vertical="center" wrapText="1"/>
    </xf>
    <xf numFmtId="167" fontId="9" fillId="12" borderId="17" xfId="15" applyNumberFormat="1" applyFont="1" applyFill="1" applyBorder="1" applyAlignment="1">
      <alignment horizontal="center" vertical="center" wrapText="1"/>
    </xf>
    <xf numFmtId="167" fontId="9" fillId="12" borderId="19" xfId="15" applyNumberFormat="1" applyFont="1" applyFill="1" applyBorder="1" applyAlignment="1">
      <alignment horizontal="center" vertical="center" wrapText="1"/>
    </xf>
    <xf numFmtId="0" fontId="31" fillId="4" borderId="0" xfId="0" applyFont="1" applyFill="1" applyAlignment="1">
      <alignment vertical="top" wrapText="1"/>
    </xf>
    <xf numFmtId="0" fontId="0" fillId="4" borderId="0" xfId="0" applyFill="1" applyAlignment="1">
      <alignment vertical="top" wrapText="1"/>
    </xf>
    <xf numFmtId="0" fontId="2" fillId="4" borderId="0" xfId="0" applyFont="1" applyFill="1" applyAlignment="1">
      <alignment vertical="top" wrapText="1"/>
    </xf>
    <xf numFmtId="0" fontId="32" fillId="4" borderId="0" xfId="0" applyFont="1" applyFill="1" applyAlignment="1">
      <alignment vertical="top" wrapText="1"/>
    </xf>
    <xf numFmtId="0" fontId="0" fillId="3" borderId="0" xfId="0" applyFill="1" applyAlignment="1">
      <alignment horizontal="left" vertical="top" wrapText="1"/>
    </xf>
    <xf numFmtId="166" fontId="9" fillId="11" borderId="3" xfId="1" applyNumberFormat="1" applyFont="1" applyFill="1" applyBorder="1" applyAlignment="1">
      <alignment horizontal="center" vertical="center" wrapText="1"/>
    </xf>
    <xf numFmtId="168" fontId="9" fillId="11" borderId="16" xfId="1" applyNumberFormat="1" applyFont="1" applyFill="1" applyBorder="1" applyAlignment="1">
      <alignment horizontal="center" vertical="center" wrapText="1"/>
    </xf>
    <xf numFmtId="166" fontId="9" fillId="11" borderId="7" xfId="1" applyNumberFormat="1" applyFont="1" applyFill="1" applyBorder="1" applyAlignment="1">
      <alignment horizontal="center" vertical="center" wrapText="1"/>
    </xf>
    <xf numFmtId="168" fontId="9" fillId="11" borderId="49" xfId="1" applyNumberFormat="1" applyFont="1" applyFill="1" applyBorder="1" applyAlignment="1">
      <alignment horizontal="center" vertical="center" wrapText="1"/>
    </xf>
    <xf numFmtId="166" fontId="9" fillId="12" borderId="50" xfId="1" applyNumberFormat="1" applyFont="1" applyFill="1" applyBorder="1" applyAlignment="1">
      <alignment horizontal="center" vertical="center" wrapText="1"/>
    </xf>
    <xf numFmtId="168" fontId="9" fillId="12" borderId="57" xfId="1" applyNumberFormat="1" applyFont="1" applyFill="1" applyBorder="1" applyAlignment="1">
      <alignment horizontal="center" vertical="center" wrapText="1"/>
    </xf>
    <xf numFmtId="0" fontId="0" fillId="9" borderId="0" xfId="0" applyFont="1" applyFill="1"/>
    <xf numFmtId="0" fontId="2" fillId="9" borderId="36" xfId="0" applyFont="1" applyFill="1" applyBorder="1" applyAlignment="1"/>
    <xf numFmtId="166" fontId="9" fillId="7" borderId="1" xfId="0" applyNumberFormat="1" applyFont="1" applyFill="1" applyBorder="1" applyAlignment="1">
      <alignment horizontal="center" vertical="center" wrapText="1"/>
    </xf>
    <xf numFmtId="167" fontId="9" fillId="7" borderId="1" xfId="15" applyNumberFormat="1" applyFont="1" applyFill="1" applyBorder="1" applyAlignment="1">
      <alignment horizontal="center" vertical="center" wrapText="1"/>
    </xf>
    <xf numFmtId="0" fontId="2" fillId="9" borderId="7" xfId="0" applyFont="1" applyFill="1" applyBorder="1" applyAlignment="1">
      <alignment wrapText="1"/>
    </xf>
    <xf numFmtId="0" fontId="0" fillId="9" borderId="36" xfId="0" applyFill="1" applyBorder="1" applyAlignment="1"/>
    <xf numFmtId="0" fontId="3" fillId="9" borderId="0" xfId="0" applyFont="1" applyFill="1" applyAlignment="1"/>
    <xf numFmtId="9" fontId="17" fillId="10" borderId="40" xfId="16" applyNumberFormat="1" applyBorder="1" applyAlignment="1" applyProtection="1">
      <alignment vertical="center" wrapText="1"/>
      <protection locked="0"/>
    </xf>
    <xf numFmtId="0" fontId="0" fillId="4" borderId="0" xfId="0" applyFill="1" applyAlignment="1">
      <alignment vertical="center" wrapText="1"/>
    </xf>
    <xf numFmtId="0" fontId="31" fillId="4" borderId="0" xfId="0" applyFont="1" applyFill="1" applyAlignment="1">
      <alignment vertical="center" wrapText="1"/>
    </xf>
    <xf numFmtId="0" fontId="0" fillId="0" borderId="0" xfId="0" applyAlignment="1">
      <alignment vertical="center"/>
    </xf>
    <xf numFmtId="0" fontId="0" fillId="0" borderId="0" xfId="0" applyAlignment="1">
      <alignment vertical="top"/>
    </xf>
    <xf numFmtId="0" fontId="0" fillId="3" borderId="0" xfId="0" applyFill="1" applyAlignment="1">
      <alignment horizontal="left" vertical="top" wrapText="1"/>
    </xf>
    <xf numFmtId="0" fontId="0" fillId="3" borderId="0" xfId="0" applyFont="1" applyFill="1" applyAlignment="1">
      <alignment horizontal="left" vertical="top" wrapText="1"/>
    </xf>
    <xf numFmtId="0" fontId="2" fillId="3" borderId="0" xfId="0" applyFont="1" applyFill="1" applyAlignment="1">
      <alignment horizontal="left" vertical="top" wrapText="1"/>
    </xf>
    <xf numFmtId="0" fontId="0" fillId="4" borderId="0" xfId="0" applyFill="1" applyAlignment="1">
      <alignment horizontal="left" vertical="top" wrapText="1"/>
    </xf>
    <xf numFmtId="0" fontId="0" fillId="3" borderId="0" xfId="0" applyFill="1" applyAlignment="1">
      <alignment horizontal="center" vertical="top" wrapText="1"/>
    </xf>
    <xf numFmtId="0" fontId="11" fillId="5" borderId="1"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5" borderId="2" xfId="0" applyFont="1" applyFill="1" applyBorder="1" applyAlignment="1">
      <alignment horizontal="center" vertical="center" wrapText="1"/>
    </xf>
    <xf numFmtId="0" fontId="10" fillId="5" borderId="1" xfId="0" applyFont="1" applyFill="1" applyBorder="1" applyAlignment="1">
      <alignment horizontal="center" vertical="center" wrapText="1"/>
    </xf>
    <xf numFmtId="9" fontId="3" fillId="3" borderId="1" xfId="1" applyFont="1" applyFill="1" applyBorder="1" applyAlignment="1">
      <alignment horizontal="center" wrapText="1"/>
    </xf>
    <xf numFmtId="9" fontId="3" fillId="7" borderId="1" xfId="1" applyFont="1" applyFill="1" applyBorder="1" applyAlignment="1">
      <alignment horizontal="center" vertical="center" wrapText="1"/>
    </xf>
    <xf numFmtId="0" fontId="10" fillId="5" borderId="52" xfId="0" applyFont="1" applyFill="1" applyBorder="1" applyAlignment="1">
      <alignment horizontal="center" vertical="center" wrapText="1"/>
    </xf>
    <xf numFmtId="0" fontId="10" fillId="5" borderId="59" xfId="0" applyFont="1" applyFill="1" applyBorder="1" applyAlignment="1">
      <alignment horizontal="center" vertical="center" wrapText="1"/>
    </xf>
    <xf numFmtId="0" fontId="10" fillId="5" borderId="58"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0" fillId="3" borderId="20" xfId="0" applyFill="1" applyBorder="1" applyAlignment="1">
      <alignment wrapText="1"/>
    </xf>
    <xf numFmtId="0" fontId="0" fillId="3" borderId="2" xfId="0" applyFill="1" applyBorder="1" applyAlignment="1">
      <alignment wrapText="1"/>
    </xf>
    <xf numFmtId="0" fontId="0" fillId="3" borderId="54" xfId="0" applyFill="1" applyBorder="1" applyAlignment="1">
      <alignment wrapText="1"/>
    </xf>
    <xf numFmtId="0" fontId="0" fillId="3" borderId="37" xfId="0" applyFill="1" applyBorder="1" applyAlignment="1">
      <alignment wrapText="1"/>
    </xf>
    <xf numFmtId="0" fontId="10" fillId="5" borderId="21" xfId="0" applyFont="1" applyFill="1" applyBorder="1" applyAlignment="1">
      <alignment horizontal="center" vertical="center" wrapText="1"/>
    </xf>
    <xf numFmtId="0" fontId="10" fillId="5" borderId="38" xfId="0" applyFont="1" applyFill="1" applyBorder="1" applyAlignment="1">
      <alignment horizontal="center" vertical="center" wrapText="1"/>
    </xf>
    <xf numFmtId="166" fontId="9" fillId="11" borderId="3" xfId="1" applyNumberFormat="1" applyFont="1" applyFill="1" applyBorder="1" applyAlignment="1">
      <alignment horizontal="center" vertical="center" wrapText="1"/>
    </xf>
    <xf numFmtId="166" fontId="9" fillId="11" borderId="2" xfId="1" applyNumberFormat="1" applyFont="1" applyFill="1" applyBorder="1" applyAlignment="1">
      <alignment horizontal="center" vertical="center" wrapText="1"/>
    </xf>
    <xf numFmtId="0" fontId="0" fillId="3" borderId="15" xfId="0" applyFill="1" applyBorder="1" applyAlignment="1">
      <alignment wrapText="1"/>
    </xf>
    <xf numFmtId="0" fontId="0" fillId="3" borderId="1" xfId="0" applyFill="1" applyBorder="1" applyAlignment="1">
      <alignment wrapText="1"/>
    </xf>
    <xf numFmtId="0" fontId="10" fillId="5" borderId="53" xfId="0" applyFont="1" applyFill="1" applyBorder="1" applyAlignment="1">
      <alignment horizontal="center" vertical="center" wrapText="1"/>
    </xf>
    <xf numFmtId="0" fontId="0" fillId="3" borderId="48" xfId="0" applyFill="1" applyBorder="1" applyAlignment="1">
      <alignment wrapText="1"/>
    </xf>
    <xf numFmtId="0" fontId="0" fillId="3" borderId="6" xfId="0" applyFill="1" applyBorder="1" applyAlignment="1">
      <alignment wrapText="1"/>
    </xf>
    <xf numFmtId="0" fontId="0" fillId="3" borderId="54" xfId="0" applyFill="1" applyBorder="1" applyAlignment="1">
      <alignment horizontal="left" wrapText="1"/>
    </xf>
    <xf numFmtId="0" fontId="0" fillId="3" borderId="37" xfId="0" applyFill="1" applyBorder="1" applyAlignment="1">
      <alignment horizontal="left" wrapText="1"/>
    </xf>
    <xf numFmtId="166" fontId="9" fillId="11" borderId="7" xfId="1" applyNumberFormat="1" applyFont="1" applyFill="1" applyBorder="1" applyAlignment="1">
      <alignment horizontal="center" vertical="center" wrapText="1"/>
    </xf>
    <xf numFmtId="166" fontId="9" fillId="11" borderId="37" xfId="1" applyNumberFormat="1" applyFont="1" applyFill="1" applyBorder="1" applyAlignment="1">
      <alignment horizontal="center" vertical="center" wrapText="1"/>
    </xf>
    <xf numFmtId="0" fontId="0" fillId="3" borderId="52" xfId="0" applyFill="1" applyBorder="1" applyAlignment="1">
      <alignment wrapText="1"/>
    </xf>
    <xf numFmtId="0" fontId="0" fillId="3" borderId="51" xfId="0" applyFill="1" applyBorder="1" applyAlignment="1">
      <alignment wrapText="1"/>
    </xf>
    <xf numFmtId="0" fontId="0" fillId="3" borderId="55" xfId="0" applyFill="1" applyBorder="1" applyAlignment="1">
      <alignment wrapText="1"/>
    </xf>
    <xf numFmtId="0" fontId="0" fillId="3" borderId="56" xfId="0" applyFill="1" applyBorder="1" applyAlignment="1">
      <alignment wrapText="1"/>
    </xf>
    <xf numFmtId="166" fontId="9" fillId="12" borderId="50" xfId="1" applyNumberFormat="1" applyFont="1" applyFill="1" applyBorder="1" applyAlignment="1">
      <alignment horizontal="center" vertical="center" wrapText="1"/>
    </xf>
    <xf numFmtId="166" fontId="9" fillId="12" borderId="51" xfId="1" applyNumberFormat="1" applyFont="1" applyFill="1" applyBorder="1" applyAlignment="1">
      <alignment horizontal="center" vertical="center" wrapText="1"/>
    </xf>
    <xf numFmtId="0" fontId="2" fillId="9" borderId="7" xfId="0" applyFont="1" applyFill="1" applyBorder="1" applyAlignment="1">
      <alignment horizontal="center" vertical="center"/>
    </xf>
    <xf numFmtId="0" fontId="2" fillId="9" borderId="36" xfId="0" applyFont="1" applyFill="1" applyBorder="1" applyAlignment="1">
      <alignment horizontal="center" vertical="center"/>
    </xf>
    <xf numFmtId="0" fontId="0" fillId="9" borderId="36" xfId="0" applyFill="1" applyBorder="1" applyAlignment="1">
      <alignment horizontal="left" wrapText="1"/>
    </xf>
    <xf numFmtId="0" fontId="0" fillId="9" borderId="0" xfId="0" applyFill="1" applyBorder="1" applyAlignment="1">
      <alignment horizontal="left" wrapText="1"/>
    </xf>
    <xf numFmtId="0" fontId="0" fillId="9" borderId="60" xfId="0" applyFill="1" applyBorder="1" applyAlignment="1">
      <alignment horizontal="left" wrapText="1"/>
    </xf>
    <xf numFmtId="0" fontId="0" fillId="9" borderId="0" xfId="0" applyFill="1" applyAlignment="1">
      <alignment horizontal="left" wrapText="1"/>
    </xf>
    <xf numFmtId="0" fontId="0" fillId="9" borderId="30" xfId="0" applyFill="1" applyBorder="1" applyAlignment="1">
      <alignment horizontal="left" wrapText="1"/>
    </xf>
    <xf numFmtId="0" fontId="2" fillId="9" borderId="12" xfId="0" applyFont="1" applyFill="1" applyBorder="1" applyAlignment="1">
      <alignment horizontal="left" vertical="top" wrapText="1"/>
    </xf>
    <xf numFmtId="0" fontId="2" fillId="9" borderId="15" xfId="0" applyFont="1" applyFill="1" applyBorder="1" applyAlignment="1">
      <alignment horizontal="left" vertical="top" wrapText="1"/>
    </xf>
    <xf numFmtId="0" fontId="2" fillId="9" borderId="14" xfId="0" applyFont="1" applyFill="1" applyBorder="1" applyAlignment="1">
      <alignment horizontal="left" vertical="top" wrapText="1"/>
    </xf>
    <xf numFmtId="0" fontId="2" fillId="9" borderId="16" xfId="0" applyFont="1" applyFill="1" applyBorder="1" applyAlignment="1">
      <alignment horizontal="left" vertical="top" wrapText="1"/>
    </xf>
    <xf numFmtId="0" fontId="17" fillId="10" borderId="27" xfId="16" applyAlignment="1" applyProtection="1">
      <alignment horizontal="center" vertical="center" wrapText="1"/>
      <protection locked="0"/>
    </xf>
    <xf numFmtId="166" fontId="17" fillId="10" borderId="27" xfId="16" applyNumberFormat="1" applyAlignment="1" applyProtection="1">
      <alignment horizontal="center" vertical="center"/>
      <protection locked="0"/>
    </xf>
    <xf numFmtId="0" fontId="17" fillId="10" borderId="40" xfId="16" applyBorder="1" applyAlignment="1" applyProtection="1">
      <alignment horizontal="center" vertical="center"/>
      <protection locked="0"/>
    </xf>
    <xf numFmtId="0" fontId="17" fillId="10" borderId="41" xfId="16" applyBorder="1" applyAlignment="1" applyProtection="1">
      <alignment horizontal="center" vertical="center"/>
      <protection locked="0"/>
    </xf>
    <xf numFmtId="0" fontId="2" fillId="13" borderId="12" xfId="0" applyFont="1" applyFill="1" applyBorder="1" applyAlignment="1">
      <alignment horizontal="left"/>
    </xf>
    <xf numFmtId="0" fontId="2" fillId="13" borderId="13" xfId="0" applyFont="1" applyFill="1" applyBorder="1" applyAlignment="1">
      <alignment horizontal="left"/>
    </xf>
    <xf numFmtId="0" fontId="2" fillId="13" borderId="14" xfId="0" applyFont="1" applyFill="1" applyBorder="1" applyAlignment="1">
      <alignment horizontal="left"/>
    </xf>
    <xf numFmtId="0" fontId="2" fillId="13" borderId="1" xfId="0" applyFont="1" applyFill="1" applyBorder="1" applyAlignment="1">
      <alignment horizontal="center"/>
    </xf>
    <xf numFmtId="0" fontId="2" fillId="13" borderId="16" xfId="0" applyFont="1"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0" fillId="5" borderId="2" xfId="0" applyFill="1" applyBorder="1" applyAlignment="1">
      <alignment horizontal="center"/>
    </xf>
    <xf numFmtId="0" fontId="0" fillId="5" borderId="1" xfId="0" applyFill="1" applyBorder="1" applyAlignment="1">
      <alignment horizontal="center"/>
    </xf>
    <xf numFmtId="0" fontId="2" fillId="0" borderId="12" xfId="0" applyFont="1" applyBorder="1" applyAlignment="1">
      <alignment horizontal="left"/>
    </xf>
    <xf numFmtId="0" fontId="2" fillId="0" borderId="13" xfId="0" applyFont="1" applyBorder="1" applyAlignment="1">
      <alignment horizontal="left"/>
    </xf>
    <xf numFmtId="0" fontId="2" fillId="0" borderId="14" xfId="0" applyFont="1" applyBorder="1" applyAlignment="1">
      <alignment horizontal="left"/>
    </xf>
    <xf numFmtId="0" fontId="2" fillId="0" borderId="42" xfId="0" applyFont="1" applyBorder="1" applyAlignment="1">
      <alignment horizontal="left" wrapText="1"/>
    </xf>
    <xf numFmtId="0" fontId="2" fillId="0" borderId="33" xfId="0" applyFont="1" applyBorder="1" applyAlignment="1">
      <alignment horizontal="left" wrapText="1"/>
    </xf>
    <xf numFmtId="0" fontId="2" fillId="0" borderId="43" xfId="0" applyFont="1" applyBorder="1" applyAlignment="1">
      <alignment horizontal="left" wrapText="1"/>
    </xf>
    <xf numFmtId="0" fontId="2" fillId="0" borderId="12" xfId="0" applyFont="1" applyBorder="1" applyAlignment="1">
      <alignment horizontal="left" wrapText="1"/>
    </xf>
    <xf numFmtId="0" fontId="2" fillId="0" borderId="13" xfId="0" applyFont="1" applyBorder="1" applyAlignment="1">
      <alignment horizontal="left" wrapText="1"/>
    </xf>
    <xf numFmtId="0" fontId="2" fillId="0" borderId="14" xfId="0" applyFont="1" applyBorder="1" applyAlignment="1">
      <alignment horizontal="left" wrapText="1"/>
    </xf>
    <xf numFmtId="0" fontId="2" fillId="0" borderId="21" xfId="0" applyFont="1" applyBorder="1" applyAlignment="1">
      <alignment horizontal="left"/>
    </xf>
    <xf numFmtId="0" fontId="2" fillId="0" borderId="23" xfId="0" applyFont="1" applyBorder="1" applyAlignment="1">
      <alignment horizontal="left"/>
    </xf>
    <xf numFmtId="0" fontId="2" fillId="0" borderId="22" xfId="0" applyFont="1" applyBorder="1" applyAlignment="1">
      <alignment horizontal="left"/>
    </xf>
    <xf numFmtId="0" fontId="2" fillId="0" borderId="21" xfId="0" applyFont="1" applyBorder="1" applyAlignment="1">
      <alignment horizontal="left" wrapText="1"/>
    </xf>
    <xf numFmtId="0" fontId="2" fillId="0" borderId="23" xfId="0" applyFont="1" applyBorder="1" applyAlignment="1">
      <alignment horizontal="left" wrapText="1"/>
    </xf>
    <xf numFmtId="0" fontId="2" fillId="0" borderId="22" xfId="0" applyFont="1" applyBorder="1" applyAlignment="1">
      <alignment horizontal="left" wrapText="1"/>
    </xf>
    <xf numFmtId="0" fontId="2" fillId="0" borderId="20" xfId="0" applyFont="1" applyBorder="1" applyAlignment="1">
      <alignment horizontal="center"/>
    </xf>
    <xf numFmtId="0" fontId="2" fillId="0" borderId="4" xfId="0" applyFont="1" applyBorder="1" applyAlignment="1">
      <alignment horizontal="center"/>
    </xf>
    <xf numFmtId="0" fontId="2" fillId="0" borderId="2" xfId="0" applyFont="1" applyBorder="1" applyAlignment="1">
      <alignment horizontal="center"/>
    </xf>
    <xf numFmtId="0" fontId="2" fillId="0" borderId="47" xfId="0" applyFont="1" applyBorder="1" applyAlignment="1">
      <alignment horizontal="center"/>
    </xf>
    <xf numFmtId="0" fontId="2" fillId="0" borderId="15" xfId="0" applyFont="1" applyBorder="1" applyAlignment="1">
      <alignment horizontal="center"/>
    </xf>
    <xf numFmtId="0" fontId="2" fillId="0" borderId="1"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wrapText="1"/>
    </xf>
    <xf numFmtId="0" fontId="2" fillId="0" borderId="18" xfId="0" applyFont="1" applyBorder="1" applyAlignment="1">
      <alignment wrapText="1"/>
    </xf>
    <xf numFmtId="0" fontId="2" fillId="0" borderId="17" xfId="0" applyFont="1" applyBorder="1" applyAlignment="1">
      <alignment horizontal="center"/>
    </xf>
    <xf numFmtId="0" fontId="2" fillId="0" borderId="18" xfId="0" applyFont="1" applyBorder="1" applyAlignment="1">
      <alignment horizontal="center"/>
    </xf>
    <xf numFmtId="0" fontId="2" fillId="0" borderId="21" xfId="0" applyFont="1" applyBorder="1" applyAlignment="1"/>
    <xf numFmtId="0" fontId="2" fillId="0" borderId="23" xfId="0" applyFont="1" applyBorder="1" applyAlignment="1"/>
    <xf numFmtId="0" fontId="2" fillId="0" borderId="22" xfId="0" applyFont="1" applyBorder="1" applyAlignment="1"/>
    <xf numFmtId="0" fontId="0" fillId="5" borderId="32" xfId="0" applyFill="1" applyBorder="1" applyAlignment="1">
      <alignment horizontal="center"/>
    </xf>
    <xf numFmtId="0" fontId="0" fillId="5" borderId="30" xfId="0" applyFill="1" applyBorder="1" applyAlignment="1">
      <alignment horizontal="center"/>
    </xf>
    <xf numFmtId="0" fontId="0" fillId="5" borderId="31" xfId="0" applyFill="1" applyBorder="1" applyAlignment="1">
      <alignment horizontal="center"/>
    </xf>
    <xf numFmtId="1" fontId="0" fillId="0" borderId="1" xfId="0" applyNumberFormat="1" applyBorder="1" applyAlignment="1">
      <alignment horizontal="center"/>
    </xf>
    <xf numFmtId="0" fontId="0" fillId="5" borderId="32" xfId="0" applyFill="1" applyBorder="1" applyAlignment="1">
      <alignment horizontal="center" vertical="center" wrapText="1"/>
    </xf>
    <xf numFmtId="0" fontId="0" fillId="5" borderId="30" xfId="0" applyFill="1" applyBorder="1" applyAlignment="1">
      <alignment horizontal="center" vertical="center" wrapText="1"/>
    </xf>
    <xf numFmtId="0" fontId="0" fillId="5" borderId="32" xfId="0" applyFill="1" applyBorder="1" applyAlignment="1">
      <alignment horizontal="center" wrapText="1"/>
    </xf>
    <xf numFmtId="0" fontId="0" fillId="5" borderId="30" xfId="0" applyFill="1" applyBorder="1" applyAlignment="1">
      <alignment horizontal="center" wrapText="1"/>
    </xf>
    <xf numFmtId="0" fontId="0" fillId="5" borderId="29" xfId="0" applyFill="1" applyBorder="1" applyAlignment="1">
      <alignment horizontal="center" vertical="center" wrapText="1"/>
    </xf>
    <xf numFmtId="0" fontId="0" fillId="5" borderId="44" xfId="0" applyFill="1" applyBorder="1" applyAlignment="1">
      <alignment horizontal="center" wrapText="1"/>
    </xf>
    <xf numFmtId="0" fontId="0" fillId="5" borderId="45" xfId="0" applyFill="1" applyBorder="1" applyAlignment="1">
      <alignment horizontal="center" wrapText="1"/>
    </xf>
    <xf numFmtId="0" fontId="2" fillId="5" borderId="46" xfId="0" applyFont="1" applyFill="1" applyBorder="1" applyAlignment="1">
      <alignment horizontal="left" wrapText="1"/>
    </xf>
    <xf numFmtId="0" fontId="2" fillId="5" borderId="34" xfId="0" applyFont="1" applyFill="1" applyBorder="1" applyAlignment="1">
      <alignment horizontal="left" wrapText="1"/>
    </xf>
    <xf numFmtId="0" fontId="0" fillId="5" borderId="1" xfId="0" applyFill="1" applyBorder="1" applyAlignment="1">
      <alignment horizontal="center" vertical="center" wrapText="1"/>
    </xf>
    <xf numFmtId="0" fontId="0" fillId="5" borderId="3" xfId="0" applyFill="1" applyBorder="1" applyAlignment="1">
      <alignment horizontal="left" wrapText="1"/>
    </xf>
    <xf numFmtId="0" fontId="0" fillId="5" borderId="4" xfId="0" applyFill="1" applyBorder="1" applyAlignment="1">
      <alignment horizontal="left" wrapText="1"/>
    </xf>
    <xf numFmtId="0" fontId="2" fillId="5" borderId="1" xfId="0" applyFont="1" applyFill="1" applyBorder="1" applyAlignment="1">
      <alignment horizontal="left" wrapText="1"/>
    </xf>
    <xf numFmtId="0" fontId="2" fillId="8" borderId="1" xfId="0" applyFont="1" applyFill="1" applyBorder="1" applyAlignment="1">
      <alignment horizontal="center"/>
    </xf>
    <xf numFmtId="0" fontId="2" fillId="5" borderId="6" xfId="0" applyFont="1" applyFill="1" applyBorder="1" applyAlignment="1">
      <alignment horizontal="center" vertical="center" wrapText="1"/>
    </xf>
    <xf numFmtId="0" fontId="2" fillId="5" borderId="28"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29" xfId="0" applyFont="1" applyFill="1" applyBorder="1" applyAlignment="1">
      <alignment horizontal="center" vertical="center" wrapText="1"/>
    </xf>
    <xf numFmtId="0" fontId="2" fillId="5" borderId="1" xfId="0" applyFont="1" applyFill="1" applyBorder="1" applyAlignment="1">
      <alignment horizontal="center" wrapText="1"/>
    </xf>
    <xf numFmtId="0" fontId="0" fillId="5" borderId="29" xfId="0" applyFill="1" applyBorder="1" applyAlignment="1">
      <alignment horizontal="center"/>
    </xf>
    <xf numFmtId="0" fontId="0" fillId="5" borderId="1" xfId="0" applyFill="1" applyBorder="1" applyAlignment="1">
      <alignment horizontal="center" wrapText="1"/>
    </xf>
    <xf numFmtId="0" fontId="2" fillId="5" borderId="32" xfId="0" applyFont="1" applyFill="1" applyBorder="1" applyAlignment="1">
      <alignment horizontal="center"/>
    </xf>
    <xf numFmtId="0" fontId="2" fillId="5" borderId="30" xfId="0" applyFont="1" applyFill="1" applyBorder="1" applyAlignment="1">
      <alignment horizontal="center"/>
    </xf>
    <xf numFmtId="0" fontId="0" fillId="5" borderId="3" xfId="0" applyFill="1" applyBorder="1" applyAlignment="1"/>
    <xf numFmtId="0" fontId="0" fillId="5" borderId="4" xfId="0" applyFill="1" applyBorder="1" applyAlignment="1"/>
    <xf numFmtId="0" fontId="0" fillId="5" borderId="2" xfId="0" applyFill="1" applyBorder="1" applyAlignment="1"/>
    <xf numFmtId="0" fontId="2" fillId="5" borderId="3" xfId="0" applyFont="1" applyFill="1" applyBorder="1" applyAlignment="1">
      <alignment horizontal="left" wrapText="1"/>
    </xf>
    <xf numFmtId="0" fontId="2" fillId="5" borderId="4" xfId="0" applyFont="1" applyFill="1" applyBorder="1" applyAlignment="1">
      <alignment horizontal="left" wrapText="1"/>
    </xf>
    <xf numFmtId="0" fontId="2" fillId="5" borderId="2" xfId="0" applyFont="1" applyFill="1" applyBorder="1" applyAlignment="1">
      <alignment horizontal="left" wrapText="1"/>
    </xf>
    <xf numFmtId="0" fontId="2" fillId="5" borderId="3" xfId="0" applyFont="1" applyFill="1" applyBorder="1" applyAlignment="1">
      <alignment horizontal="center"/>
    </xf>
    <xf numFmtId="0" fontId="2" fillId="5" borderId="4" xfId="0" applyFont="1" applyFill="1" applyBorder="1" applyAlignment="1">
      <alignment horizontal="center"/>
    </xf>
    <xf numFmtId="0" fontId="2" fillId="5" borderId="32" xfId="0" applyFont="1" applyFill="1" applyBorder="1" applyAlignment="1">
      <alignment horizontal="center" vertical="center" wrapText="1"/>
    </xf>
    <xf numFmtId="0" fontId="2" fillId="5" borderId="30" xfId="0" applyFont="1" applyFill="1" applyBorder="1" applyAlignment="1">
      <alignment horizontal="center" vertical="center" wrapText="1"/>
    </xf>
    <xf numFmtId="0" fontId="2" fillId="5" borderId="31" xfId="0" applyFont="1" applyFill="1" applyBorder="1" applyAlignment="1">
      <alignment horizontal="center" vertical="center" wrapText="1"/>
    </xf>
  </cellXfs>
  <cellStyles count="46">
    <cellStyle name="]_x000d__x000a_Zoomed=1_x000d__x000a_Row=0_x000d__x000a_Column=0_x000d__x000a_Height=0_x000d__x000a_Width=0_x000d__x000a_FontName=FoxFont_x000d__x000a_FontStyle=0_x000d__x000a_FontSize=9_x000d__x000a_PrtFontName=FoxPrin" xfId="44" xr:uid="{74E6A15F-CF3C-4A4A-9B44-2F0308288958}"/>
    <cellStyle name="40% - Accent5 2" xfId="43" xr:uid="{0669982A-4F93-4CD5-A7EC-D75D0064B355}"/>
    <cellStyle name="Check Cell" xfId="16" builtinId="23"/>
    <cellStyle name="Comma" xfId="15" builtinId="3"/>
    <cellStyle name="Comma 2" xfId="9" xr:uid="{82FFCF0D-44A1-416F-B108-F5ED3322CB7E}"/>
    <cellStyle name="Comma 2 2" xfId="45" xr:uid="{D90CDC6F-5BFE-4328-82FF-718C89CDD852}"/>
    <cellStyle name="Comma 2 3" xfId="28" xr:uid="{DAB6DA81-DE4C-4BDD-A038-CDB91FA9644C}"/>
    <cellStyle name="Comma 3" xfId="18" xr:uid="{2C82AA32-AB67-400B-AE3D-834A6BEAED80}"/>
    <cellStyle name="Comma 3 2" xfId="36" xr:uid="{ACE8B2B5-576F-441F-87C2-3027E0C1DBEF}"/>
    <cellStyle name="Comma 4" xfId="27" xr:uid="{A837D9CF-152E-4B82-8FBA-9673F78B9165}"/>
    <cellStyle name="heading" xfId="12" xr:uid="{6964AAA6-E1C2-4AED-99CB-50E68E441D1D}"/>
    <cellStyle name="Hyperlink" xfId="7" builtinId="8"/>
    <cellStyle name="Hyperlink 2" xfId="21" xr:uid="{EB30AEEA-99F9-4BF2-BF99-641C3E47ADB3}"/>
    <cellStyle name="Hyperlink 6" xfId="24" xr:uid="{87BF2E53-E9DA-49C4-9C8E-FA6E5FCE40B8}"/>
    <cellStyle name="Normal" xfId="0" builtinId="0"/>
    <cellStyle name="Normal 10" xfId="3" xr:uid="{71066A3C-4354-43ED-BAF0-3330BE63FAEE}"/>
    <cellStyle name="Normal 11" xfId="26" xr:uid="{49C49DC8-6777-49FB-B5BA-0BE085A5F062}"/>
    <cellStyle name="Normal 12" xfId="14" xr:uid="{8A76BAEE-B713-4F30-AE6A-1C5F01BAFF28}"/>
    <cellStyle name="Normal 12 2" xfId="37" xr:uid="{26A1668E-42A1-4EDC-AF39-9162C1C506C4}"/>
    <cellStyle name="Normal 14" xfId="11" xr:uid="{7B5FEBCF-DF9F-4E8A-AA59-A2FA0D4CCB0B}"/>
    <cellStyle name="Normal 2" xfId="4" xr:uid="{73D919EC-3FA7-431A-B131-D20C6AA1C085}"/>
    <cellStyle name="Normal 2 2" xfId="29" xr:uid="{2D4B0E95-1995-4AD4-BB0C-65739DFEB10E}"/>
    <cellStyle name="Normal 2 6" xfId="22" xr:uid="{7EAD6E17-56B3-4D5A-AB64-EB51159253A2}"/>
    <cellStyle name="Normal 3" xfId="5" xr:uid="{EEF1C0BA-DC5D-462F-AE5E-6669FE071EBD}"/>
    <cellStyle name="Normal 3 2" xfId="30" xr:uid="{F0BCCF28-759A-4245-AF62-EA30C754E132}"/>
    <cellStyle name="Normal 4" xfId="6" xr:uid="{7C2F0E59-59BE-4B1C-B168-9F4BAAA3DD4A}"/>
    <cellStyle name="Normal 4 2" xfId="31" xr:uid="{4FAD1CE8-7EA1-49BA-A4F8-3FAED94DDB90}"/>
    <cellStyle name="Normal 5" xfId="2" xr:uid="{492080CD-B8D7-4BA4-8B0E-9677F0316A89}"/>
    <cellStyle name="Normal 5 2" xfId="35" xr:uid="{319033A8-77C2-4D00-95AD-0EA46F11BD11}"/>
    <cellStyle name="Normal 54 2" xfId="23" xr:uid="{65E1E127-206C-4C40-B500-4B2C1FB2764E}"/>
    <cellStyle name="Normal 54 3" xfId="20" xr:uid="{B6CA881E-B6A7-469F-BD4B-E022AF26FD23}"/>
    <cellStyle name="Normal 55 2" xfId="19" xr:uid="{17EABE37-302F-42B9-AA56-DD3665A8F216}"/>
    <cellStyle name="Normal 56" xfId="17" xr:uid="{D58852FC-2A5C-415B-8AA4-8E4667DE97EE}"/>
    <cellStyle name="Normal 6" xfId="8" xr:uid="{86D36CFB-361F-480D-909F-65F5FD9A6071}"/>
    <cellStyle name="Normal 6 2" xfId="38" xr:uid="{92F38971-CBCC-45E7-9BF1-8D63C949E82C}"/>
    <cellStyle name="Normal 7" xfId="25" xr:uid="{A8A47314-4A2B-4697-99CC-2CD4BE7E7766}"/>
    <cellStyle name="Normal 7 2" xfId="39" xr:uid="{4BEC7CBB-976C-4486-8D8C-18050C006E9A}"/>
    <cellStyle name="Normal 8" xfId="10" xr:uid="{C16D99E4-22B2-4622-84E7-4DC187A5049C}"/>
    <cellStyle name="Normal 8 2" xfId="40" xr:uid="{1D26D02F-A4F9-4CD0-942D-6C592E7740D7}"/>
    <cellStyle name="Normal 9" xfId="41" xr:uid="{4B2BB5F9-F594-47D0-BAA5-5A4F65CD5ABC}"/>
    <cellStyle name="Percent" xfId="1" builtinId="5"/>
    <cellStyle name="Percent 2" xfId="33" xr:uid="{80A05F1E-16BB-4D5F-BBBE-1BB756D0A7A0}"/>
    <cellStyle name="Percent 2 2" xfId="13" xr:uid="{DF0117C4-73E2-49B6-9482-DD7A25095A66}"/>
    <cellStyle name="Percent 3" xfId="34" xr:uid="{D643B5F7-612F-4F85-B35C-5FFF77C58D2D}"/>
    <cellStyle name="Percent 4" xfId="42" xr:uid="{0AE48C81-2E0F-42D3-9B96-6CC4AB5CC366}"/>
    <cellStyle name="Percent 5" xfId="32" xr:uid="{9A86D054-92DD-4715-AA84-CEB3B2DDF6E5}"/>
  </cellStyles>
  <dxfs count="0"/>
  <tableStyles count="0" defaultTableStyle="TableStyleMedium2" defaultPivotStyle="PivotStyleLight16"/>
  <colors>
    <mruColors>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(annual</a:t>
            </a:r>
            <a:r>
              <a:rPr lang="en-GB" baseline="0"/>
              <a:t> n</a:t>
            </a:r>
            <a:r>
              <a:rPr lang="en-GB"/>
              <a:t>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2-28B9-468C-99A3-1A822729CF8C}"/>
              </c:ext>
            </c:extLst>
          </c:dPt>
          <c:dPt>
            <c:idx val="2"/>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28B9-468C-99A3-1A822729CF8C}"/>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4-28B9-468C-99A3-1A822729CF8C}"/>
              </c:ext>
            </c:extLst>
          </c:dPt>
          <c:dPt>
            <c:idx val="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5-28B9-468C-99A3-1A822729CF8C}"/>
              </c:ext>
            </c:extLst>
          </c:dPt>
          <c:dPt>
            <c:idx val="5"/>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6-28B9-468C-99A3-1A822729CF8C}"/>
              </c:ext>
            </c:extLst>
          </c:dPt>
          <c:dPt>
            <c:idx val="6"/>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28B9-468C-99A3-1A822729CF8C}"/>
              </c:ext>
            </c:extLst>
          </c:dPt>
          <c:dPt>
            <c:idx val="7"/>
            <c:invertIfNegative val="0"/>
            <c:bubble3D val="0"/>
            <c:spPr>
              <a:solidFill>
                <a:srgbClr val="FFD966"/>
              </a:solidFill>
              <a:ln>
                <a:noFill/>
              </a:ln>
              <a:effectLst/>
            </c:spPr>
            <c:extLst>
              <c:ext xmlns:c16="http://schemas.microsoft.com/office/drawing/2014/chart" uri="{C3380CC4-5D6E-409C-BE32-E72D297353CC}">
                <c16:uniqueId val="{0000000D-6799-494C-977A-88F499539A8A}"/>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8B8E-4AC9-9601-49588B372B99}"/>
              </c:ext>
            </c:extLst>
          </c:dPt>
          <c:cat>
            <c:strRef>
              <c:f>'Overview and dashboard'!$D$20:$D$28</c:f>
              <c:strCache>
                <c:ptCount val="9"/>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pt idx="8">
                  <c:v>Custom</c:v>
                </c:pt>
              </c:strCache>
            </c:strRef>
          </c:cat>
          <c:val>
            <c:numRef>
              <c:f>'Overview and dashboard'!$K$20:$K$28</c:f>
              <c:numCache>
                <c:formatCode>"£"#,##0</c:formatCode>
                <c:ptCount val="9"/>
                <c:pt idx="0">
                  <c:v>2907283842.6187358</c:v>
                </c:pt>
                <c:pt idx="1">
                  <c:v>2238414464.012104</c:v>
                </c:pt>
                <c:pt idx="2">
                  <c:v>2822221438.8704996</c:v>
                </c:pt>
                <c:pt idx="3">
                  <c:v>2828468791.5974784</c:v>
                </c:pt>
                <c:pt idx="4">
                  <c:v>2904398991.9913492</c:v>
                </c:pt>
                <c:pt idx="5">
                  <c:v>2427909070.5050025</c:v>
                </c:pt>
                <c:pt idx="6">
                  <c:v>2221539360.5556393</c:v>
                </c:pt>
                <c:pt idx="7">
                  <c:v>2191057340.4566479</c:v>
                </c:pt>
                <c:pt idx="8">
                  <c:v>2908783656.889914</c:v>
                </c:pt>
              </c:numCache>
            </c:numRef>
          </c:val>
          <c:extLst>
            <c:ext xmlns:c16="http://schemas.microsoft.com/office/drawing/2014/chart" uri="{C3380CC4-5D6E-409C-BE32-E72D297353CC}">
              <c16:uniqueId val="{00000000-28B9-468C-99A3-1A822729CF8C}"/>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D966"/>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D8B4-407E-BBF1-145E9133CFC3}"/>
              </c:ext>
            </c:extLst>
          </c:dPt>
          <c:cat>
            <c:strRef>
              <c:f>'Aggregate UK performance'!$A$4:$A$11</c:f>
              <c:strCache>
                <c:ptCount val="8"/>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strCache>
            </c:strRef>
          </c:cat>
          <c:val>
            <c:numRef>
              <c:f>'Aggregate UK performance'!$M$4:$M$11</c:f>
              <c:numCache>
                <c:formatCode>"£"#,##0</c:formatCode>
                <c:ptCount val="8"/>
                <c:pt idx="0">
                  <c:v>141382277.57780161</c:v>
                </c:pt>
                <c:pt idx="1">
                  <c:v>138288549.30570987</c:v>
                </c:pt>
                <c:pt idx="2">
                  <c:v>136721151.14229372</c:v>
                </c:pt>
                <c:pt idx="3">
                  <c:v>141382277.57780161</c:v>
                </c:pt>
                <c:pt idx="4">
                  <c:v>142698498.821729</c:v>
                </c:pt>
                <c:pt idx="5">
                  <c:v>119009889.47104292</c:v>
                </c:pt>
                <c:pt idx="6">
                  <c:v>118483679.43996853</c:v>
                </c:pt>
                <c:pt idx="7">
                  <c:v>118405955.12302572</c:v>
                </c:pt>
              </c:numCache>
            </c:numRef>
          </c:val>
          <c:extLst>
            <c:ext xmlns:c16="http://schemas.microsoft.com/office/drawing/2014/chart" uri="{C3380CC4-5D6E-409C-BE32-E72D297353CC}">
              <c16:uniqueId val="{00000000-0AFF-42D6-B78C-2C361B7C376B}"/>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D966"/>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5CFF-41A0-8C9C-548CB41BB042}"/>
              </c:ext>
            </c:extLst>
          </c:dPt>
          <c:cat>
            <c:strRef>
              <c:f>'Aggregate UK performance'!$A$4:$A$11</c:f>
              <c:strCache>
                <c:ptCount val="8"/>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strCache>
            </c:strRef>
          </c:cat>
          <c:val>
            <c:numRef>
              <c:f>'Aggregate UK performance'!$S$4:$S$11</c:f>
              <c:numCache>
                <c:formatCode>"£"#,##0</c:formatCode>
                <c:ptCount val="8"/>
                <c:pt idx="0">
                  <c:v>665682430.79793739</c:v>
                </c:pt>
                <c:pt idx="1">
                  <c:v>458515263.86368352</c:v>
                </c:pt>
                <c:pt idx="2">
                  <c:v>670104085.57021415</c:v>
                </c:pt>
                <c:pt idx="3">
                  <c:v>677459252.49167013</c:v>
                </c:pt>
                <c:pt idx="4">
                  <c:v>671309807.7312324</c:v>
                </c:pt>
                <c:pt idx="5">
                  <c:v>552942891.57832074</c:v>
                </c:pt>
                <c:pt idx="6">
                  <c:v>538820422.32084036</c:v>
                </c:pt>
                <c:pt idx="7">
                  <c:v>536734450.53816187</c:v>
                </c:pt>
              </c:numCache>
            </c:numRef>
          </c:val>
          <c:extLst>
            <c:ext xmlns:c16="http://schemas.microsoft.com/office/drawing/2014/chart" uri="{C3380CC4-5D6E-409C-BE32-E72D297353CC}">
              <c16:uniqueId val="{00000000-0AFF-42D6-B78C-2C361B7C376B}"/>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D966"/>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6B4E-4F1B-AC69-31699CECBE59}"/>
              </c:ext>
            </c:extLst>
          </c:dPt>
          <c:cat>
            <c:strRef>
              <c:f>'Aggregate UK performance'!$A$4:$A$11</c:f>
              <c:strCache>
                <c:ptCount val="8"/>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strCache>
            </c:strRef>
          </c:cat>
          <c:val>
            <c:numRef>
              <c:f>'Aggregate UK performance'!$Y$4:$Y$11</c:f>
              <c:numCache>
                <c:formatCode>"£"#,##0</c:formatCode>
                <c:ptCount val="8"/>
                <c:pt idx="0">
                  <c:v>675097470.80527091</c:v>
                </c:pt>
                <c:pt idx="1">
                  <c:v>288039938.44724524</c:v>
                </c:pt>
                <c:pt idx="2">
                  <c:v>634597931.4680711</c:v>
                </c:pt>
                <c:pt idx="3">
                  <c:v>596015413.97572517</c:v>
                </c:pt>
                <c:pt idx="4">
                  <c:v>663004421.62077248</c:v>
                </c:pt>
                <c:pt idx="5">
                  <c:v>599777031.15254402</c:v>
                </c:pt>
                <c:pt idx="6">
                  <c:v>486272353.39077419</c:v>
                </c:pt>
                <c:pt idx="7">
                  <c:v>469507044.81078577</c:v>
                </c:pt>
              </c:numCache>
            </c:numRef>
          </c:val>
          <c:extLst>
            <c:ext xmlns:c16="http://schemas.microsoft.com/office/drawing/2014/chart" uri="{C3380CC4-5D6E-409C-BE32-E72D297353CC}">
              <c16:uniqueId val="{00000000-0AFF-42D6-B78C-2C361B7C376B}"/>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D966"/>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9290-405F-828D-4989A6303F74}"/>
              </c:ext>
            </c:extLst>
          </c:dPt>
          <c:cat>
            <c:strRef>
              <c:f>'Aggregate UK performance'!$A$4:$A$11</c:f>
              <c:strCache>
                <c:ptCount val="8"/>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strCache>
            </c:strRef>
          </c:cat>
          <c:val>
            <c:numRef>
              <c:f>'Aggregate UK performance'!$AE$4:$AE$11</c:f>
              <c:numCache>
                <c:formatCode>"£"#,##0</c:formatCode>
                <c:ptCount val="8"/>
                <c:pt idx="0">
                  <c:v>213738176.92406452</c:v>
                </c:pt>
                <c:pt idx="1">
                  <c:v>148794440.29068059</c:v>
                </c:pt>
                <c:pt idx="2">
                  <c:v>204858911.33631036</c:v>
                </c:pt>
                <c:pt idx="3">
                  <c:v>195185712.54135051</c:v>
                </c:pt>
                <c:pt idx="4">
                  <c:v>213283157.41213179</c:v>
                </c:pt>
                <c:pt idx="5">
                  <c:v>109768089.24640843</c:v>
                </c:pt>
                <c:pt idx="6">
                  <c:v>65229190.297856584</c:v>
                </c:pt>
                <c:pt idx="7">
                  <c:v>58650532.929632261</c:v>
                </c:pt>
              </c:numCache>
            </c:numRef>
          </c:val>
          <c:extLst>
            <c:ext xmlns:c16="http://schemas.microsoft.com/office/drawing/2014/chart" uri="{C3380CC4-5D6E-409C-BE32-E72D297353CC}">
              <c16:uniqueId val="{00000000-0AFF-42D6-B78C-2C361B7C376B}"/>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D966"/>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1-FBAB-4510-9CA7-988E6298CC90}"/>
              </c:ext>
            </c:extLst>
          </c:dPt>
          <c:cat>
            <c:strRef>
              <c:f>'Aggregate UK performance'!$A$4:$A$11</c:f>
              <c:strCache>
                <c:ptCount val="8"/>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strCache>
            </c:strRef>
          </c:cat>
          <c:val>
            <c:numRef>
              <c:f>'Aggregate UK performance'!$AK$4:$AK$11</c:f>
              <c:numCache>
                <c:formatCode>"£"#,##0</c:formatCode>
                <c:ptCount val="8"/>
                <c:pt idx="0">
                  <c:v>117294256.76349877</c:v>
                </c:pt>
                <c:pt idx="1">
                  <c:v>143882147.08098519</c:v>
                </c:pt>
                <c:pt idx="2">
                  <c:v>119869640.80970538</c:v>
                </c:pt>
                <c:pt idx="3">
                  <c:v>124336905.26076831</c:v>
                </c:pt>
                <c:pt idx="4">
                  <c:v>118993491.13718952</c:v>
                </c:pt>
                <c:pt idx="5">
                  <c:v>96837370.724248871</c:v>
                </c:pt>
                <c:pt idx="6">
                  <c:v>96069723.72458005</c:v>
                </c:pt>
                <c:pt idx="7">
                  <c:v>95956337.747158363</c:v>
                </c:pt>
              </c:numCache>
            </c:numRef>
          </c:val>
          <c:extLst>
            <c:ext xmlns:c16="http://schemas.microsoft.com/office/drawing/2014/chart" uri="{C3380CC4-5D6E-409C-BE32-E72D297353CC}">
              <c16:uniqueId val="{00000000-0AFF-42D6-B78C-2C361B7C376B}"/>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 comparison</a:t>
            </a:r>
            <a:r>
              <a:rPr lang="en-GB" baseline="0"/>
              <a:t> - cereal farms</a:t>
            </a:r>
            <a:r>
              <a:rPr lang="en-GB" sz="1400" b="0" i="0" u="none" strike="noStrike" baseline="0">
                <a:effectLst/>
              </a:rPr>
              <a:t> (annual net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042F-42EF-958E-E75EF8145296}"/>
              </c:ext>
            </c:extLst>
          </c:dPt>
          <c:dPt>
            <c:idx val="2"/>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042F-42EF-958E-E75EF8145296}"/>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5-042F-42EF-958E-E75EF8145296}"/>
              </c:ext>
            </c:extLst>
          </c:dPt>
          <c:dPt>
            <c:idx val="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042F-42EF-958E-E75EF8145296}"/>
              </c:ext>
            </c:extLst>
          </c:dPt>
          <c:dPt>
            <c:idx val="5"/>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9-042F-42EF-958E-E75EF8145296}"/>
              </c:ext>
            </c:extLst>
          </c:dPt>
          <c:dPt>
            <c:idx val="6"/>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B-042F-42EF-958E-E75EF8145296}"/>
              </c:ext>
            </c:extLst>
          </c:dPt>
          <c:dPt>
            <c:idx val="7"/>
            <c:invertIfNegative val="0"/>
            <c:bubble3D val="0"/>
            <c:spPr>
              <a:solidFill>
                <a:srgbClr val="FFD966"/>
              </a:solidFill>
              <a:ln>
                <a:noFill/>
              </a:ln>
              <a:effectLst/>
            </c:spPr>
            <c:extLst>
              <c:ext xmlns:c16="http://schemas.microsoft.com/office/drawing/2014/chart" uri="{C3380CC4-5D6E-409C-BE32-E72D297353CC}">
                <c16:uniqueId val="{0000000D-0851-4BB4-8D8C-079716B38763}"/>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99C0-4B83-88DB-5800EDD956A2}"/>
              </c:ext>
            </c:extLst>
          </c:dPt>
          <c:cat>
            <c:strRef>
              <c:f>'Overview and dashboard'!$D$20:$D$28</c:f>
              <c:strCache>
                <c:ptCount val="9"/>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pt idx="8">
                  <c:v>Custom</c:v>
                </c:pt>
              </c:strCache>
            </c:strRef>
          </c:cat>
          <c:val>
            <c:numRef>
              <c:f>'Overview and dashboard'!$P$20:$P$28</c:f>
              <c:numCache>
                <c:formatCode>"£"#,##0</c:formatCode>
                <c:ptCount val="9"/>
                <c:pt idx="0">
                  <c:v>1094089229.7501626</c:v>
                </c:pt>
                <c:pt idx="1">
                  <c:v>1060894125.0237994</c:v>
                </c:pt>
                <c:pt idx="2">
                  <c:v>1056069718.5439053</c:v>
                </c:pt>
                <c:pt idx="3">
                  <c:v>1094089229.7501626</c:v>
                </c:pt>
                <c:pt idx="4">
                  <c:v>1095109615.2682941</c:v>
                </c:pt>
                <c:pt idx="5">
                  <c:v>949573798.33243752</c:v>
                </c:pt>
                <c:pt idx="6">
                  <c:v>916663991.38161945</c:v>
                </c:pt>
                <c:pt idx="7">
                  <c:v>911803019.30788386</c:v>
                </c:pt>
                <c:pt idx="8">
                  <c:v>1095589044.0213404</c:v>
                </c:pt>
              </c:numCache>
            </c:numRef>
          </c:val>
          <c:extLst>
            <c:ext xmlns:c16="http://schemas.microsoft.com/office/drawing/2014/chart" uri="{C3380CC4-5D6E-409C-BE32-E72D297353CC}">
              <c16:uniqueId val="{0000000C-042F-42EF-958E-E75EF8145296}"/>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 horticulture</a:t>
            </a:r>
            <a:r>
              <a:rPr lang="en-GB" sz="1400" b="0" i="0" u="none" strike="noStrike" baseline="0">
                <a:effectLst/>
              </a:rPr>
              <a:t> (annual net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1-5DFA-402A-B1D8-2A9A8CCB74DF}"/>
              </c:ext>
            </c:extLst>
          </c:dPt>
          <c:dPt>
            <c:idx val="2"/>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3-5DFA-402A-B1D8-2A9A8CCB74DF}"/>
              </c:ext>
            </c:extLst>
          </c:dPt>
          <c:dPt>
            <c:idx val="3"/>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5-5DFA-402A-B1D8-2A9A8CCB74DF}"/>
              </c:ext>
            </c:extLst>
          </c:dPt>
          <c:dPt>
            <c:idx val="4"/>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7-5DFA-402A-B1D8-2A9A8CCB74DF}"/>
              </c:ext>
            </c:extLst>
          </c:dPt>
          <c:dPt>
            <c:idx val="5"/>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9-5DFA-402A-B1D8-2A9A8CCB74DF}"/>
              </c:ext>
            </c:extLst>
          </c:dPt>
          <c:dPt>
            <c:idx val="6"/>
            <c:invertIfNegative val="0"/>
            <c:bubble3D val="0"/>
            <c:spPr>
              <a:solidFill>
                <a:schemeClr val="accent4">
                  <a:lumMod val="60000"/>
                  <a:lumOff val="40000"/>
                </a:schemeClr>
              </a:solidFill>
              <a:ln>
                <a:noFill/>
              </a:ln>
              <a:effectLst/>
            </c:spPr>
            <c:extLst>
              <c:ext xmlns:c16="http://schemas.microsoft.com/office/drawing/2014/chart" uri="{C3380CC4-5D6E-409C-BE32-E72D297353CC}">
                <c16:uniqueId val="{0000000B-5DFA-402A-B1D8-2A9A8CCB74DF}"/>
              </c:ext>
            </c:extLst>
          </c:dPt>
          <c:dPt>
            <c:idx val="7"/>
            <c:invertIfNegative val="0"/>
            <c:bubble3D val="0"/>
            <c:spPr>
              <a:solidFill>
                <a:srgbClr val="FFD966"/>
              </a:solidFill>
              <a:ln>
                <a:noFill/>
              </a:ln>
              <a:effectLst/>
            </c:spPr>
            <c:extLst>
              <c:ext xmlns:c16="http://schemas.microsoft.com/office/drawing/2014/chart" uri="{C3380CC4-5D6E-409C-BE32-E72D297353CC}">
                <c16:uniqueId val="{0000000D-5D90-40A8-B8BD-8C336E64EEA9}"/>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F-4DA9-4AB2-979B-0874CA37E375}"/>
              </c:ext>
            </c:extLst>
          </c:dPt>
          <c:cat>
            <c:strRef>
              <c:f>'Overview and dashboard'!$D$20:$D$28</c:f>
              <c:strCache>
                <c:ptCount val="9"/>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pt idx="8">
                  <c:v>Custom</c:v>
                </c:pt>
              </c:strCache>
            </c:strRef>
          </c:cat>
          <c:val>
            <c:numRef>
              <c:f>'Overview and dashboard'!$U$20:$U$28</c:f>
              <c:numCache>
                <c:formatCode>"£"#,##0</c:formatCode>
                <c:ptCount val="9"/>
                <c:pt idx="0">
                  <c:v>141382277.57780161</c:v>
                </c:pt>
                <c:pt idx="1">
                  <c:v>138288549.30570987</c:v>
                </c:pt>
                <c:pt idx="2">
                  <c:v>136721151.14229372</c:v>
                </c:pt>
                <c:pt idx="3">
                  <c:v>141382277.57780161</c:v>
                </c:pt>
                <c:pt idx="4">
                  <c:v>142698498.821729</c:v>
                </c:pt>
                <c:pt idx="5">
                  <c:v>119009889.47104292</c:v>
                </c:pt>
                <c:pt idx="6">
                  <c:v>118483679.43996853</c:v>
                </c:pt>
                <c:pt idx="7">
                  <c:v>118405955.12302572</c:v>
                </c:pt>
                <c:pt idx="8">
                  <c:v>141382277.57780161</c:v>
                </c:pt>
              </c:numCache>
            </c:numRef>
          </c:val>
          <c:extLst>
            <c:ext xmlns:c16="http://schemas.microsoft.com/office/drawing/2014/chart" uri="{C3380CC4-5D6E-409C-BE32-E72D297353CC}">
              <c16:uniqueId val="{0000000C-5DFA-402A-B1D8-2A9A8CCB74DF}"/>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 comparison - dairy (annual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60000"/>
                <a:lumOff val="4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E-ACD8-4DE1-A015-0CEFD863A713}"/>
              </c:ext>
            </c:extLst>
          </c:dPt>
          <c:dPt>
            <c:idx val="3"/>
            <c:invertIfNegative val="0"/>
            <c:bubble3D val="0"/>
            <c:spPr>
              <a:solidFill>
                <a:srgbClr val="FFD966"/>
              </a:solidFill>
              <a:ln>
                <a:noFill/>
              </a:ln>
              <a:effectLst/>
            </c:spPr>
            <c:extLst>
              <c:ext xmlns:c16="http://schemas.microsoft.com/office/drawing/2014/chart" uri="{C3380CC4-5D6E-409C-BE32-E72D297353CC}">
                <c16:uniqueId val="{00000004-E60D-4C81-8C3B-815841B510ED}"/>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A7F4-40C2-A371-338BDB6EC6D0}"/>
              </c:ext>
            </c:extLst>
          </c:dPt>
          <c:cat>
            <c:strRef>
              <c:f>'Overview and dashboard'!$D$20:$D$28</c:f>
              <c:strCache>
                <c:ptCount val="9"/>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pt idx="8">
                  <c:v>Custom</c:v>
                </c:pt>
              </c:strCache>
            </c:strRef>
          </c:cat>
          <c:val>
            <c:numRef>
              <c:f>'Overview and dashboard'!$Z$20:$Z$28</c:f>
              <c:numCache>
                <c:formatCode>"£"#,##0</c:formatCode>
                <c:ptCount val="9"/>
                <c:pt idx="0">
                  <c:v>665682430.79793739</c:v>
                </c:pt>
                <c:pt idx="1">
                  <c:v>458515263.86368352</c:v>
                </c:pt>
                <c:pt idx="2">
                  <c:v>670104085.57021415</c:v>
                </c:pt>
                <c:pt idx="3">
                  <c:v>677459252.49167013</c:v>
                </c:pt>
                <c:pt idx="4">
                  <c:v>671309807.7312324</c:v>
                </c:pt>
                <c:pt idx="5">
                  <c:v>552942891.57832074</c:v>
                </c:pt>
                <c:pt idx="6">
                  <c:v>538820422.32084036</c:v>
                </c:pt>
                <c:pt idx="7">
                  <c:v>536734450.53816187</c:v>
                </c:pt>
                <c:pt idx="8">
                  <c:v>665682430.79793739</c:v>
                </c:pt>
              </c:numCache>
            </c:numRef>
          </c:val>
          <c:extLst>
            <c:ext xmlns:c16="http://schemas.microsoft.com/office/drawing/2014/chart" uri="{C3380CC4-5D6E-409C-BE32-E72D297353CC}">
              <c16:uniqueId val="{0000000C-ACD8-4DE1-A015-0CEFD863A713}"/>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 comparison - LFA grazing (annual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60000"/>
                <a:lumOff val="4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CBF-453B-91AC-ADC5D113894C}"/>
              </c:ext>
            </c:extLst>
          </c:dPt>
          <c:dPt>
            <c:idx val="1"/>
            <c:invertIfNegative val="0"/>
            <c:bubble3D val="0"/>
            <c:spPr>
              <a:solidFill>
                <a:srgbClr val="FFD966"/>
              </a:solidFill>
              <a:ln>
                <a:noFill/>
              </a:ln>
              <a:effectLst/>
            </c:spPr>
            <c:extLst>
              <c:ext xmlns:c16="http://schemas.microsoft.com/office/drawing/2014/chart" uri="{C3380CC4-5D6E-409C-BE32-E72D297353CC}">
                <c16:uniqueId val="{00000004-8B0C-4610-BF3B-B87F80C38CE9}"/>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0E87-411E-8838-75EFCF7E8BC2}"/>
              </c:ext>
            </c:extLst>
          </c:dPt>
          <c:cat>
            <c:strRef>
              <c:f>'Overview and dashboard'!$D$20:$D$28</c:f>
              <c:strCache>
                <c:ptCount val="9"/>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pt idx="8">
                  <c:v>Custom</c:v>
                </c:pt>
              </c:strCache>
            </c:strRef>
          </c:cat>
          <c:val>
            <c:numRef>
              <c:f>'Overview and dashboard'!$AE$20:$AE$28</c:f>
              <c:numCache>
                <c:formatCode>"£"#,##0</c:formatCode>
                <c:ptCount val="9"/>
                <c:pt idx="0">
                  <c:v>675097470.80527091</c:v>
                </c:pt>
                <c:pt idx="1">
                  <c:v>288039938.44724524</c:v>
                </c:pt>
                <c:pt idx="2">
                  <c:v>634597931.4680711</c:v>
                </c:pt>
                <c:pt idx="3">
                  <c:v>596015413.97572517</c:v>
                </c:pt>
                <c:pt idx="4">
                  <c:v>663004421.62077248</c:v>
                </c:pt>
                <c:pt idx="5">
                  <c:v>599777031.15254402</c:v>
                </c:pt>
                <c:pt idx="6">
                  <c:v>486272353.39077419</c:v>
                </c:pt>
                <c:pt idx="7">
                  <c:v>469507044.81078577</c:v>
                </c:pt>
                <c:pt idx="8">
                  <c:v>675097470.80527091</c:v>
                </c:pt>
              </c:numCache>
            </c:numRef>
          </c:val>
          <c:extLst>
            <c:ext xmlns:c16="http://schemas.microsoft.com/office/drawing/2014/chart" uri="{C3380CC4-5D6E-409C-BE32-E72D297353CC}">
              <c16:uniqueId val="{00000002-7CBF-453B-91AC-ADC5D113894C}"/>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 lowland grazing</a:t>
            </a:r>
            <a:r>
              <a:rPr lang="en-GB" sz="1400" b="0" i="0" u="none" strike="noStrike" baseline="0">
                <a:effectLst/>
              </a:rPr>
              <a:t> (annual net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60000"/>
                <a:lumOff val="4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7FDD-4B53-9148-5BFBC781952F}"/>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008D-44F4-9E9F-B202B7BD22FE}"/>
              </c:ext>
            </c:extLst>
          </c:dPt>
          <c:cat>
            <c:strRef>
              <c:f>'Overview and dashboard'!$D$20:$D$28</c:f>
              <c:strCache>
                <c:ptCount val="9"/>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pt idx="8">
                  <c:v>Custom</c:v>
                </c:pt>
              </c:strCache>
            </c:strRef>
          </c:cat>
          <c:val>
            <c:numRef>
              <c:f>'Overview and dashboard'!$AJ$20:$AJ$28</c:f>
              <c:numCache>
                <c:formatCode>"£"#,##0</c:formatCode>
                <c:ptCount val="9"/>
                <c:pt idx="0">
                  <c:v>213738176.92406452</c:v>
                </c:pt>
                <c:pt idx="1">
                  <c:v>148794440.29068059</c:v>
                </c:pt>
                <c:pt idx="2">
                  <c:v>204858911.33631036</c:v>
                </c:pt>
                <c:pt idx="3">
                  <c:v>195185712.54135051</c:v>
                </c:pt>
                <c:pt idx="4">
                  <c:v>213283157.41213179</c:v>
                </c:pt>
                <c:pt idx="5">
                  <c:v>109768089.24640843</c:v>
                </c:pt>
                <c:pt idx="6">
                  <c:v>65229190.297856584</c:v>
                </c:pt>
                <c:pt idx="7">
                  <c:v>58650532.929632261</c:v>
                </c:pt>
                <c:pt idx="8">
                  <c:v>213738176.92406452</c:v>
                </c:pt>
              </c:numCache>
            </c:numRef>
          </c:val>
          <c:extLst>
            <c:ext xmlns:c16="http://schemas.microsoft.com/office/drawing/2014/chart" uri="{C3380CC4-5D6E-409C-BE32-E72D297353CC}">
              <c16:uniqueId val="{00000002-7FDD-4B53-9148-5BFBC781952F}"/>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 comparison - poultry</a:t>
            </a:r>
            <a:r>
              <a:rPr lang="en-GB" sz="1400" b="0" i="0" u="none" strike="noStrike" baseline="0">
                <a:effectLst/>
              </a:rPr>
              <a:t> (annual net income)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4">
                <a:lumMod val="60000"/>
                <a:lumOff val="40000"/>
              </a:schemeClr>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30A-43CF-9E46-2A55E7461F6E}"/>
              </c:ext>
            </c:extLst>
          </c:dPt>
          <c:dPt>
            <c:idx val="8"/>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3-2598-4A88-9AD4-7D380A13A86B}"/>
              </c:ext>
            </c:extLst>
          </c:dPt>
          <c:cat>
            <c:strRef>
              <c:f>'Overview and dashboard'!$D$20:$D$28</c:f>
              <c:strCache>
                <c:ptCount val="9"/>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pt idx="8">
                  <c:v>Custom</c:v>
                </c:pt>
              </c:strCache>
            </c:strRef>
          </c:cat>
          <c:val>
            <c:numRef>
              <c:f>'Overview and dashboard'!$AO$20:$AO$28</c:f>
              <c:numCache>
                <c:formatCode>"£"#,##0</c:formatCode>
                <c:ptCount val="9"/>
                <c:pt idx="0">
                  <c:v>117294256.76349877</c:v>
                </c:pt>
                <c:pt idx="1">
                  <c:v>143882147.08098519</c:v>
                </c:pt>
                <c:pt idx="2">
                  <c:v>119869640.80970538</c:v>
                </c:pt>
                <c:pt idx="3">
                  <c:v>124336905.26076831</c:v>
                </c:pt>
                <c:pt idx="4">
                  <c:v>118993491.13718952</c:v>
                </c:pt>
                <c:pt idx="5">
                  <c:v>96837370.724248871</c:v>
                </c:pt>
                <c:pt idx="6">
                  <c:v>96069723.72458005</c:v>
                </c:pt>
                <c:pt idx="7">
                  <c:v>95956337.747158363</c:v>
                </c:pt>
                <c:pt idx="8">
                  <c:v>117294256.76349877</c:v>
                </c:pt>
              </c:numCache>
            </c:numRef>
          </c:val>
          <c:extLst>
            <c:ext xmlns:c16="http://schemas.microsoft.com/office/drawing/2014/chart" uri="{C3380CC4-5D6E-409C-BE32-E72D297353CC}">
              <c16:uniqueId val="{00000002-130A-43CF-9E46-2A55E7461F6E}"/>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D966"/>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12-4073-4890-8EF3-74B7C5AFAB12}"/>
              </c:ext>
            </c:extLst>
          </c:dPt>
          <c:cat>
            <c:strRef>
              <c:f>'Aggregate UK performance'!$A$4:$A$11</c:f>
              <c:strCache>
                <c:ptCount val="8"/>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strCache>
            </c:strRef>
          </c:cat>
          <c:val>
            <c:numRef>
              <c:f>'Aggregate UK performance'!$B$4:$B$11</c:f>
              <c:numCache>
                <c:formatCode>"£"#,##0</c:formatCode>
                <c:ptCount val="8"/>
                <c:pt idx="0">
                  <c:v>2907283842.6187358</c:v>
                </c:pt>
                <c:pt idx="1">
                  <c:v>2238414464.012104</c:v>
                </c:pt>
                <c:pt idx="2">
                  <c:v>2822221438.8704996</c:v>
                </c:pt>
                <c:pt idx="3">
                  <c:v>2828468791.5974789</c:v>
                </c:pt>
                <c:pt idx="4">
                  <c:v>2904398991.9913492</c:v>
                </c:pt>
                <c:pt idx="5">
                  <c:v>2427909070.505003</c:v>
                </c:pt>
                <c:pt idx="6">
                  <c:v>2221539360.5556388</c:v>
                </c:pt>
                <c:pt idx="7">
                  <c:v>2191057340.4566479</c:v>
                </c:pt>
              </c:numCache>
            </c:numRef>
          </c:val>
          <c:extLst>
            <c:ext xmlns:c16="http://schemas.microsoft.com/office/drawing/2014/chart" uri="{C3380CC4-5D6E-409C-BE32-E72D297353CC}">
              <c16:uniqueId val="{00000010-4073-4890-8EF3-74B7C5AFAB12}"/>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Performance</a:t>
            </a:r>
            <a:r>
              <a:rPr lang="en-GB" baseline="0"/>
              <a:t> comparison all </a:t>
            </a:r>
            <a:r>
              <a:rPr lang="en-GB"/>
              <a:t>farm types (Net income)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FFD966"/>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2-0AFF-42D6-B78C-2C361B7C376B}"/>
              </c:ext>
            </c:extLst>
          </c:dPt>
          <c:cat>
            <c:strRef>
              <c:f>'Aggregate UK performance'!$A$4:$A$11</c:f>
              <c:strCache>
                <c:ptCount val="8"/>
                <c:pt idx="0">
                  <c:v>Baseline</c:v>
                </c:pt>
                <c:pt idx="1">
                  <c:v>Silvoarable and silvopastoral orchards</c:v>
                </c:pt>
                <c:pt idx="2">
                  <c:v>Silvoarable and silvopastoral timber production</c:v>
                </c:pt>
                <c:pt idx="3">
                  <c:v>Silvopastoral</c:v>
                </c:pt>
                <c:pt idx="4">
                  <c:v>Shelter belts</c:v>
                </c:pt>
                <c:pt idx="5">
                  <c:v>Farm woodland conifer</c:v>
                </c:pt>
                <c:pt idx="6">
                  <c:v>Farm woodland broadleaf</c:v>
                </c:pt>
                <c:pt idx="7">
                  <c:v>Farm woodland mixed</c:v>
                </c:pt>
              </c:strCache>
            </c:strRef>
          </c:cat>
          <c:val>
            <c:numRef>
              <c:f>'Aggregate UK performance'!$G$4:$G$11</c:f>
              <c:numCache>
                <c:formatCode>"£"#,##0</c:formatCode>
                <c:ptCount val="8"/>
                <c:pt idx="0">
                  <c:v>1094089229.7501626</c:v>
                </c:pt>
                <c:pt idx="1">
                  <c:v>1060894125.0237994</c:v>
                </c:pt>
                <c:pt idx="2">
                  <c:v>1056069718.5439053</c:v>
                </c:pt>
                <c:pt idx="3">
                  <c:v>1094089229.7501626</c:v>
                </c:pt>
                <c:pt idx="4">
                  <c:v>1095109615.2682941</c:v>
                </c:pt>
                <c:pt idx="5">
                  <c:v>949573798.33243752</c:v>
                </c:pt>
                <c:pt idx="6">
                  <c:v>916663991.38161945</c:v>
                </c:pt>
                <c:pt idx="7">
                  <c:v>911803019.30788386</c:v>
                </c:pt>
              </c:numCache>
            </c:numRef>
          </c:val>
          <c:extLst>
            <c:ext xmlns:c16="http://schemas.microsoft.com/office/drawing/2014/chart" uri="{C3380CC4-5D6E-409C-BE32-E72D297353CC}">
              <c16:uniqueId val="{00000000-0AFF-42D6-B78C-2C361B7C376B}"/>
            </c:ext>
          </c:extLst>
        </c:ser>
        <c:dLbls>
          <c:showLegendKey val="0"/>
          <c:showVal val="0"/>
          <c:showCatName val="0"/>
          <c:showSerName val="0"/>
          <c:showPercent val="0"/>
          <c:showBubbleSize val="0"/>
        </c:dLbls>
        <c:gapWidth val="219"/>
        <c:overlap val="-27"/>
        <c:axId val="1924695648"/>
        <c:axId val="1924696480"/>
      </c:barChart>
      <c:catAx>
        <c:axId val="1924695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6480"/>
        <c:crosses val="autoZero"/>
        <c:auto val="1"/>
        <c:lblAlgn val="ctr"/>
        <c:lblOffset val="100"/>
        <c:noMultiLvlLbl val="0"/>
      </c:catAx>
      <c:valAx>
        <c:axId val="1924696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4695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chart" Target="../charts/chart7.xml"/><Relationship Id="rId3" Type="http://schemas.openxmlformats.org/officeDocument/2006/relationships/hyperlink" Target="#'3 - Silvopastoral'!A1"/><Relationship Id="rId7" Type="http://schemas.openxmlformats.org/officeDocument/2006/relationships/chart" Target="../charts/chart1.xml"/><Relationship Id="rId12" Type="http://schemas.openxmlformats.org/officeDocument/2006/relationships/chart" Target="../charts/chart6.xml"/><Relationship Id="rId2" Type="http://schemas.openxmlformats.org/officeDocument/2006/relationships/hyperlink" Target="#'2 - SA SP timber production'!A1"/><Relationship Id="rId1" Type="http://schemas.openxmlformats.org/officeDocument/2006/relationships/hyperlink" Target="#'1 - SA SP Orchards'!A1"/><Relationship Id="rId6" Type="http://schemas.openxmlformats.org/officeDocument/2006/relationships/hyperlink" Target="#Baseline!A1"/><Relationship Id="rId11" Type="http://schemas.openxmlformats.org/officeDocument/2006/relationships/chart" Target="../charts/chart5.xml"/><Relationship Id="rId5" Type="http://schemas.openxmlformats.org/officeDocument/2006/relationships/hyperlink" Target="#'5 - FW'!A1"/><Relationship Id="rId10" Type="http://schemas.openxmlformats.org/officeDocument/2006/relationships/chart" Target="../charts/chart4.xml"/><Relationship Id="rId4" Type="http://schemas.openxmlformats.org/officeDocument/2006/relationships/hyperlink" Target="#'4 - Shelterbelts'!A1"/><Relationship Id="rId9"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3</xdr:col>
      <xdr:colOff>5961530</xdr:colOff>
      <xdr:row>27</xdr:row>
      <xdr:rowOff>104775</xdr:rowOff>
    </xdr:from>
    <xdr:to>
      <xdr:col>4</xdr:col>
      <xdr:colOff>239058</xdr:colOff>
      <xdr:row>33</xdr:row>
      <xdr:rowOff>119529</xdr:rowOff>
    </xdr:to>
    <xdr:grpSp>
      <xdr:nvGrpSpPr>
        <xdr:cNvPr id="5" name="Group 4">
          <a:extLst>
            <a:ext uri="{FF2B5EF4-FFF2-40B4-BE49-F238E27FC236}">
              <a16:creationId xmlns:a16="http://schemas.microsoft.com/office/drawing/2014/main" id="{AD7FDD4C-2DBB-9ED9-7B93-8D2CF248D53E}"/>
            </a:ext>
          </a:extLst>
        </xdr:cNvPr>
        <xdr:cNvGrpSpPr/>
      </xdr:nvGrpSpPr>
      <xdr:grpSpPr>
        <a:xfrm>
          <a:off x="8752355" y="11325225"/>
          <a:ext cx="2840503" cy="1157754"/>
          <a:chOff x="8262471" y="11086352"/>
          <a:chExt cx="3249705" cy="1225177"/>
        </a:xfrm>
      </xdr:grpSpPr>
      <xdr:sp macro="" textlink="">
        <xdr:nvSpPr>
          <xdr:cNvPr id="4" name="Rectangle 3">
            <a:extLst>
              <a:ext uri="{FF2B5EF4-FFF2-40B4-BE49-F238E27FC236}">
                <a16:creationId xmlns:a16="http://schemas.microsoft.com/office/drawing/2014/main" id="{0BB7663D-4957-3E07-14EE-90E4DF249D2A}"/>
              </a:ext>
            </a:extLst>
          </xdr:cNvPr>
          <xdr:cNvSpPr/>
        </xdr:nvSpPr>
        <xdr:spPr>
          <a:xfrm>
            <a:off x="8262471" y="11086352"/>
            <a:ext cx="3249705" cy="12251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 name="Picture 1" descr="Real Foods and the Soil Association">
            <a:extLst>
              <a:ext uri="{FF2B5EF4-FFF2-40B4-BE49-F238E27FC236}">
                <a16:creationId xmlns:a16="http://schemas.microsoft.com/office/drawing/2014/main" id="{9361D1FE-CD73-FB4F-F76C-DC9A4064E8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06116" y="11243233"/>
            <a:ext cx="934669" cy="94801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 name="Picture 2">
            <a:extLst>
              <a:ext uri="{FF2B5EF4-FFF2-40B4-BE49-F238E27FC236}">
                <a16:creationId xmlns:a16="http://schemas.microsoft.com/office/drawing/2014/main" id="{7AC923CA-39DD-128F-E330-3489B8DE26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08882" y="11347824"/>
            <a:ext cx="1398270" cy="53530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661505</xdr:colOff>
      <xdr:row>12</xdr:row>
      <xdr:rowOff>222764</xdr:rowOff>
    </xdr:from>
    <xdr:to>
      <xdr:col>3</xdr:col>
      <xdr:colOff>8564218</xdr:colOff>
      <xdr:row>12</xdr:row>
      <xdr:rowOff>3597872</xdr:rowOff>
    </xdr:to>
    <xdr:pic>
      <xdr:nvPicPr>
        <xdr:cNvPr id="7" name="Picture 6">
          <a:extLst>
            <a:ext uri="{FF2B5EF4-FFF2-40B4-BE49-F238E27FC236}">
              <a16:creationId xmlns:a16="http://schemas.microsoft.com/office/drawing/2014/main" id="{7119B2C3-7862-3FC4-EA4A-71032F39E8CA}"/>
            </a:ext>
          </a:extLst>
        </xdr:cNvPr>
        <xdr:cNvPicPr>
          <a:picLocks noChangeAspect="1"/>
        </xdr:cNvPicPr>
      </xdr:nvPicPr>
      <xdr:blipFill>
        <a:blip xmlns:r="http://schemas.openxmlformats.org/officeDocument/2006/relationships" r:embed="rId1"/>
        <a:stretch>
          <a:fillRect/>
        </a:stretch>
      </xdr:blipFill>
      <xdr:spPr>
        <a:xfrm>
          <a:off x="1464918" y="7304394"/>
          <a:ext cx="9890539" cy="337510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1117600</xdr:colOff>
      <xdr:row>16</xdr:row>
      <xdr:rowOff>101600</xdr:rowOff>
    </xdr:from>
    <xdr:to>
      <xdr:col>3</xdr:col>
      <xdr:colOff>8680946</xdr:colOff>
      <xdr:row>16</xdr:row>
      <xdr:rowOff>3067202</xdr:rowOff>
    </xdr:to>
    <xdr:pic>
      <xdr:nvPicPr>
        <xdr:cNvPr id="8" name="Picture 7">
          <a:extLst>
            <a:ext uri="{FF2B5EF4-FFF2-40B4-BE49-F238E27FC236}">
              <a16:creationId xmlns:a16="http://schemas.microsoft.com/office/drawing/2014/main" id="{71AF06DA-A63E-E6A1-5393-28972B6D3E8C}"/>
            </a:ext>
          </a:extLst>
        </xdr:cNvPr>
        <xdr:cNvPicPr>
          <a:picLocks noChangeAspect="1"/>
        </xdr:cNvPicPr>
      </xdr:nvPicPr>
      <xdr:blipFill>
        <a:blip xmlns:r="http://schemas.openxmlformats.org/officeDocument/2006/relationships" r:embed="rId2"/>
        <a:stretch>
          <a:fillRect/>
        </a:stretch>
      </xdr:blipFill>
      <xdr:spPr>
        <a:xfrm>
          <a:off x="2171700" y="12338050"/>
          <a:ext cx="9652496" cy="2965602"/>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311150</xdr:colOff>
      <xdr:row>20</xdr:row>
      <xdr:rowOff>88900</xdr:rowOff>
    </xdr:from>
    <xdr:to>
      <xdr:col>3</xdr:col>
      <xdr:colOff>7029795</xdr:colOff>
      <xdr:row>20</xdr:row>
      <xdr:rowOff>3676834</xdr:rowOff>
    </xdr:to>
    <xdr:pic>
      <xdr:nvPicPr>
        <xdr:cNvPr id="9" name="Picture 8">
          <a:extLst>
            <a:ext uri="{FF2B5EF4-FFF2-40B4-BE49-F238E27FC236}">
              <a16:creationId xmlns:a16="http://schemas.microsoft.com/office/drawing/2014/main" id="{1039518D-71B2-AF66-28D2-DEB1D6EFAA9D}"/>
            </a:ext>
          </a:extLst>
        </xdr:cNvPr>
        <xdr:cNvPicPr>
          <a:picLocks noChangeAspect="1"/>
        </xdr:cNvPicPr>
      </xdr:nvPicPr>
      <xdr:blipFill>
        <a:blip xmlns:r="http://schemas.openxmlformats.org/officeDocument/2006/relationships" r:embed="rId3"/>
        <a:stretch>
          <a:fillRect/>
        </a:stretch>
      </xdr:blipFill>
      <xdr:spPr>
        <a:xfrm>
          <a:off x="3454400" y="16789400"/>
          <a:ext cx="6718645" cy="358793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457200</xdr:colOff>
      <xdr:row>25</xdr:row>
      <xdr:rowOff>311151</xdr:rowOff>
    </xdr:from>
    <xdr:to>
      <xdr:col>3</xdr:col>
      <xdr:colOff>8841676</xdr:colOff>
      <xdr:row>26</xdr:row>
      <xdr:rowOff>4838701</xdr:rowOff>
    </xdr:to>
    <xdr:pic>
      <xdr:nvPicPr>
        <xdr:cNvPr id="11" name="Picture 10">
          <a:extLst>
            <a:ext uri="{FF2B5EF4-FFF2-40B4-BE49-F238E27FC236}">
              <a16:creationId xmlns:a16="http://schemas.microsoft.com/office/drawing/2014/main" id="{FCDB1F12-548F-7D1F-4531-05E996BAFBAB}"/>
            </a:ext>
          </a:extLst>
        </xdr:cNvPr>
        <xdr:cNvPicPr>
          <a:picLocks noChangeAspect="1"/>
        </xdr:cNvPicPr>
      </xdr:nvPicPr>
      <xdr:blipFill>
        <a:blip xmlns:r="http://schemas.openxmlformats.org/officeDocument/2006/relationships" r:embed="rId4"/>
        <a:stretch>
          <a:fillRect/>
        </a:stretch>
      </xdr:blipFill>
      <xdr:spPr>
        <a:xfrm>
          <a:off x="1257300" y="23752176"/>
          <a:ext cx="10375201" cy="5384800"/>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2</xdr:col>
      <xdr:colOff>742950</xdr:colOff>
      <xdr:row>7</xdr:row>
      <xdr:rowOff>962025</xdr:rowOff>
    </xdr:from>
    <xdr:to>
      <xdr:col>3</xdr:col>
      <xdr:colOff>8634200</xdr:colOff>
      <xdr:row>7</xdr:row>
      <xdr:rowOff>3371850</xdr:rowOff>
    </xdr:to>
    <xdr:pic>
      <xdr:nvPicPr>
        <xdr:cNvPr id="2" name="Picture 1">
          <a:extLst>
            <a:ext uri="{FF2B5EF4-FFF2-40B4-BE49-F238E27FC236}">
              <a16:creationId xmlns:a16="http://schemas.microsoft.com/office/drawing/2014/main" id="{2CC02144-9972-5634-0C79-1952FBC96557}"/>
            </a:ext>
          </a:extLst>
        </xdr:cNvPr>
        <xdr:cNvPicPr>
          <a:picLocks noChangeAspect="1"/>
        </xdr:cNvPicPr>
      </xdr:nvPicPr>
      <xdr:blipFill>
        <a:blip xmlns:r="http://schemas.openxmlformats.org/officeDocument/2006/relationships" r:embed="rId5"/>
        <a:stretch>
          <a:fillRect/>
        </a:stretch>
      </xdr:blipFill>
      <xdr:spPr>
        <a:xfrm>
          <a:off x="1543050" y="3009900"/>
          <a:ext cx="9881975" cy="24098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323851</xdr:colOff>
      <xdr:row>13</xdr:row>
      <xdr:rowOff>118727</xdr:rowOff>
    </xdr:from>
    <xdr:to>
      <xdr:col>3</xdr:col>
      <xdr:colOff>3456953</xdr:colOff>
      <xdr:row>13</xdr:row>
      <xdr:rowOff>3423701</xdr:rowOff>
    </xdr:to>
    <xdr:pic>
      <xdr:nvPicPr>
        <xdr:cNvPr id="10" name="Picture 9">
          <a:extLst>
            <a:ext uri="{FF2B5EF4-FFF2-40B4-BE49-F238E27FC236}">
              <a16:creationId xmlns:a16="http://schemas.microsoft.com/office/drawing/2014/main" id="{5AA980FA-C2FB-821E-504D-8CF8A3D52DB5}"/>
            </a:ext>
          </a:extLst>
        </xdr:cNvPr>
        <xdr:cNvPicPr>
          <a:picLocks noChangeAspect="1"/>
        </xdr:cNvPicPr>
      </xdr:nvPicPr>
      <xdr:blipFill>
        <a:blip xmlns:r="http://schemas.openxmlformats.org/officeDocument/2006/relationships" r:embed="rId1"/>
        <a:stretch>
          <a:fillRect/>
        </a:stretch>
      </xdr:blipFill>
      <xdr:spPr>
        <a:xfrm>
          <a:off x="1123951" y="6214727"/>
          <a:ext cx="5123827" cy="3304974"/>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3863976</xdr:colOff>
      <xdr:row>13</xdr:row>
      <xdr:rowOff>117475</xdr:rowOff>
    </xdr:from>
    <xdr:to>
      <xdr:col>3</xdr:col>
      <xdr:colOff>9132613</xdr:colOff>
      <xdr:row>13</xdr:row>
      <xdr:rowOff>3429000</xdr:rowOff>
    </xdr:to>
    <xdr:pic>
      <xdr:nvPicPr>
        <xdr:cNvPr id="11" name="Picture 10">
          <a:extLst>
            <a:ext uri="{FF2B5EF4-FFF2-40B4-BE49-F238E27FC236}">
              <a16:creationId xmlns:a16="http://schemas.microsoft.com/office/drawing/2014/main" id="{24001EFB-C671-899E-BAED-264C5421645C}"/>
            </a:ext>
          </a:extLst>
        </xdr:cNvPr>
        <xdr:cNvPicPr>
          <a:picLocks noChangeAspect="1"/>
        </xdr:cNvPicPr>
      </xdr:nvPicPr>
      <xdr:blipFill>
        <a:blip xmlns:r="http://schemas.openxmlformats.org/officeDocument/2006/relationships" r:embed="rId2"/>
        <a:stretch>
          <a:fillRect/>
        </a:stretch>
      </xdr:blipFill>
      <xdr:spPr>
        <a:xfrm>
          <a:off x="6654801" y="6213475"/>
          <a:ext cx="5268637" cy="3311525"/>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682626</xdr:colOff>
      <xdr:row>7</xdr:row>
      <xdr:rowOff>120651</xdr:rowOff>
    </xdr:from>
    <xdr:to>
      <xdr:col>3</xdr:col>
      <xdr:colOff>6829426</xdr:colOff>
      <xdr:row>7</xdr:row>
      <xdr:rowOff>1848667</xdr:rowOff>
    </xdr:to>
    <xdr:pic>
      <xdr:nvPicPr>
        <xdr:cNvPr id="12" name="Picture 11">
          <a:extLst>
            <a:ext uri="{FF2B5EF4-FFF2-40B4-BE49-F238E27FC236}">
              <a16:creationId xmlns:a16="http://schemas.microsoft.com/office/drawing/2014/main" id="{E1AD8BE7-1FC0-D506-6C8B-2E834D63CAF4}"/>
            </a:ext>
          </a:extLst>
        </xdr:cNvPr>
        <xdr:cNvPicPr>
          <a:picLocks noChangeAspect="1"/>
        </xdr:cNvPicPr>
      </xdr:nvPicPr>
      <xdr:blipFill>
        <a:blip xmlns:r="http://schemas.openxmlformats.org/officeDocument/2006/relationships" r:embed="rId3"/>
        <a:stretch>
          <a:fillRect/>
        </a:stretch>
      </xdr:blipFill>
      <xdr:spPr>
        <a:xfrm>
          <a:off x="3473451" y="2035176"/>
          <a:ext cx="6146800" cy="1728016"/>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266700</xdr:colOff>
      <xdr:row>20</xdr:row>
      <xdr:rowOff>60140</xdr:rowOff>
    </xdr:from>
    <xdr:to>
      <xdr:col>3</xdr:col>
      <xdr:colOff>7131050</xdr:colOff>
      <xdr:row>20</xdr:row>
      <xdr:rowOff>3399911</xdr:rowOff>
    </xdr:to>
    <xdr:pic>
      <xdr:nvPicPr>
        <xdr:cNvPr id="14" name="Picture 13">
          <a:extLst>
            <a:ext uri="{FF2B5EF4-FFF2-40B4-BE49-F238E27FC236}">
              <a16:creationId xmlns:a16="http://schemas.microsoft.com/office/drawing/2014/main" id="{A37A350B-81CE-E53F-EA56-364A641CFD7C}"/>
            </a:ext>
          </a:extLst>
        </xdr:cNvPr>
        <xdr:cNvPicPr>
          <a:picLocks noChangeAspect="1"/>
        </xdr:cNvPicPr>
      </xdr:nvPicPr>
      <xdr:blipFill>
        <a:blip xmlns:r="http://schemas.openxmlformats.org/officeDocument/2006/relationships" r:embed="rId4"/>
        <a:stretch>
          <a:fillRect/>
        </a:stretch>
      </xdr:blipFill>
      <xdr:spPr>
        <a:xfrm>
          <a:off x="3194050" y="11763190"/>
          <a:ext cx="6864350" cy="333977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266701</xdr:colOff>
      <xdr:row>22</xdr:row>
      <xdr:rowOff>35860</xdr:rowOff>
    </xdr:from>
    <xdr:to>
      <xdr:col>3</xdr:col>
      <xdr:colOff>7152719</xdr:colOff>
      <xdr:row>22</xdr:row>
      <xdr:rowOff>3396878</xdr:rowOff>
    </xdr:to>
    <xdr:pic>
      <xdr:nvPicPr>
        <xdr:cNvPr id="15" name="Picture 14">
          <a:extLst>
            <a:ext uri="{FF2B5EF4-FFF2-40B4-BE49-F238E27FC236}">
              <a16:creationId xmlns:a16="http://schemas.microsoft.com/office/drawing/2014/main" id="{DF6CF06A-53D2-4965-2915-F852C49C39EB}"/>
            </a:ext>
          </a:extLst>
        </xdr:cNvPr>
        <xdr:cNvPicPr>
          <a:picLocks noChangeAspect="1"/>
        </xdr:cNvPicPr>
      </xdr:nvPicPr>
      <xdr:blipFill>
        <a:blip xmlns:r="http://schemas.openxmlformats.org/officeDocument/2006/relationships" r:embed="rId5"/>
        <a:stretch>
          <a:fillRect/>
        </a:stretch>
      </xdr:blipFill>
      <xdr:spPr>
        <a:xfrm>
          <a:off x="3202642" y="15873507"/>
          <a:ext cx="6886018" cy="33610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3</xdr:col>
      <xdr:colOff>272143</xdr:colOff>
      <xdr:row>25</xdr:row>
      <xdr:rowOff>157416</xdr:rowOff>
    </xdr:from>
    <xdr:to>
      <xdr:col>3</xdr:col>
      <xdr:colOff>7139215</xdr:colOff>
      <xdr:row>25</xdr:row>
      <xdr:rowOff>3594634</xdr:rowOff>
    </xdr:to>
    <xdr:pic>
      <xdr:nvPicPr>
        <xdr:cNvPr id="16" name="Picture 15">
          <a:extLst>
            <a:ext uri="{FF2B5EF4-FFF2-40B4-BE49-F238E27FC236}">
              <a16:creationId xmlns:a16="http://schemas.microsoft.com/office/drawing/2014/main" id="{F0ABD2CE-021C-502D-DE84-723329BB83D9}"/>
            </a:ext>
          </a:extLst>
        </xdr:cNvPr>
        <xdr:cNvPicPr>
          <a:picLocks noChangeAspect="1"/>
        </xdr:cNvPicPr>
      </xdr:nvPicPr>
      <xdr:blipFill>
        <a:blip xmlns:r="http://schemas.openxmlformats.org/officeDocument/2006/relationships" r:embed="rId6"/>
        <a:stretch>
          <a:fillRect/>
        </a:stretch>
      </xdr:blipFill>
      <xdr:spPr>
        <a:xfrm>
          <a:off x="3208084" y="21321592"/>
          <a:ext cx="6867072" cy="3437218"/>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94282</xdr:colOff>
      <xdr:row>20</xdr:row>
      <xdr:rowOff>117061</xdr:rowOff>
    </xdr:from>
    <xdr:to>
      <xdr:col>4</xdr:col>
      <xdr:colOff>1761309</xdr:colOff>
      <xdr:row>20</xdr:row>
      <xdr:rowOff>456598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C2C699D-AFB7-48B3-82A1-4ACDC15E893E}"/>
            </a:ext>
          </a:extLst>
        </xdr:cNvPr>
        <xdr:cNvSpPr/>
      </xdr:nvSpPr>
      <xdr:spPr>
        <a:xfrm>
          <a:off x="3075607" y="4469986"/>
          <a:ext cx="1667027" cy="339537"/>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scenario 1</a:t>
          </a:r>
        </a:p>
      </xdr:txBody>
    </xdr:sp>
    <xdr:clientData/>
  </xdr:twoCellAnchor>
  <xdr:twoCellAnchor>
    <xdr:from>
      <xdr:col>4</xdr:col>
      <xdr:colOff>97518</xdr:colOff>
      <xdr:row>21</xdr:row>
      <xdr:rowOff>192768</xdr:rowOff>
    </xdr:from>
    <xdr:to>
      <xdr:col>4</xdr:col>
      <xdr:colOff>1764545</xdr:colOff>
      <xdr:row>21</xdr:row>
      <xdr:rowOff>532303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97BDE99-255E-4183-84CF-522202B7C600}"/>
            </a:ext>
          </a:extLst>
        </xdr:cNvPr>
        <xdr:cNvSpPr/>
      </xdr:nvSpPr>
      <xdr:spPr>
        <a:xfrm>
          <a:off x="3078843" y="5107668"/>
          <a:ext cx="1667027" cy="339535"/>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scenario 2</a:t>
          </a:r>
        </a:p>
      </xdr:txBody>
    </xdr:sp>
    <xdr:clientData/>
  </xdr:twoCellAnchor>
  <xdr:twoCellAnchor>
    <xdr:from>
      <xdr:col>4</xdr:col>
      <xdr:colOff>95250</xdr:colOff>
      <xdr:row>22</xdr:row>
      <xdr:rowOff>115661</xdr:rowOff>
    </xdr:from>
    <xdr:to>
      <xdr:col>4</xdr:col>
      <xdr:colOff>1762277</xdr:colOff>
      <xdr:row>22</xdr:row>
      <xdr:rowOff>457729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6634178A-C09D-4FA3-8FFA-A0036FD8D56C}"/>
            </a:ext>
          </a:extLst>
        </xdr:cNvPr>
        <xdr:cNvSpPr/>
      </xdr:nvSpPr>
      <xdr:spPr>
        <a:xfrm>
          <a:off x="3076575" y="5716361"/>
          <a:ext cx="1667027" cy="342068"/>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scenario 3</a:t>
          </a:r>
        </a:p>
      </xdr:txBody>
    </xdr:sp>
    <xdr:clientData/>
  </xdr:twoCellAnchor>
  <xdr:twoCellAnchor>
    <xdr:from>
      <xdr:col>4</xdr:col>
      <xdr:colOff>105682</xdr:colOff>
      <xdr:row>23</xdr:row>
      <xdr:rowOff>64860</xdr:rowOff>
    </xdr:from>
    <xdr:to>
      <xdr:col>4</xdr:col>
      <xdr:colOff>1772709</xdr:colOff>
      <xdr:row>23</xdr:row>
      <xdr:rowOff>449791</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7064866-F769-4236-B622-F5ADCDBECB04}"/>
            </a:ext>
          </a:extLst>
        </xdr:cNvPr>
        <xdr:cNvSpPr/>
      </xdr:nvSpPr>
      <xdr:spPr>
        <a:xfrm>
          <a:off x="2817661" y="4642152"/>
          <a:ext cx="1667027" cy="384931"/>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scenario 4</a:t>
          </a:r>
        </a:p>
      </xdr:txBody>
    </xdr:sp>
    <xdr:clientData/>
  </xdr:twoCellAnchor>
  <xdr:twoCellAnchor>
    <xdr:from>
      <xdr:col>4</xdr:col>
      <xdr:colOff>105682</xdr:colOff>
      <xdr:row>24</xdr:row>
      <xdr:rowOff>87992</xdr:rowOff>
    </xdr:from>
    <xdr:to>
      <xdr:col>4</xdr:col>
      <xdr:colOff>1759479</xdr:colOff>
      <xdr:row>24</xdr:row>
      <xdr:rowOff>436561</xdr:rowOff>
    </xdr:to>
    <xdr:sp macro="" textlink="">
      <xdr:nvSpPr>
        <xdr:cNvPr id="7" name="Rectangle 6">
          <a:hlinkClick xmlns:r="http://schemas.openxmlformats.org/officeDocument/2006/relationships" r:id="rId5"/>
          <a:extLst>
            <a:ext uri="{FF2B5EF4-FFF2-40B4-BE49-F238E27FC236}">
              <a16:creationId xmlns:a16="http://schemas.microsoft.com/office/drawing/2014/main" id="{B3A79D0D-F6F5-4202-A090-BD23087CED20}"/>
            </a:ext>
          </a:extLst>
        </xdr:cNvPr>
        <xdr:cNvSpPr/>
      </xdr:nvSpPr>
      <xdr:spPr>
        <a:xfrm>
          <a:off x="2817661" y="5075388"/>
          <a:ext cx="1653797" cy="348569"/>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scenario 5A</a:t>
          </a:r>
        </a:p>
      </xdr:txBody>
    </xdr:sp>
    <xdr:clientData/>
  </xdr:twoCellAnchor>
  <xdr:twoCellAnchor>
    <xdr:from>
      <xdr:col>4</xdr:col>
      <xdr:colOff>102507</xdr:colOff>
      <xdr:row>25</xdr:row>
      <xdr:rowOff>84817</xdr:rowOff>
    </xdr:from>
    <xdr:to>
      <xdr:col>4</xdr:col>
      <xdr:colOff>1772709</xdr:colOff>
      <xdr:row>25</xdr:row>
      <xdr:rowOff>396874</xdr:rowOff>
    </xdr:to>
    <xdr:sp macro="" textlink="">
      <xdr:nvSpPr>
        <xdr:cNvPr id="8" name="Rectangle 7">
          <a:hlinkClick xmlns:r="http://schemas.openxmlformats.org/officeDocument/2006/relationships" r:id="rId5"/>
          <a:extLst>
            <a:ext uri="{FF2B5EF4-FFF2-40B4-BE49-F238E27FC236}">
              <a16:creationId xmlns:a16="http://schemas.microsoft.com/office/drawing/2014/main" id="{EAD574B3-C95D-427C-A760-F888AAD7C038}"/>
            </a:ext>
          </a:extLst>
        </xdr:cNvPr>
        <xdr:cNvSpPr/>
      </xdr:nvSpPr>
      <xdr:spPr>
        <a:xfrm>
          <a:off x="2814486" y="5601380"/>
          <a:ext cx="1670202" cy="312057"/>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scenario 5B</a:t>
          </a:r>
        </a:p>
      </xdr:txBody>
    </xdr:sp>
    <xdr:clientData/>
  </xdr:twoCellAnchor>
  <xdr:twoCellAnchor>
    <xdr:from>
      <xdr:col>4</xdr:col>
      <xdr:colOff>103807</xdr:colOff>
      <xdr:row>19</xdr:row>
      <xdr:rowOff>66261</xdr:rowOff>
    </xdr:from>
    <xdr:to>
      <xdr:col>4</xdr:col>
      <xdr:colOff>1774009</xdr:colOff>
      <xdr:row>19</xdr:row>
      <xdr:rowOff>408973</xdr:rowOff>
    </xdr:to>
    <xdr:sp macro="" textlink="">
      <xdr:nvSpPr>
        <xdr:cNvPr id="9" name="Rectangle 8">
          <a:hlinkClick xmlns:r="http://schemas.openxmlformats.org/officeDocument/2006/relationships" r:id="rId6"/>
          <a:extLst>
            <a:ext uri="{FF2B5EF4-FFF2-40B4-BE49-F238E27FC236}">
              <a16:creationId xmlns:a16="http://schemas.microsoft.com/office/drawing/2014/main" id="{8BF38019-C836-4702-B6CF-B1F53FECEEF7}"/>
            </a:ext>
          </a:extLst>
        </xdr:cNvPr>
        <xdr:cNvSpPr/>
      </xdr:nvSpPr>
      <xdr:spPr>
        <a:xfrm>
          <a:off x="3085132" y="4009611"/>
          <a:ext cx="1670202" cy="342712"/>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baseline</a:t>
          </a:r>
        </a:p>
      </xdr:txBody>
    </xdr:sp>
    <xdr:clientData/>
  </xdr:twoCellAnchor>
  <xdr:twoCellAnchor>
    <xdr:from>
      <xdr:col>5</xdr:col>
      <xdr:colOff>925512</xdr:colOff>
      <xdr:row>28</xdr:row>
      <xdr:rowOff>133350</xdr:rowOff>
    </xdr:from>
    <xdr:to>
      <xdr:col>11</xdr:col>
      <xdr:colOff>30162</xdr:colOff>
      <xdr:row>44</xdr:row>
      <xdr:rowOff>103187</xdr:rowOff>
    </xdr:to>
    <xdr:graphicFrame macro="">
      <xdr:nvGraphicFramePr>
        <xdr:cNvPr id="5" name="Chart 4">
          <a:extLst>
            <a:ext uri="{FF2B5EF4-FFF2-40B4-BE49-F238E27FC236}">
              <a16:creationId xmlns:a16="http://schemas.microsoft.com/office/drawing/2014/main" id="{8B333253-4A60-420F-B9A9-450A28289BF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142474</xdr:colOff>
      <xdr:row>28</xdr:row>
      <xdr:rowOff>133350</xdr:rowOff>
    </xdr:from>
    <xdr:to>
      <xdr:col>15</xdr:col>
      <xdr:colOff>1629629</xdr:colOff>
      <xdr:row>44</xdr:row>
      <xdr:rowOff>96837</xdr:rowOff>
    </xdr:to>
    <xdr:graphicFrame macro="">
      <xdr:nvGraphicFramePr>
        <xdr:cNvPr id="10" name="Chart 9">
          <a:extLst>
            <a:ext uri="{FF2B5EF4-FFF2-40B4-BE49-F238E27FC236}">
              <a16:creationId xmlns:a16="http://schemas.microsoft.com/office/drawing/2014/main" id="{BD2A373D-F3F5-4508-BB97-D54196B08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136071</xdr:colOff>
      <xdr:row>28</xdr:row>
      <xdr:rowOff>133350</xdr:rowOff>
    </xdr:from>
    <xdr:to>
      <xdr:col>20</xdr:col>
      <xdr:colOff>1902625</xdr:colOff>
      <xdr:row>44</xdr:row>
      <xdr:rowOff>93662</xdr:rowOff>
    </xdr:to>
    <xdr:graphicFrame macro="">
      <xdr:nvGraphicFramePr>
        <xdr:cNvPr id="11" name="Chart 10">
          <a:extLst>
            <a:ext uri="{FF2B5EF4-FFF2-40B4-BE49-F238E27FC236}">
              <a16:creationId xmlns:a16="http://schemas.microsoft.com/office/drawing/2014/main" id="{DBC31B03-6A7F-4E5C-9367-5E1E62BAA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163286</xdr:colOff>
      <xdr:row>28</xdr:row>
      <xdr:rowOff>133350</xdr:rowOff>
    </xdr:from>
    <xdr:to>
      <xdr:col>25</xdr:col>
      <xdr:colOff>1879493</xdr:colOff>
      <xdr:row>44</xdr:row>
      <xdr:rowOff>103187</xdr:rowOff>
    </xdr:to>
    <xdr:graphicFrame macro="">
      <xdr:nvGraphicFramePr>
        <xdr:cNvPr id="12" name="Chart 11">
          <a:extLst>
            <a:ext uri="{FF2B5EF4-FFF2-40B4-BE49-F238E27FC236}">
              <a16:creationId xmlns:a16="http://schemas.microsoft.com/office/drawing/2014/main" id="{74BA3F67-D86E-452D-8E13-93D35AE5F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27</xdr:col>
      <xdr:colOff>200931</xdr:colOff>
      <xdr:row>28</xdr:row>
      <xdr:rowOff>133350</xdr:rowOff>
    </xdr:from>
    <xdr:to>
      <xdr:col>30</xdr:col>
      <xdr:colOff>1552920</xdr:colOff>
      <xdr:row>44</xdr:row>
      <xdr:rowOff>100012</xdr:rowOff>
    </xdr:to>
    <xdr:graphicFrame macro="">
      <xdr:nvGraphicFramePr>
        <xdr:cNvPr id="13" name="Chart 12">
          <a:extLst>
            <a:ext uri="{FF2B5EF4-FFF2-40B4-BE49-F238E27FC236}">
              <a16:creationId xmlns:a16="http://schemas.microsoft.com/office/drawing/2014/main" id="{49BFF088-13B1-4EA1-9A42-9649ECE86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32</xdr:col>
      <xdr:colOff>255361</xdr:colOff>
      <xdr:row>28</xdr:row>
      <xdr:rowOff>133350</xdr:rowOff>
    </xdr:from>
    <xdr:to>
      <xdr:col>35</xdr:col>
      <xdr:colOff>1607350</xdr:colOff>
      <xdr:row>44</xdr:row>
      <xdr:rowOff>100012</xdr:rowOff>
    </xdr:to>
    <xdr:graphicFrame macro="">
      <xdr:nvGraphicFramePr>
        <xdr:cNvPr id="14" name="Chart 13">
          <a:extLst>
            <a:ext uri="{FF2B5EF4-FFF2-40B4-BE49-F238E27FC236}">
              <a16:creationId xmlns:a16="http://schemas.microsoft.com/office/drawing/2014/main" id="{4CDD579F-A170-48DD-9693-015A46994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37</xdr:col>
      <xdr:colOff>190500</xdr:colOff>
      <xdr:row>28</xdr:row>
      <xdr:rowOff>133350</xdr:rowOff>
    </xdr:from>
    <xdr:to>
      <xdr:col>40</xdr:col>
      <xdr:colOff>1664953</xdr:colOff>
      <xdr:row>44</xdr:row>
      <xdr:rowOff>100012</xdr:rowOff>
    </xdr:to>
    <xdr:graphicFrame macro="">
      <xdr:nvGraphicFramePr>
        <xdr:cNvPr id="15" name="Chart 14">
          <a:extLst>
            <a:ext uri="{FF2B5EF4-FFF2-40B4-BE49-F238E27FC236}">
              <a16:creationId xmlns:a16="http://schemas.microsoft.com/office/drawing/2014/main" id="{EF3B247F-98BE-4111-AFF5-B1ADA5234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102507</xdr:colOff>
      <xdr:row>26</xdr:row>
      <xdr:rowOff>84817</xdr:rowOff>
    </xdr:from>
    <xdr:to>
      <xdr:col>4</xdr:col>
      <xdr:colOff>1772709</xdr:colOff>
      <xdr:row>26</xdr:row>
      <xdr:rowOff>396874</xdr:rowOff>
    </xdr:to>
    <xdr:sp macro="" textlink="">
      <xdr:nvSpPr>
        <xdr:cNvPr id="16" name="Rectangle 15">
          <a:hlinkClick xmlns:r="http://schemas.openxmlformats.org/officeDocument/2006/relationships" r:id="rId5"/>
          <a:extLst>
            <a:ext uri="{FF2B5EF4-FFF2-40B4-BE49-F238E27FC236}">
              <a16:creationId xmlns:a16="http://schemas.microsoft.com/office/drawing/2014/main" id="{4F054681-D92F-41A1-B7C2-883258891D90}"/>
            </a:ext>
          </a:extLst>
        </xdr:cNvPr>
        <xdr:cNvSpPr/>
      </xdr:nvSpPr>
      <xdr:spPr>
        <a:xfrm>
          <a:off x="3081234" y="9898453"/>
          <a:ext cx="1670202" cy="312057"/>
        </a:xfrm>
        <a:prstGeom prst="rect">
          <a:avLst/>
        </a:prstGeom>
        <a:solidFill>
          <a:srgbClr val="003973"/>
        </a:solidFill>
        <a:ln>
          <a:noFill/>
        </a:ln>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1100">
              <a:solidFill>
                <a:schemeClr val="bg1"/>
              </a:solidFill>
            </a:rPr>
            <a:t>Click to view scenario 5C</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1581727</xdr:colOff>
      <xdr:row>11</xdr:row>
      <xdr:rowOff>127000</xdr:rowOff>
    </xdr:from>
    <xdr:to>
      <xdr:col>5</xdr:col>
      <xdr:colOff>3232727</xdr:colOff>
      <xdr:row>25</xdr:row>
      <xdr:rowOff>50656</xdr:rowOff>
    </xdr:to>
    <xdr:graphicFrame macro="">
      <xdr:nvGraphicFramePr>
        <xdr:cNvPr id="2" name="Chart 1">
          <a:extLst>
            <a:ext uri="{FF2B5EF4-FFF2-40B4-BE49-F238E27FC236}">
              <a16:creationId xmlns:a16="http://schemas.microsoft.com/office/drawing/2014/main" id="{F9E446E6-D877-472C-BFC8-0024B5FF2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230908</xdr:colOff>
      <xdr:row>11</xdr:row>
      <xdr:rowOff>80817</xdr:rowOff>
    </xdr:from>
    <xdr:to>
      <xdr:col>11</xdr:col>
      <xdr:colOff>1720272</xdr:colOff>
      <xdr:row>25</xdr:row>
      <xdr:rowOff>4473</xdr:rowOff>
    </xdr:to>
    <xdr:graphicFrame macro="">
      <xdr:nvGraphicFramePr>
        <xdr:cNvPr id="4" name="Chart 3">
          <a:extLst>
            <a:ext uri="{FF2B5EF4-FFF2-40B4-BE49-F238E27FC236}">
              <a16:creationId xmlns:a16="http://schemas.microsoft.com/office/drawing/2014/main" id="{B2E71FF0-BD67-4718-A0B0-421D2FF95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277092</xdr:colOff>
      <xdr:row>11</xdr:row>
      <xdr:rowOff>76344</xdr:rowOff>
    </xdr:from>
    <xdr:to>
      <xdr:col>17</xdr:col>
      <xdr:colOff>1766455</xdr:colOff>
      <xdr:row>25</xdr:row>
      <xdr:rowOff>0</xdr:rowOff>
    </xdr:to>
    <xdr:graphicFrame macro="">
      <xdr:nvGraphicFramePr>
        <xdr:cNvPr id="5" name="Chart 4">
          <a:extLst>
            <a:ext uri="{FF2B5EF4-FFF2-40B4-BE49-F238E27FC236}">
              <a16:creationId xmlns:a16="http://schemas.microsoft.com/office/drawing/2014/main" id="{5B6C9614-34D6-449D-8922-6CB03D4395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450272</xdr:colOff>
      <xdr:row>11</xdr:row>
      <xdr:rowOff>64799</xdr:rowOff>
    </xdr:from>
    <xdr:to>
      <xdr:col>23</xdr:col>
      <xdr:colOff>1858819</xdr:colOff>
      <xdr:row>24</xdr:row>
      <xdr:rowOff>173182</xdr:rowOff>
    </xdr:to>
    <xdr:graphicFrame macro="">
      <xdr:nvGraphicFramePr>
        <xdr:cNvPr id="6" name="Chart 5">
          <a:extLst>
            <a:ext uri="{FF2B5EF4-FFF2-40B4-BE49-F238E27FC236}">
              <a16:creationId xmlns:a16="http://schemas.microsoft.com/office/drawing/2014/main" id="{26F1B9B1-0263-4E86-94A6-2A0366BF2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92365</xdr:colOff>
      <xdr:row>11</xdr:row>
      <xdr:rowOff>53254</xdr:rowOff>
    </xdr:from>
    <xdr:to>
      <xdr:col>29</xdr:col>
      <xdr:colOff>1754910</xdr:colOff>
      <xdr:row>24</xdr:row>
      <xdr:rowOff>161637</xdr:rowOff>
    </xdr:to>
    <xdr:graphicFrame macro="">
      <xdr:nvGraphicFramePr>
        <xdr:cNvPr id="7" name="Chart 6">
          <a:extLst>
            <a:ext uri="{FF2B5EF4-FFF2-40B4-BE49-F238E27FC236}">
              <a16:creationId xmlns:a16="http://schemas.microsoft.com/office/drawing/2014/main" id="{D90D4CA4-4C1B-401D-96A8-C7403B9CC0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150091</xdr:colOff>
      <xdr:row>11</xdr:row>
      <xdr:rowOff>64799</xdr:rowOff>
    </xdr:from>
    <xdr:to>
      <xdr:col>35</xdr:col>
      <xdr:colOff>1477818</xdr:colOff>
      <xdr:row>24</xdr:row>
      <xdr:rowOff>173182</xdr:rowOff>
    </xdr:to>
    <xdr:graphicFrame macro="">
      <xdr:nvGraphicFramePr>
        <xdr:cNvPr id="8" name="Chart 7">
          <a:extLst>
            <a:ext uri="{FF2B5EF4-FFF2-40B4-BE49-F238E27FC236}">
              <a16:creationId xmlns:a16="http://schemas.microsoft.com/office/drawing/2014/main" id="{8CB97FDA-7774-4A12-AB81-31F079EB4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127000</xdr:colOff>
      <xdr:row>11</xdr:row>
      <xdr:rowOff>64798</xdr:rowOff>
    </xdr:from>
    <xdr:to>
      <xdr:col>41</xdr:col>
      <xdr:colOff>1362364</xdr:colOff>
      <xdr:row>24</xdr:row>
      <xdr:rowOff>173181</xdr:rowOff>
    </xdr:to>
    <xdr:graphicFrame macro="">
      <xdr:nvGraphicFramePr>
        <xdr:cNvPr id="9" name="Chart 8">
          <a:extLst>
            <a:ext uri="{FF2B5EF4-FFF2-40B4-BE49-F238E27FC236}">
              <a16:creationId xmlns:a16="http://schemas.microsoft.com/office/drawing/2014/main" id="{68BFDE55-B4D5-441B-A79A-E0CA08715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George  Chanarin" id="{62FE46F5-4473-40DD-B67B-31AA0A409F55}" userId="S::George@cumulus-consultants.co.uk::b45e6f20-fd5e-4b80-9ac1-b5cabd710ef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5" dT="2021-11-25T09:37:30.58" personId="{62FE46F5-4473-40DD-B67B-31AA0A409F55}" id="{1F5DF5DC-EC18-4B16-ABB7-6488ED1CFC5B}">
    <text>may need tp one higher for livestock systems...</text>
  </threadedComment>
</ThreadedComments>
</file>

<file path=xl/threadedComments/threadedComment2.xml><?xml version="1.0" encoding="utf-8"?>
<ThreadedComments xmlns="http://schemas.microsoft.com/office/spreadsheetml/2018/threadedcomments" xmlns:x="http://schemas.openxmlformats.org/spreadsheetml/2006/main">
  <threadedComment ref="F24" dT="2021-12-14T09:20:10.59" personId="{62FE46F5-4473-40DD-B67B-31AA0A409F55}" id="{21A92FA1-CE7F-4FED-976E-1F1DC18947F5}">
    <text>Area of farm woodland based on the June agricultural service - Defra, The Scottish Government, Wlesh Government, Northern Ireland Executive (2018) https://www.forestresearch.gov.uk/tools-and-resources/statistics/forestry-statistics/forestry-statistics-2019/woodland-area-and-planting/area-of-farm-woodland/</text>
  </threadedComment>
  <threadedComment ref="M25" dT="2021-12-08T12:04:16.25" personId="{62FE46F5-4473-40DD-B67B-31AA0A409F55}" id="{C57785B0-38F7-472B-B498-7899F13F9BF6}">
    <text>based on total production value / farm divided by average farm area (TYFA model)</text>
  </threadedComment>
  <threadedComment ref="Q25" dT="2021-12-08T12:07:49.49" personId="{62FE46F5-4473-40DD-B67B-31AA0A409F55}" id="{44B36385-B9C0-4F7C-BBDF-86898FFEE5AA}">
    <text>(ABC, 2020) total output Dairy Cows - Freisian /Holstein (Autumn Calving)</text>
  </threadedComment>
  <threadedComment ref="U25" dT="2021-12-08T12:17:55.59" personId="{62FE46F5-4473-40DD-B67B-31AA0A409F55}" id="{1B2A0D81-2423-40EC-98DF-E60A394914E7}">
    <text>(ABC, 2020) output from upland breeding stock and lamb production at stocking density of 7.5 ewes/ha</text>
  </threadedComment>
  <threadedComment ref="V25" dT="2021-12-08T12:16:43.27" personId="{62FE46F5-4473-40DD-B67B-31AA0A409F55}" id="{07FC8631-109C-4018-96CD-C90F2446A02C}">
    <text>Based on TYFA model</text>
  </threadedComment>
  <threadedComment ref="Y25" dT="2021-12-08T12:20:06.06" personId="{62FE46F5-4473-40DD-B67B-31AA0A409F55}" id="{F8755DE6-8CA7-4768-98E4-1241F0AA5571}">
    <text>Gross margin for 18-20 Month Beef - Freisian-Cross - Steer at a stocking rate of 3.3 head/Ha (ABC, 2020)
Beef cows are used to exemplify lowland grazing systems as they account for more than half of the LU that are poroduced on lowland grazing systems.</text>
  </threadedComment>
  <threadedComment ref="Z25" dT="2021-12-08T12:18:41.81" personId="{62FE46F5-4473-40DD-B67B-31AA0A409F55}" id="{52D05CA4-8711-4DBC-92CB-36A4BBC2B44A}">
    <text>Based on TYFA model</text>
  </threadedComment>
  <threadedComment ref="AD25" dT="2021-12-08T12:18:51.45" personId="{62FE46F5-4473-40DD-B67B-31AA0A409F55}" id="{ACBAE256-01CF-4A98-9927-A3B07C93CF6E}">
    <text>Based on TYFA model</text>
  </threadedComment>
  <threadedComment ref="E39" dT="2021-12-01T10:46:30.21" personId="{62FE46F5-4473-40DD-B67B-31AA0A409F55}" id="{D1AD0BF6-3596-4FC2-9F3B-B5CF1D336119}">
    <text>number of sheep</text>
  </threadedComment>
  <threadedComment ref="E40" dT="2021-12-01T11:23:26.29" personId="{62FE46F5-4473-40DD-B67B-31AA0A409F55}" id="{C92F0CCD-05D0-49E9-83E1-76D5340316F8}">
    <text>Number of beef cows</text>
  </threadedComment>
  <threadedComment ref="F70" dT="2021-12-13T13:14:32.08" personId="{62FE46F5-4473-40DD-B67B-31AA0A409F55}" id="{0A2B6D83-E181-4DF2-94B3-E691D60D87AD}">
    <text>Based on average number of hectares for lowdland dairy farms surveyed in Wales https://www.aber.ac.uk/en/media/departmental/ibers/farmbusinesssurvey/FBS_Booklet_2019_Web.pdf</text>
  </threadedComment>
  <threadedComment ref="D71" dT="2021-12-13T13:00:38.69" personId="{62FE46F5-4473-40DD-B67B-31AA0A409F55}" id="{7009ED7D-E6DF-41B3-BF2C-5E1A29BFDED0}">
    <text>Wales define farm types as disadvantaged and seriously disadvantaged. For this model we consider these terms synonymous with LFA.</text>
  </threadedComment>
  <threadedComment ref="F71" dT="2021-12-13T13:16:57.34" personId="{62FE46F5-4473-40DD-B67B-31AA0A409F55}" id="{B49D0EA8-B677-4798-B474-237A38258673}">
    <text>Based on average number of hectares for hill and upland cattle and sheep farms surveyed in Wales https://www.aber.ac.uk/en/media/departmental/ibers/farmbusinesssurvey/FBS_Booklet_2019_Web.pdf</text>
  </threadedComment>
  <threadedComment ref="D72" dT="2021-12-13T13:01:11.52" personId="{62FE46F5-4473-40DD-B67B-31AA0A409F55}" id="{F1071165-5F52-4DD4-B05F-ADAE51327FDD}">
    <text>Wales define non-LFA grazing. We consider this synonymous with lowland grazing.</text>
  </threadedComment>
  <threadedComment ref="F72" dT="2021-12-13T13:15:32.25" personId="{62FE46F5-4473-40DD-B67B-31AA0A409F55}" id="{B2B5C18B-89A6-4FAE-B78B-CE5331635673}">
    <text>Based on average number of hectares for lowland cattle and sheep farms surveyed in Wales https://www.aber.ac.uk/en/media/departmental/ibers/farmbusinesssurvey/FBS_Booklet_2019_Web.pdf</text>
  </threadedComment>
  <threadedComment ref="P81" dT="2021-12-13T14:56:26.84" personId="{62FE46F5-4473-40DD-B67B-31AA0A409F55}" id="{A6AE56FA-1736-4A24-A5E7-67886C5A72F8}">
    <text>Figures are not available for the areas of these farm types. So the total area of grassland across NI is used as a proxy for the total area of grazing land. THe percentage of this land allocated to each grazing farm type is based on the grazing land taken up by each farm type in the Welsh context (18% area dairy, 74% area LFA, 9% lowland grazing)</text>
  </threadedComment>
  <threadedComment ref="D83" dT="2021-12-13T14:34:24.73" personId="{62FE46F5-4473-40DD-B67B-31AA0A409F55}" id="{83742E9D-A59E-40DC-8E7C-BEAFEA9C66F2}">
    <text>Defined as lowland cattle and sheep in NI farm incomes</text>
  </threadedComment>
  <threadedComment ref="D92" dT="2021-12-14T10:35:09.60" personId="{62FE46F5-4473-40DD-B67B-31AA0A409F55}" id="{1AECA73B-4AF0-4521-8E62-CD597A18C66D}">
    <text>As the areas of AFW were not available for each farm type these areas have been estimated by making the proportion of AFW estimated for each farm type equivalent to the percentage of total agricultural area taken up by each farm type.</text>
  </threadedComment>
  <threadedComment ref="D93" dT="2021-12-14T10:35:15.80" personId="{62FE46F5-4473-40DD-B67B-31AA0A409F55}" id="{BB57ADE8-EDA5-45D0-86D7-FAF8EBFAE4F8}">
    <text>As the areas of AFW were not available for each farm type these areas have been estimated by making the proportion of AFW estimated for each farm type equivalent to the percentage of total agricultural area taken up by each farm type.</text>
  </threadedComment>
  <threadedComment ref="D94" dT="2021-12-14T10:35:21.03" personId="{62FE46F5-4473-40DD-B67B-31AA0A409F55}" id="{13C9A8CC-E50B-4C2C-9D41-301B7C5FB454}">
    <text>As the areas of AFW were not available for each farm type these areas have been estimated by making the proportion of AFW estimated for each farm type equivalent to the percentage of total agricultural area taken up by each farm type.</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www.forestresearch.gov.uk/documents/284/fcrp018_8ATkMhd.pdf" TargetMode="External"/><Relationship Id="rId2" Type="http://schemas.openxmlformats.org/officeDocument/2006/relationships/hyperlink" Target="https://www.forestresearch.gov.uk/documents/284/fcrp018_8ATkMhd.pdf" TargetMode="External"/><Relationship Id="rId1" Type="http://schemas.openxmlformats.org/officeDocument/2006/relationships/hyperlink" Target="https://www.forestresearch.gov.uk/documents/284/fcrp018_8ATkMhd.pdf" TargetMode="External"/><Relationship Id="rId5" Type="http://schemas.openxmlformats.org/officeDocument/2006/relationships/printerSettings" Target="../printerSettings/printerSettings7.bin"/><Relationship Id="rId4" Type="http://schemas.openxmlformats.org/officeDocument/2006/relationships/hyperlink" Target="https://doi.org/10.1002/agj2.20489"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forestresearch.gov.uk/documents/284/fcrp018_8ATkMhd.pdf" TargetMode="External"/><Relationship Id="rId2" Type="http://schemas.openxmlformats.org/officeDocument/2006/relationships/hyperlink" Target="https://www.forestresearch.gov.uk/documents/284/fcrp018_8ATkMhd.pdf" TargetMode="External"/><Relationship Id="rId1" Type="http://schemas.openxmlformats.org/officeDocument/2006/relationships/hyperlink" Target="https://www.forestresearch.gov.uk/documents/284/fcrp018_8ATkMhd.pdf"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hyperlink" Target="https://assets.publishing.service.gov.uk/government/uploads/system/uploads/attachment_data/file/946241/structure-landuse-june20-eng-22dec20.pdf" TargetMode="External"/><Relationship Id="rId7" Type="http://schemas.microsoft.com/office/2017/10/relationships/threadedComment" Target="../threadedComments/threadedComment2.xml"/><Relationship Id="rId2" Type="http://schemas.openxmlformats.org/officeDocument/2006/relationships/hyperlink" Target="https://assets.publishing.service.gov.uk/government/uploads/system/uploads/attachment_data/file/946161/structure-jun2020final-uk-22dec20.pdf" TargetMode="External"/><Relationship Id="rId1" Type="http://schemas.openxmlformats.org/officeDocument/2006/relationships/hyperlink" Target="https://assets.publishing.service.gov.uk/government/uploads/system/uploads/attachment_data/file/946161/structure-jun2020final-uk-22dec20.pdf"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hyperlink" Target="https://assets.publishing.service.gov.uk/government/uploads/system/uploads/attachment_data/file/946161/structure-jun2020final-uk-22dec20.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hyperlink" Target="https://doi.org/10.1002/agj2.20489" TargetMode="External"/><Relationship Id="rId7" Type="http://schemas.openxmlformats.org/officeDocument/2006/relationships/printerSettings" Target="../printerSettings/printerSettings4.bin"/><Relationship Id="rId2" Type="http://schemas.openxmlformats.org/officeDocument/2006/relationships/hyperlink" Target="https://www.forestresearch.gov.uk/documents/284/fcrp018_8ATkMhd.pdf" TargetMode="External"/><Relationship Id="rId1" Type="http://schemas.openxmlformats.org/officeDocument/2006/relationships/hyperlink" Target="https://www.sciencedirect.com/science/article/pii/S1871141306000412?casa_token=MOpGpRho3w8AAAAA:e1NFZI3iuMjHwbYXigPp4-mJErKpjZxtm0a_mV_RQh2RWE6yofL9-NDWYnZ-weXD7vTXgkin" TargetMode="External"/><Relationship Id="rId6" Type="http://schemas.openxmlformats.org/officeDocument/2006/relationships/hyperlink" Target="https://www.faifarms.com/portfolio-item/mcdonalds-tree-range-hens/" TargetMode="External"/><Relationship Id="rId5" Type="http://schemas.openxmlformats.org/officeDocument/2006/relationships/hyperlink" Target="https://www.farminguk.com/news/two-billion-eggs-sold-through-woodland-trust-scheme_36018.html" TargetMode="External"/><Relationship Id="rId4" Type="http://schemas.openxmlformats.org/officeDocument/2006/relationships/hyperlink" Target="https://doi.org/10.1002/agj2.20489"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oi.org/10.1002/agj2.20489" TargetMode="External"/><Relationship Id="rId7" Type="http://schemas.microsoft.com/office/2017/10/relationships/threadedComment" Target="../threadedComments/threadedComment1.xml"/><Relationship Id="rId2" Type="http://schemas.openxmlformats.org/officeDocument/2006/relationships/hyperlink" Target="https://www.forestresearch.gov.uk/documents/284/fcrp018_8ATkMhd.pdf" TargetMode="External"/><Relationship Id="rId1" Type="http://schemas.openxmlformats.org/officeDocument/2006/relationships/hyperlink" Target="https://www.forestresearch.gov.uk/documents/284/fcrp018_8ATkMhd.pdf"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s://www.forestresearch.gov.uk/documents/284/fcrp018_8ATkMhd.pdf"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F6BED-D23A-4105-A864-EF37567BFD5C}">
  <dimension ref="B2:E35"/>
  <sheetViews>
    <sheetView showGridLines="0" showRowColHeaders="0" tabSelected="1" workbookViewId="0"/>
    <sheetView tabSelected="1" topLeftCell="A13" workbookViewId="1">
      <selection activeCell="A24" sqref="A24:XFD24"/>
    </sheetView>
  </sheetViews>
  <sheetFormatPr defaultRowHeight="15"/>
  <cols>
    <col min="1" max="1" width="5.5703125" customWidth="1"/>
    <col min="2" max="2" width="6.42578125" customWidth="1"/>
    <col min="3" max="3" width="29.85546875" customWidth="1"/>
    <col min="4" max="4" width="128.42578125" customWidth="1"/>
    <col min="5" max="5" width="7.140625" customWidth="1"/>
  </cols>
  <sheetData>
    <row r="2" spans="2:5">
      <c r="B2" s="365"/>
      <c r="C2" s="365"/>
      <c r="D2" s="365"/>
      <c r="E2" s="365"/>
    </row>
    <row r="3" spans="2:5" ht="21">
      <c r="B3" s="365"/>
      <c r="C3" s="367" t="s">
        <v>665</v>
      </c>
      <c r="D3" s="365"/>
      <c r="E3" s="365"/>
    </row>
    <row r="4" spans="2:5" ht="20.100000000000001" customHeight="1">
      <c r="B4" s="365"/>
      <c r="C4" s="366" t="s">
        <v>648</v>
      </c>
      <c r="D4" s="365"/>
      <c r="E4" s="365"/>
    </row>
    <row r="5" spans="2:5" ht="36" customHeight="1">
      <c r="B5" s="365"/>
      <c r="C5" s="387" t="s">
        <v>716</v>
      </c>
      <c r="D5" s="387"/>
      <c r="E5" s="365"/>
    </row>
    <row r="6" spans="2:5" ht="20.100000000000001" customHeight="1">
      <c r="B6" s="365"/>
      <c r="C6" s="366" t="s">
        <v>649</v>
      </c>
      <c r="D6" s="365"/>
      <c r="E6" s="365"/>
    </row>
    <row r="7" spans="2:5" ht="52.5" customHeight="1">
      <c r="B7" s="365"/>
      <c r="C7" s="387" t="s">
        <v>717</v>
      </c>
      <c r="D7" s="387"/>
      <c r="E7" s="365"/>
    </row>
    <row r="8" spans="2:5" ht="20.100000000000001" customHeight="1">
      <c r="B8" s="365"/>
      <c r="C8" s="366" t="s">
        <v>650</v>
      </c>
      <c r="D8" s="365"/>
      <c r="E8" s="365"/>
    </row>
    <row r="9" spans="2:5" ht="20.100000000000001" customHeight="1">
      <c r="B9" s="365"/>
      <c r="C9" s="366"/>
      <c r="D9" s="365"/>
      <c r="E9" s="365"/>
    </row>
    <row r="10" spans="2:5" ht="51.95" customHeight="1">
      <c r="B10" s="365"/>
      <c r="C10" s="387" t="s">
        <v>718</v>
      </c>
      <c r="D10" s="387"/>
      <c r="E10" s="365"/>
    </row>
    <row r="11" spans="2:5" ht="95.25" customHeight="1">
      <c r="B11" s="365"/>
      <c r="C11" s="387" t="s">
        <v>719</v>
      </c>
      <c r="D11" s="387"/>
      <c r="E11" s="365"/>
    </row>
    <row r="12" spans="2:5" ht="71.099999999999994" customHeight="1">
      <c r="B12" s="365"/>
      <c r="C12" s="387" t="s">
        <v>720</v>
      </c>
      <c r="D12" s="387"/>
      <c r="E12" s="365"/>
    </row>
    <row r="13" spans="2:5" ht="20.100000000000001" customHeight="1">
      <c r="B13" s="365"/>
      <c r="C13" s="366" t="s">
        <v>652</v>
      </c>
      <c r="D13" s="365"/>
      <c r="E13" s="365"/>
    </row>
    <row r="14" spans="2:5" ht="54.95" customHeight="1">
      <c r="B14" s="365"/>
      <c r="C14" s="387" t="s">
        <v>721</v>
      </c>
      <c r="D14" s="387"/>
      <c r="E14" s="365"/>
    </row>
    <row r="15" spans="2:5" s="385" customFormat="1" ht="24.95" customHeight="1">
      <c r="B15" s="383"/>
      <c r="C15" s="384" t="s">
        <v>667</v>
      </c>
      <c r="D15" s="383" t="s">
        <v>722</v>
      </c>
      <c r="E15" s="383"/>
    </row>
    <row r="16" spans="2:5" s="386" customFormat="1" ht="35.1" customHeight="1">
      <c r="B16" s="365"/>
      <c r="C16" s="364" t="s">
        <v>668</v>
      </c>
      <c r="D16" s="365" t="s">
        <v>723</v>
      </c>
      <c r="E16" s="365"/>
    </row>
    <row r="17" spans="2:5" ht="78" customHeight="1">
      <c r="B17" s="365"/>
      <c r="C17" s="364" t="s">
        <v>653</v>
      </c>
      <c r="D17" s="365" t="s">
        <v>724</v>
      </c>
      <c r="E17" s="365"/>
    </row>
    <row r="18" spans="2:5" ht="22.5" customHeight="1">
      <c r="B18" s="365"/>
      <c r="C18" s="364" t="s">
        <v>654</v>
      </c>
      <c r="D18" s="365" t="s">
        <v>659</v>
      </c>
      <c r="E18" s="365"/>
    </row>
    <row r="19" spans="2:5" ht="38.1" customHeight="1">
      <c r="B19" s="365"/>
      <c r="C19" s="364" t="s">
        <v>655</v>
      </c>
      <c r="D19" s="365" t="s">
        <v>660</v>
      </c>
      <c r="E19" s="365"/>
    </row>
    <row r="20" spans="2:5" ht="21" customHeight="1">
      <c r="B20" s="365"/>
      <c r="C20" s="364" t="s">
        <v>656</v>
      </c>
      <c r="D20" s="365" t="s">
        <v>661</v>
      </c>
      <c r="E20" s="365"/>
    </row>
    <row r="21" spans="2:5" ht="23.45" customHeight="1">
      <c r="B21" s="365"/>
      <c r="C21" s="364" t="s">
        <v>657</v>
      </c>
      <c r="D21" s="365" t="s">
        <v>662</v>
      </c>
      <c r="E21" s="365"/>
    </row>
    <row r="22" spans="2:5" ht="30">
      <c r="B22" s="365"/>
      <c r="C22" s="364" t="s">
        <v>658</v>
      </c>
      <c r="D22" s="365" t="s">
        <v>663</v>
      </c>
      <c r="E22" s="365"/>
    </row>
    <row r="23" spans="2:5">
      <c r="B23" s="365"/>
      <c r="C23" s="365"/>
      <c r="D23" s="365"/>
      <c r="E23" s="365"/>
    </row>
    <row r="24" spans="2:5" ht="21.6" customHeight="1">
      <c r="B24" s="365"/>
      <c r="C24" s="366" t="s">
        <v>651</v>
      </c>
      <c r="D24" s="365"/>
      <c r="E24" s="365"/>
    </row>
    <row r="25" spans="2:5" ht="36.950000000000003" customHeight="1">
      <c r="B25" s="365"/>
      <c r="C25" s="387" t="s">
        <v>664</v>
      </c>
      <c r="D25" s="387"/>
      <c r="E25" s="365"/>
    </row>
    <row r="26" spans="2:5">
      <c r="B26" s="365"/>
      <c r="C26" s="365"/>
      <c r="D26" s="365"/>
      <c r="E26" s="365"/>
    </row>
    <row r="27" spans="2:5">
      <c r="B27" s="365"/>
      <c r="C27" s="365"/>
      <c r="D27" s="365"/>
      <c r="E27" s="365"/>
    </row>
    <row r="28" spans="2:5">
      <c r="B28" s="365"/>
      <c r="C28" s="365"/>
      <c r="D28" s="365"/>
      <c r="E28" s="365"/>
    </row>
    <row r="29" spans="2:5">
      <c r="B29" s="365"/>
      <c r="C29" s="365"/>
      <c r="D29" s="365"/>
      <c r="E29" s="365"/>
    </row>
    <row r="30" spans="2:5">
      <c r="B30" s="365"/>
      <c r="C30" s="365"/>
      <c r="D30" s="365"/>
      <c r="E30" s="365"/>
    </row>
    <row r="31" spans="2:5">
      <c r="B31" s="365"/>
      <c r="C31" s="365"/>
      <c r="D31" s="365"/>
      <c r="E31" s="365"/>
    </row>
    <row r="32" spans="2:5">
      <c r="B32" s="365"/>
      <c r="C32" s="365"/>
      <c r="D32" s="365"/>
      <c r="E32" s="365"/>
    </row>
    <row r="33" spans="2:5">
      <c r="B33" s="365"/>
      <c r="C33" s="365"/>
      <c r="D33" s="365"/>
      <c r="E33" s="365"/>
    </row>
    <row r="34" spans="2:5">
      <c r="B34" s="365"/>
      <c r="C34" s="365"/>
      <c r="D34" s="365"/>
      <c r="E34" s="365"/>
    </row>
    <row r="35" spans="2:5">
      <c r="B35" s="365"/>
      <c r="C35" s="365"/>
      <c r="D35" s="365"/>
      <c r="E35" s="365"/>
    </row>
  </sheetData>
  <mergeCells count="7">
    <mergeCell ref="C25:D25"/>
    <mergeCell ref="C14:D14"/>
    <mergeCell ref="C10:D10"/>
    <mergeCell ref="C7:D7"/>
    <mergeCell ref="C5:D5"/>
    <mergeCell ref="C11:D11"/>
    <mergeCell ref="C12:D12"/>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4771C-1610-4378-8BC4-2FBFCDA73958}">
  <sheetPr codeName="Sheet6"/>
  <dimension ref="B2:V206"/>
  <sheetViews>
    <sheetView showGridLines="0" showRowColHeaders="0" workbookViewId="0"/>
    <sheetView workbookViewId="1"/>
  </sheetViews>
  <sheetFormatPr defaultRowHeight="15"/>
  <cols>
    <col min="2" max="2" width="3.5703125" customWidth="1"/>
    <col min="3" max="3" width="44.5703125" customWidth="1"/>
    <col min="4" max="4" width="12.140625" customWidth="1"/>
    <col min="5" max="5" width="12.5703125" customWidth="1"/>
    <col min="6" max="6" width="10.5703125" customWidth="1"/>
    <col min="7" max="7" width="0.5703125" customWidth="1"/>
    <col min="8" max="9" width="10.5703125" customWidth="1"/>
    <col min="10" max="10" width="0.5703125" customWidth="1"/>
    <col min="11" max="12" width="10.5703125" customWidth="1"/>
    <col min="13" max="13" width="0.5703125" customWidth="1"/>
    <col min="14" max="15" width="10.5703125" customWidth="1"/>
    <col min="16" max="16" width="0.5703125" customWidth="1"/>
    <col min="17" max="18" width="10.5703125" customWidth="1"/>
    <col min="19" max="19" width="0.5703125" customWidth="1"/>
    <col min="20" max="21" width="10.5703125" customWidth="1"/>
    <col min="26" max="26" width="9.85546875" bestFit="1" customWidth="1"/>
  </cols>
  <sheetData>
    <row r="2" spans="2:22">
      <c r="B2" s="14"/>
      <c r="C2" s="14"/>
      <c r="D2" s="14"/>
      <c r="E2" s="14"/>
      <c r="F2" s="14"/>
      <c r="G2" s="14"/>
      <c r="H2" s="14"/>
      <c r="I2" s="14"/>
      <c r="J2" s="14"/>
      <c r="K2" s="14"/>
      <c r="L2" s="14"/>
      <c r="M2" s="14"/>
      <c r="N2" s="14"/>
      <c r="O2" s="14"/>
      <c r="P2" s="14"/>
      <c r="Q2" s="14"/>
      <c r="R2" s="14"/>
      <c r="S2" s="14"/>
      <c r="T2" s="14"/>
      <c r="U2" s="14"/>
      <c r="V2" s="14"/>
    </row>
    <row r="3" spans="2:22">
      <c r="B3" s="14"/>
      <c r="C3" s="15" t="s">
        <v>55</v>
      </c>
      <c r="D3" s="15"/>
      <c r="E3" s="14"/>
      <c r="F3" s="14"/>
      <c r="G3" s="14"/>
      <c r="H3" s="14"/>
      <c r="I3" s="14"/>
      <c r="J3" s="14"/>
      <c r="K3" s="14"/>
      <c r="L3" s="14"/>
      <c r="M3" s="14"/>
      <c r="N3" s="14"/>
      <c r="O3" s="14"/>
      <c r="P3" s="14"/>
      <c r="Q3" s="14"/>
      <c r="R3" s="14"/>
      <c r="S3" s="14"/>
      <c r="T3" s="14"/>
      <c r="U3" s="14"/>
      <c r="V3" s="14"/>
    </row>
    <row r="4" spans="2:22">
      <c r="B4" s="14"/>
      <c r="C4" s="15"/>
      <c r="D4" s="15"/>
      <c r="E4" s="14"/>
      <c r="F4" s="14"/>
      <c r="G4" s="14"/>
      <c r="H4" s="14"/>
      <c r="I4" s="14"/>
      <c r="J4" s="14"/>
      <c r="K4" s="14"/>
      <c r="L4" s="14"/>
      <c r="M4" s="14"/>
      <c r="N4" s="14"/>
      <c r="O4" s="14"/>
      <c r="P4" s="14"/>
      <c r="Q4" s="14"/>
      <c r="R4" s="14"/>
      <c r="S4" s="14"/>
      <c r="T4" s="14"/>
      <c r="U4" s="14"/>
      <c r="V4" s="14"/>
    </row>
    <row r="5" spans="2:22">
      <c r="B5" s="14"/>
      <c r="C5" s="15" t="s">
        <v>56</v>
      </c>
      <c r="D5" s="15"/>
      <c r="E5" s="16">
        <v>4</v>
      </c>
      <c r="F5" s="14"/>
      <c r="G5" s="14"/>
      <c r="H5" s="14"/>
      <c r="I5" s="14"/>
      <c r="J5" s="14"/>
      <c r="K5" s="14"/>
      <c r="L5" s="14"/>
      <c r="M5" s="14"/>
      <c r="N5" s="14"/>
      <c r="O5" s="14"/>
      <c r="P5" s="14"/>
      <c r="Q5" s="14"/>
      <c r="R5" s="14"/>
      <c r="S5" s="14"/>
      <c r="T5" s="14"/>
      <c r="U5" s="14"/>
      <c r="V5" s="14"/>
    </row>
    <row r="6" spans="2:22">
      <c r="B6" s="14"/>
      <c r="C6" s="15"/>
      <c r="D6" s="15"/>
      <c r="E6" s="14"/>
      <c r="F6" s="14"/>
      <c r="G6" s="14"/>
      <c r="H6" s="14"/>
      <c r="I6" s="14"/>
      <c r="J6" s="14"/>
      <c r="K6" s="14"/>
      <c r="L6" s="14"/>
      <c r="M6" s="14"/>
      <c r="N6" s="14"/>
      <c r="O6" s="14"/>
      <c r="P6" s="14"/>
      <c r="Q6" s="14"/>
      <c r="R6" s="14"/>
      <c r="S6" s="14"/>
      <c r="T6" s="14"/>
      <c r="U6" s="14"/>
      <c r="V6" s="14"/>
    </row>
    <row r="7" spans="2:22">
      <c r="B7" s="14"/>
      <c r="C7" s="15" t="s">
        <v>57</v>
      </c>
      <c r="D7" s="15"/>
      <c r="E7" s="14" t="s">
        <v>310</v>
      </c>
      <c r="F7" s="14"/>
      <c r="G7" s="14"/>
      <c r="H7" s="14"/>
      <c r="I7" s="14"/>
      <c r="J7" s="14"/>
      <c r="K7" s="14"/>
      <c r="L7" s="14"/>
      <c r="M7" s="14"/>
      <c r="N7" s="14"/>
      <c r="O7" s="14"/>
      <c r="P7" s="14"/>
      <c r="Q7" s="14"/>
      <c r="R7" s="14"/>
      <c r="S7" s="14"/>
      <c r="T7" s="14"/>
      <c r="U7" s="14"/>
      <c r="V7" s="14"/>
    </row>
    <row r="8" spans="2:22">
      <c r="B8" s="14"/>
      <c r="C8" s="15"/>
      <c r="D8" s="15"/>
      <c r="E8" s="14"/>
      <c r="F8" s="14"/>
      <c r="G8" s="14"/>
      <c r="H8" s="14"/>
      <c r="I8" s="14"/>
      <c r="J8" s="14"/>
      <c r="K8" s="14"/>
      <c r="L8" s="14"/>
      <c r="M8" s="14"/>
      <c r="N8" s="14"/>
      <c r="O8" s="14"/>
      <c r="P8" s="14"/>
      <c r="Q8" s="14"/>
      <c r="R8" s="14"/>
      <c r="S8" s="14"/>
      <c r="T8" s="14"/>
      <c r="U8" s="14"/>
      <c r="V8" s="14"/>
    </row>
    <row r="9" spans="2:22">
      <c r="B9" s="14"/>
      <c r="C9" s="15" t="s">
        <v>58</v>
      </c>
      <c r="D9" s="15"/>
      <c r="E9" s="14" t="s">
        <v>311</v>
      </c>
      <c r="F9" s="14"/>
      <c r="G9" s="14"/>
      <c r="H9" s="14"/>
      <c r="I9" s="14"/>
      <c r="J9" s="14"/>
      <c r="K9" s="14"/>
      <c r="L9" s="14"/>
      <c r="M9" s="14"/>
      <c r="N9" s="14"/>
      <c r="O9" s="14"/>
      <c r="P9" s="14"/>
      <c r="Q9" s="14"/>
      <c r="R9" s="14"/>
      <c r="S9" s="14"/>
      <c r="T9" s="14"/>
      <c r="U9" s="14"/>
      <c r="V9" s="14"/>
    </row>
    <row r="10" spans="2:22">
      <c r="B10" s="14"/>
      <c r="C10" s="15"/>
      <c r="D10" s="15"/>
      <c r="E10" s="14"/>
      <c r="F10" s="14"/>
      <c r="G10" s="14"/>
      <c r="H10" s="14"/>
      <c r="I10" s="14"/>
      <c r="J10" s="14"/>
      <c r="K10" s="14"/>
      <c r="L10" s="14"/>
      <c r="M10" s="14"/>
      <c r="N10" s="14"/>
      <c r="O10" s="14"/>
      <c r="P10" s="14"/>
      <c r="Q10" s="14"/>
      <c r="R10" s="14"/>
      <c r="S10" s="14"/>
      <c r="T10" s="14"/>
      <c r="U10" s="14"/>
      <c r="V10" s="14"/>
    </row>
    <row r="11" spans="2:22">
      <c r="B11" s="14"/>
      <c r="C11" s="15" t="s">
        <v>60</v>
      </c>
      <c r="D11" s="15"/>
      <c r="E11" s="14" t="s">
        <v>312</v>
      </c>
      <c r="F11" s="14"/>
      <c r="G11" s="14"/>
      <c r="H11" s="14"/>
      <c r="I11" s="14"/>
      <c r="J11" s="14"/>
      <c r="K11" s="14"/>
      <c r="L11" s="14"/>
      <c r="M11" s="14"/>
      <c r="N11" s="14"/>
      <c r="O11" s="14"/>
      <c r="P11" s="14"/>
      <c r="Q11" s="14"/>
      <c r="R11" s="14"/>
      <c r="S11" s="14"/>
      <c r="T11" s="14"/>
      <c r="U11" s="14"/>
      <c r="V11" s="14"/>
    </row>
    <row r="12" spans="2:22">
      <c r="B12" s="14"/>
      <c r="C12" s="15"/>
      <c r="D12" s="15"/>
      <c r="E12" s="14" t="s">
        <v>313</v>
      </c>
      <c r="F12" s="14"/>
      <c r="G12" s="14"/>
      <c r="H12" s="14"/>
      <c r="I12" s="14"/>
      <c r="J12" s="14"/>
      <c r="K12" s="14"/>
      <c r="L12" s="14"/>
      <c r="M12" s="14"/>
      <c r="N12" s="14"/>
      <c r="O12" s="14"/>
      <c r="P12" s="14"/>
      <c r="Q12" s="14"/>
      <c r="R12" s="14"/>
      <c r="S12" s="14"/>
      <c r="T12" s="14"/>
      <c r="U12" s="14"/>
      <c r="V12" s="14"/>
    </row>
    <row r="13" spans="2:22">
      <c r="B13" s="14"/>
      <c r="C13" s="15"/>
      <c r="D13" s="15"/>
      <c r="E13" s="14"/>
      <c r="F13" s="14"/>
      <c r="G13" s="14"/>
      <c r="H13" s="14"/>
      <c r="I13" s="14"/>
      <c r="J13" s="14"/>
      <c r="K13" s="14"/>
      <c r="L13" s="14"/>
      <c r="M13" s="14"/>
      <c r="N13" s="14"/>
      <c r="O13" s="14"/>
      <c r="P13" s="14"/>
      <c r="Q13" s="14"/>
      <c r="R13" s="14"/>
      <c r="S13" s="14"/>
      <c r="T13" s="14"/>
      <c r="U13" s="14"/>
      <c r="V13" s="14"/>
    </row>
    <row r="14" spans="2:22">
      <c r="B14" s="14"/>
      <c r="C14" s="15" t="s">
        <v>62</v>
      </c>
      <c r="D14" s="15"/>
      <c r="E14" s="14" t="s">
        <v>314</v>
      </c>
      <c r="F14" s="14"/>
      <c r="G14" s="14"/>
      <c r="H14" s="14"/>
      <c r="I14" s="14"/>
      <c r="J14" s="14"/>
      <c r="K14" s="14"/>
      <c r="L14" s="14"/>
      <c r="M14" s="14"/>
      <c r="N14" s="14"/>
      <c r="O14" s="14"/>
      <c r="P14" s="14"/>
      <c r="Q14" s="14"/>
      <c r="R14" s="14"/>
      <c r="S14" s="14"/>
      <c r="T14" s="14"/>
      <c r="U14" s="14"/>
      <c r="V14" s="14"/>
    </row>
    <row r="15" spans="2:22">
      <c r="B15" s="14"/>
      <c r="C15" s="14"/>
      <c r="D15" s="14"/>
      <c r="E15" s="14" t="s">
        <v>315</v>
      </c>
      <c r="F15" s="14"/>
      <c r="G15" s="14"/>
      <c r="H15" s="14"/>
      <c r="I15" s="14"/>
      <c r="J15" s="14"/>
      <c r="K15" s="14"/>
      <c r="L15" s="14"/>
      <c r="M15" s="14"/>
      <c r="N15" s="14"/>
      <c r="O15" s="14"/>
      <c r="P15" s="14"/>
      <c r="Q15" s="14"/>
      <c r="R15" s="14"/>
      <c r="S15" s="14"/>
      <c r="T15" s="14"/>
      <c r="U15" s="14"/>
      <c r="V15" s="14"/>
    </row>
    <row r="16" spans="2:22">
      <c r="B16" s="14"/>
      <c r="C16" s="14"/>
      <c r="D16" s="14"/>
      <c r="E16" s="14" t="s">
        <v>316</v>
      </c>
      <c r="F16" s="14"/>
      <c r="G16" s="14"/>
      <c r="H16" s="14"/>
      <c r="I16" s="14"/>
      <c r="J16" s="14"/>
      <c r="K16" s="14"/>
      <c r="L16" s="14"/>
      <c r="M16" s="14"/>
      <c r="N16" s="14"/>
      <c r="O16" s="14"/>
      <c r="P16" s="14"/>
      <c r="Q16" s="14"/>
      <c r="R16" s="14"/>
      <c r="S16" s="14"/>
      <c r="T16" s="14"/>
      <c r="U16" s="14"/>
      <c r="V16" s="14"/>
    </row>
    <row r="17" spans="2:22">
      <c r="B17" s="14"/>
      <c r="C17" s="14"/>
      <c r="D17" s="14"/>
      <c r="E17" s="14" t="s">
        <v>317</v>
      </c>
      <c r="F17" s="14"/>
      <c r="G17" s="14"/>
      <c r="H17" s="14"/>
      <c r="I17" s="14"/>
      <c r="J17" s="14"/>
      <c r="K17" s="14"/>
      <c r="L17" s="14"/>
      <c r="M17" s="14"/>
      <c r="N17" s="14"/>
      <c r="O17" s="14"/>
      <c r="P17" s="14"/>
      <c r="Q17" s="14"/>
      <c r="R17" s="14"/>
      <c r="S17" s="14"/>
      <c r="T17" s="14"/>
      <c r="U17" s="14"/>
      <c r="V17" s="14"/>
    </row>
    <row r="18" spans="2:22">
      <c r="B18" s="14"/>
      <c r="C18" s="14"/>
      <c r="D18" s="14"/>
      <c r="E18" s="14" t="s">
        <v>318</v>
      </c>
      <c r="F18" s="14"/>
      <c r="G18" s="14"/>
      <c r="H18" s="14"/>
      <c r="I18" s="14"/>
      <c r="J18" s="14"/>
      <c r="K18" s="14"/>
      <c r="L18" s="14"/>
      <c r="M18" s="14"/>
      <c r="N18" s="14"/>
      <c r="O18" s="14"/>
      <c r="P18" s="14"/>
      <c r="Q18" s="14"/>
      <c r="R18" s="14"/>
      <c r="S18" s="14"/>
      <c r="T18" s="14"/>
      <c r="U18" s="14"/>
      <c r="V18" s="14"/>
    </row>
    <row r="19" spans="2:22">
      <c r="B19" s="14"/>
      <c r="C19" s="14"/>
      <c r="D19" s="14"/>
      <c r="E19" s="14" t="s">
        <v>319</v>
      </c>
      <c r="F19" s="14"/>
      <c r="G19" s="14"/>
      <c r="H19" s="14"/>
      <c r="I19" s="14"/>
      <c r="J19" s="14"/>
      <c r="K19" s="14"/>
      <c r="L19" s="14"/>
      <c r="M19" s="14"/>
      <c r="N19" s="14"/>
      <c r="O19" s="14"/>
      <c r="P19" s="14"/>
      <c r="Q19" s="14"/>
      <c r="R19" s="14"/>
      <c r="S19" s="14"/>
      <c r="T19" s="14"/>
      <c r="U19" s="14"/>
      <c r="V19" s="14"/>
    </row>
    <row r="20" spans="2:22">
      <c r="B20" s="14"/>
      <c r="C20" s="14"/>
      <c r="D20" s="14"/>
      <c r="E20" s="14" t="s">
        <v>320</v>
      </c>
      <c r="F20" s="14"/>
      <c r="G20" s="14"/>
      <c r="H20" s="14"/>
      <c r="I20" s="14"/>
      <c r="J20" s="14"/>
      <c r="K20" s="14"/>
      <c r="L20" s="14"/>
      <c r="M20" s="14"/>
      <c r="N20" s="14"/>
      <c r="O20" s="14"/>
      <c r="P20" s="14"/>
      <c r="Q20" s="14"/>
      <c r="R20" s="14"/>
      <c r="S20" s="14"/>
      <c r="T20" s="14"/>
      <c r="U20" s="14"/>
      <c r="V20" s="14"/>
    </row>
    <row r="21" spans="2:22">
      <c r="B21" s="14"/>
      <c r="C21" s="14"/>
      <c r="D21" s="14"/>
      <c r="E21" s="14" t="s">
        <v>321</v>
      </c>
      <c r="F21" s="14"/>
      <c r="G21" s="14"/>
      <c r="H21" s="14"/>
      <c r="I21" s="14"/>
      <c r="J21" s="14"/>
      <c r="K21" s="14"/>
      <c r="L21" s="14"/>
      <c r="M21" s="14"/>
      <c r="N21" s="14"/>
      <c r="O21" s="14"/>
      <c r="P21" s="14"/>
      <c r="Q21" s="14"/>
      <c r="R21" s="14"/>
      <c r="S21" s="14"/>
      <c r="T21" s="14"/>
      <c r="U21" s="14"/>
      <c r="V21" s="14"/>
    </row>
    <row r="22" spans="2:22">
      <c r="B22" s="14"/>
      <c r="C22" s="14"/>
      <c r="D22" s="14"/>
      <c r="E22" s="14" t="s">
        <v>322</v>
      </c>
      <c r="F22" s="14"/>
      <c r="G22" s="14"/>
      <c r="H22" s="14"/>
      <c r="I22" s="14"/>
      <c r="J22" s="14"/>
      <c r="K22" s="14"/>
      <c r="L22" s="14"/>
      <c r="M22" s="14"/>
      <c r="N22" s="14"/>
      <c r="O22" s="14"/>
      <c r="P22" s="14"/>
      <c r="Q22" s="14"/>
      <c r="R22" s="14"/>
      <c r="S22" s="14"/>
      <c r="T22" s="14"/>
      <c r="U22" s="14"/>
      <c r="V22" s="14"/>
    </row>
    <row r="23" spans="2:22">
      <c r="B23" s="14"/>
      <c r="C23" s="14"/>
      <c r="D23" s="14"/>
      <c r="E23" s="14" t="s">
        <v>323</v>
      </c>
      <c r="F23" s="14"/>
      <c r="G23" s="14"/>
      <c r="H23" s="14"/>
      <c r="I23" s="14"/>
      <c r="J23" s="14"/>
      <c r="K23" s="14"/>
      <c r="L23" s="14"/>
      <c r="M23" s="14"/>
      <c r="N23" s="14"/>
      <c r="O23" s="14"/>
      <c r="P23" s="14"/>
      <c r="Q23" s="14"/>
      <c r="R23" s="14"/>
      <c r="S23" s="14"/>
      <c r="T23" s="14"/>
      <c r="U23" s="14"/>
      <c r="V23" s="14"/>
    </row>
    <row r="24" spans="2:22">
      <c r="B24" s="14"/>
      <c r="C24" s="14"/>
      <c r="D24" s="14"/>
      <c r="E24" s="14" t="s">
        <v>324</v>
      </c>
      <c r="F24" s="14"/>
      <c r="G24" s="14"/>
      <c r="H24" s="14"/>
      <c r="I24" s="14"/>
      <c r="J24" s="14"/>
      <c r="K24" s="14"/>
      <c r="L24" s="14"/>
      <c r="M24" s="14"/>
      <c r="N24" s="14"/>
      <c r="O24" s="14"/>
      <c r="P24" s="14"/>
      <c r="Q24" s="14"/>
      <c r="R24" s="14"/>
      <c r="S24" s="14"/>
      <c r="T24" s="14"/>
      <c r="U24" s="14"/>
      <c r="V24" s="14"/>
    </row>
    <row r="25" spans="2:22">
      <c r="B25" s="14"/>
      <c r="C25" s="15"/>
      <c r="D25" s="15"/>
      <c r="E25" s="14" t="s">
        <v>639</v>
      </c>
      <c r="F25" s="14"/>
      <c r="G25" s="14"/>
      <c r="H25" s="14"/>
      <c r="I25" s="14"/>
      <c r="J25" s="14"/>
      <c r="K25" s="14"/>
      <c r="L25" s="14"/>
      <c r="M25" s="14"/>
      <c r="N25" s="14"/>
      <c r="O25" s="14"/>
      <c r="P25" s="14"/>
      <c r="Q25" s="14"/>
      <c r="R25" s="14"/>
      <c r="S25" s="14"/>
      <c r="T25" s="14"/>
      <c r="U25" s="14"/>
      <c r="V25" s="14"/>
    </row>
    <row r="26" spans="2:22">
      <c r="B26" s="14"/>
      <c r="C26" s="15"/>
      <c r="D26" s="15"/>
      <c r="E26" s="14" t="s">
        <v>640</v>
      </c>
      <c r="F26" s="14"/>
      <c r="G26" s="14"/>
      <c r="H26" s="14"/>
      <c r="I26" s="14"/>
      <c r="J26" s="14"/>
      <c r="K26" s="14"/>
      <c r="L26" s="14"/>
      <c r="M26" s="14"/>
      <c r="N26" s="14"/>
      <c r="O26" s="14"/>
      <c r="P26" s="14"/>
      <c r="Q26" s="14"/>
      <c r="R26" s="14"/>
      <c r="S26" s="14"/>
      <c r="T26" s="14"/>
      <c r="U26" s="14"/>
      <c r="V26" s="14"/>
    </row>
    <row r="27" spans="2:22">
      <c r="B27" s="14"/>
      <c r="C27" s="15"/>
      <c r="D27" s="15"/>
      <c r="E27" s="14" t="s">
        <v>641</v>
      </c>
      <c r="F27" s="14"/>
      <c r="G27" s="14"/>
      <c r="H27" s="14"/>
      <c r="I27" s="14"/>
      <c r="J27" s="14"/>
      <c r="K27" s="14"/>
      <c r="L27" s="14"/>
      <c r="M27" s="14"/>
      <c r="N27" s="14"/>
      <c r="O27" s="14"/>
      <c r="P27" s="14"/>
      <c r="Q27" s="14"/>
      <c r="R27" s="14"/>
      <c r="S27" s="14"/>
      <c r="T27" s="14"/>
      <c r="U27" s="14"/>
      <c r="V27" s="14"/>
    </row>
    <row r="28" spans="2:22">
      <c r="B28" s="14"/>
      <c r="C28" s="15"/>
      <c r="D28" s="15"/>
      <c r="E28" s="14" t="s">
        <v>642</v>
      </c>
      <c r="F28" s="14"/>
      <c r="G28" s="14"/>
      <c r="H28" s="14"/>
      <c r="I28" s="14"/>
      <c r="J28" s="14"/>
      <c r="K28" s="14"/>
      <c r="L28" s="14"/>
      <c r="M28" s="14"/>
      <c r="N28" s="14"/>
      <c r="O28" s="14"/>
      <c r="P28" s="14"/>
      <c r="Q28" s="14"/>
      <c r="R28" s="14"/>
      <c r="S28" s="14"/>
      <c r="T28" s="14"/>
      <c r="U28" s="14"/>
      <c r="V28" s="14"/>
    </row>
    <row r="29" spans="2:22">
      <c r="B29" s="14"/>
      <c r="C29" s="15"/>
      <c r="D29" s="15"/>
      <c r="E29" s="14" t="s">
        <v>643</v>
      </c>
      <c r="F29" s="14"/>
      <c r="G29" s="14"/>
      <c r="H29" s="14"/>
      <c r="I29" s="14"/>
      <c r="J29" s="14"/>
      <c r="K29" s="14"/>
      <c r="L29" s="14"/>
      <c r="M29" s="14"/>
      <c r="N29" s="14"/>
      <c r="O29" s="14"/>
      <c r="P29" s="14"/>
      <c r="Q29" s="14"/>
      <c r="R29" s="14"/>
      <c r="S29" s="14"/>
      <c r="T29" s="14"/>
      <c r="U29" s="14"/>
      <c r="V29" s="14"/>
    </row>
    <row r="30" spans="2:22">
      <c r="B30" s="14"/>
      <c r="C30" s="14"/>
      <c r="D30" s="14"/>
      <c r="E30" s="14"/>
      <c r="F30" s="14"/>
      <c r="G30" s="14"/>
      <c r="H30" s="14"/>
      <c r="I30" s="14"/>
      <c r="J30" s="14"/>
      <c r="K30" s="14"/>
      <c r="L30" s="14"/>
      <c r="M30" s="14"/>
      <c r="N30" s="14"/>
      <c r="O30" s="14"/>
      <c r="P30" s="14"/>
      <c r="Q30" s="14"/>
      <c r="R30" s="14"/>
      <c r="S30" s="14"/>
      <c r="T30" s="14"/>
      <c r="U30" s="14"/>
      <c r="V30" s="14"/>
    </row>
    <row r="31" spans="2:22">
      <c r="B31" s="14"/>
      <c r="C31" s="14"/>
      <c r="D31" s="14"/>
      <c r="E31" s="447"/>
      <c r="F31" s="448"/>
      <c r="G31" s="448"/>
      <c r="H31" s="448"/>
      <c r="I31" s="448"/>
      <c r="J31" s="448"/>
      <c r="K31" s="448"/>
      <c r="L31" s="448"/>
      <c r="M31" s="448"/>
      <c r="N31" s="448"/>
      <c r="O31" s="448"/>
      <c r="P31" s="448"/>
      <c r="Q31" s="448"/>
      <c r="R31" s="448"/>
      <c r="S31" s="448"/>
      <c r="T31" s="448"/>
      <c r="U31" s="449"/>
      <c r="V31" s="14"/>
    </row>
    <row r="32" spans="2:22">
      <c r="B32" s="14"/>
      <c r="C32" s="14"/>
      <c r="D32" s="14"/>
      <c r="E32" s="447" t="s">
        <v>25</v>
      </c>
      <c r="F32" s="449"/>
      <c r="G32" s="25"/>
      <c r="H32" s="447" t="s">
        <v>42</v>
      </c>
      <c r="I32" s="449"/>
      <c r="J32" s="25"/>
      <c r="K32" s="447" t="s">
        <v>27</v>
      </c>
      <c r="L32" s="449"/>
      <c r="M32" s="25"/>
      <c r="N32" s="447" t="s">
        <v>28</v>
      </c>
      <c r="O32" s="449"/>
      <c r="P32" s="25"/>
      <c r="Q32" s="447" t="s">
        <v>29</v>
      </c>
      <c r="R32" s="449"/>
      <c r="S32" s="25"/>
      <c r="T32" s="447" t="s">
        <v>30</v>
      </c>
      <c r="U32" s="449"/>
      <c r="V32" s="14"/>
    </row>
    <row r="33" spans="2:22" ht="21" customHeight="1">
      <c r="B33" s="14"/>
      <c r="C33" s="14"/>
      <c r="D33" s="14"/>
      <c r="E33" s="334" t="s">
        <v>88</v>
      </c>
      <c r="F33" s="334" t="s">
        <v>89</v>
      </c>
      <c r="G33" s="25"/>
      <c r="H33" s="334" t="s">
        <v>88</v>
      </c>
      <c r="I33" s="334" t="s">
        <v>89</v>
      </c>
      <c r="J33" s="25"/>
      <c r="K33" s="334" t="s">
        <v>88</v>
      </c>
      <c r="L33" s="334" t="s">
        <v>89</v>
      </c>
      <c r="M33" s="25"/>
      <c r="N33" s="334" t="s">
        <v>88</v>
      </c>
      <c r="O33" s="334" t="s">
        <v>89</v>
      </c>
      <c r="P33" s="25"/>
      <c r="Q33" s="334" t="s">
        <v>88</v>
      </c>
      <c r="R33" s="334" t="s">
        <v>89</v>
      </c>
      <c r="S33" s="25"/>
      <c r="T33" s="334" t="s">
        <v>88</v>
      </c>
      <c r="U33" s="334" t="s">
        <v>89</v>
      </c>
      <c r="V33" s="14"/>
    </row>
    <row r="34" spans="2:22" ht="30">
      <c r="B34" s="14"/>
      <c r="C34" s="27"/>
      <c r="D34" s="108" t="s">
        <v>90</v>
      </c>
      <c r="E34" s="58" t="s">
        <v>91</v>
      </c>
      <c r="F34" s="58" t="s">
        <v>91</v>
      </c>
      <c r="G34" s="84"/>
      <c r="H34" s="58" t="s">
        <v>91</v>
      </c>
      <c r="I34" s="58" t="s">
        <v>91</v>
      </c>
      <c r="J34" s="84"/>
      <c r="K34" s="58" t="s">
        <v>91</v>
      </c>
      <c r="L34" s="58" t="s">
        <v>91</v>
      </c>
      <c r="M34" s="84"/>
      <c r="N34" s="58" t="s">
        <v>91</v>
      </c>
      <c r="O34" s="58" t="s">
        <v>91</v>
      </c>
      <c r="P34" s="84"/>
      <c r="Q34" s="58" t="s">
        <v>91</v>
      </c>
      <c r="R34" s="58" t="s">
        <v>91</v>
      </c>
      <c r="S34" s="84"/>
      <c r="T34" s="58" t="s">
        <v>91</v>
      </c>
      <c r="U34" s="58" t="s">
        <v>91</v>
      </c>
      <c r="V34" s="14"/>
    </row>
    <row r="35" spans="2:22">
      <c r="B35" s="14"/>
      <c r="C35" s="6"/>
      <c r="D35" s="105"/>
      <c r="E35" s="194"/>
      <c r="F35" s="194"/>
      <c r="G35" s="228"/>
      <c r="H35" s="194"/>
      <c r="I35" s="194"/>
      <c r="J35" s="228"/>
      <c r="K35" s="194"/>
      <c r="L35" s="194"/>
      <c r="M35" s="228"/>
      <c r="N35" s="194"/>
      <c r="O35" s="194"/>
      <c r="P35" s="228"/>
      <c r="Q35" s="194"/>
      <c r="R35" s="194"/>
      <c r="S35" s="228"/>
      <c r="T35" s="194"/>
      <c r="U35" s="194"/>
      <c r="V35" s="14"/>
    </row>
    <row r="36" spans="2:22">
      <c r="B36" s="14"/>
      <c r="C36" s="321" t="s">
        <v>92</v>
      </c>
      <c r="D36" s="106"/>
      <c r="E36" s="194"/>
      <c r="F36" s="194"/>
      <c r="G36" s="228"/>
      <c r="H36" s="194"/>
      <c r="I36" s="194"/>
      <c r="J36" s="228"/>
      <c r="K36" s="194"/>
      <c r="L36" s="194"/>
      <c r="M36" s="228"/>
      <c r="N36" s="194"/>
      <c r="O36" s="194"/>
      <c r="P36" s="228"/>
      <c r="Q36" s="194"/>
      <c r="R36" s="194"/>
      <c r="S36" s="228"/>
      <c r="T36" s="194"/>
      <c r="U36" s="194"/>
      <c r="V36" s="14"/>
    </row>
    <row r="37" spans="2:22">
      <c r="B37" s="14"/>
      <c r="C37" s="176" t="s">
        <v>325</v>
      </c>
      <c r="D37" s="147" cm="1">
        <f t="array" ref="D37">_xlfn.IFS('Overview and dashboard'!V13="Poor",0.1,'Overview and dashboard'!V13="Moderate",0.16,'Overview and dashboard'!V13="Good",0.25)</f>
        <v>0.16</v>
      </c>
      <c r="E37" s="194"/>
      <c r="F37" s="194">
        <f>$D$37*$E$91</f>
        <v>0</v>
      </c>
      <c r="G37" s="228"/>
      <c r="H37" s="194"/>
      <c r="I37" s="194">
        <f>$D$37*$E$92</f>
        <v>0</v>
      </c>
      <c r="J37" s="228"/>
      <c r="K37" s="194"/>
      <c r="L37" s="194"/>
      <c r="M37" s="228"/>
      <c r="N37" s="194"/>
      <c r="O37" s="194"/>
      <c r="P37" s="228"/>
      <c r="Q37" s="194"/>
      <c r="R37" s="194"/>
      <c r="S37" s="228"/>
      <c r="T37" s="194"/>
      <c r="U37" s="194"/>
      <c r="V37" s="14"/>
    </row>
    <row r="38" spans="2:22">
      <c r="B38" s="14"/>
      <c r="C38" s="176" t="s">
        <v>326</v>
      </c>
      <c r="D38" s="147" cm="1">
        <f t="array" ref="D38">_xlfn.IFS('Overview and dashboard'!V13="Poor",0.05,'Overview and dashboard'!V13="Moderate",0.1,'Overview and dashboard'!V13="Good",0.15)</f>
        <v>0.1</v>
      </c>
      <c r="E38" s="194"/>
      <c r="F38" s="194"/>
      <c r="G38" s="228"/>
      <c r="H38" s="194"/>
      <c r="I38" s="194"/>
      <c r="J38" s="228"/>
      <c r="K38" s="194"/>
      <c r="L38" s="194">
        <f>$D$38*$E$93</f>
        <v>0</v>
      </c>
      <c r="M38" s="228"/>
      <c r="N38" s="194"/>
      <c r="O38" s="194">
        <f>$D$38*$E$94</f>
        <v>0</v>
      </c>
      <c r="P38" s="228"/>
      <c r="Q38" s="194"/>
      <c r="R38" s="194">
        <f>$D$38*$E$95</f>
        <v>0</v>
      </c>
      <c r="S38" s="228"/>
      <c r="T38" s="194"/>
      <c r="U38" s="194"/>
      <c r="V38" s="14"/>
    </row>
    <row r="39" spans="2:22">
      <c r="B39" s="14"/>
      <c r="C39" s="176" t="s">
        <v>632</v>
      </c>
      <c r="D39" s="147" cm="1">
        <f t="array" ref="D39">_xlfn.IFS('Overview and dashboard'!S13="Poor",0,'Overview and dashboard'!S13="Moderate",0.01,'Overview and dashboard'!S13="Good",0.02)</f>
        <v>0.01</v>
      </c>
      <c r="E39" s="194"/>
      <c r="F39" s="194"/>
      <c r="G39" s="228"/>
      <c r="H39" s="194"/>
      <c r="I39" s="194"/>
      <c r="J39" s="228"/>
      <c r="K39" s="194"/>
      <c r="L39" s="194"/>
      <c r="M39" s="228"/>
      <c r="N39" s="194"/>
      <c r="O39" s="194"/>
      <c r="P39" s="228"/>
      <c r="Q39" s="194"/>
      <c r="R39" s="194"/>
      <c r="S39" s="228"/>
      <c r="T39" s="194"/>
      <c r="U39" s="194">
        <f>T47+$D$39*$E$96</f>
        <v>0</v>
      </c>
      <c r="V39" s="14"/>
    </row>
    <row r="40" spans="2:22">
      <c r="B40" s="14"/>
      <c r="C40" s="176"/>
      <c r="D40" s="105"/>
      <c r="E40" s="194"/>
      <c r="F40" s="194"/>
      <c r="G40" s="228"/>
      <c r="H40" s="194"/>
      <c r="I40" s="194"/>
      <c r="J40" s="228"/>
      <c r="K40" s="194"/>
      <c r="L40" s="194"/>
      <c r="M40" s="228"/>
      <c r="N40" s="194"/>
      <c r="O40" s="194"/>
      <c r="P40" s="228"/>
      <c r="Q40" s="194"/>
      <c r="R40" s="194"/>
      <c r="S40" s="228"/>
      <c r="T40" s="194"/>
      <c r="U40" s="194"/>
      <c r="V40" s="14"/>
    </row>
    <row r="41" spans="2:22">
      <c r="B41" s="14"/>
      <c r="C41" s="321" t="s">
        <v>94</v>
      </c>
      <c r="D41" s="106"/>
      <c r="E41" s="194"/>
      <c r="F41" s="194"/>
      <c r="G41" s="228"/>
      <c r="H41" s="194"/>
      <c r="I41" s="194"/>
      <c r="J41" s="228"/>
      <c r="K41" s="194"/>
      <c r="L41" s="194"/>
      <c r="M41" s="228"/>
      <c r="N41" s="194"/>
      <c r="O41" s="194"/>
      <c r="P41" s="228"/>
      <c r="Q41" s="194"/>
      <c r="R41" s="194"/>
      <c r="S41" s="228"/>
      <c r="T41" s="194"/>
      <c r="U41" s="194"/>
      <c r="V41" s="14"/>
    </row>
    <row r="42" spans="2:22">
      <c r="B42" s="14"/>
      <c r="C42" s="176" t="s">
        <v>327</v>
      </c>
      <c r="D42" s="105"/>
      <c r="E42" s="194"/>
      <c r="F42" s="194"/>
      <c r="G42" s="228"/>
      <c r="H42" s="194"/>
      <c r="I42" s="194"/>
      <c r="J42" s="228"/>
      <c r="K42" s="194"/>
      <c r="L42" s="194"/>
      <c r="M42" s="228"/>
      <c r="N42" s="194"/>
      <c r="O42" s="194"/>
      <c r="P42" s="228"/>
      <c r="Q42" s="194"/>
      <c r="R42" s="194"/>
      <c r="S42" s="228"/>
      <c r="T42" s="194"/>
      <c r="U42" s="194"/>
      <c r="V42" s="14"/>
    </row>
    <row r="43" spans="2:22">
      <c r="B43" s="14"/>
      <c r="C43" s="176" t="s">
        <v>328</v>
      </c>
      <c r="D43" s="105"/>
      <c r="E43" s="194"/>
      <c r="F43" s="194"/>
      <c r="G43" s="228"/>
      <c r="H43" s="194"/>
      <c r="I43" s="194"/>
      <c r="J43" s="228"/>
      <c r="K43" s="194"/>
      <c r="L43" s="194"/>
      <c r="M43" s="228"/>
      <c r="N43" s="194"/>
      <c r="O43" s="194"/>
      <c r="P43" s="228"/>
      <c r="Q43" s="194"/>
      <c r="R43" s="194"/>
      <c r="S43" s="228"/>
      <c r="T43" s="194"/>
      <c r="U43" s="194"/>
      <c r="V43" s="14"/>
    </row>
    <row r="44" spans="2:22" ht="15.75" thickBot="1">
      <c r="B44" s="14"/>
      <c r="C44" s="176"/>
      <c r="D44" s="105"/>
      <c r="E44" s="194"/>
      <c r="F44" s="194"/>
      <c r="G44" s="228"/>
      <c r="H44" s="194"/>
      <c r="I44" s="194"/>
      <c r="J44" s="228"/>
      <c r="K44" s="194"/>
      <c r="L44" s="194"/>
      <c r="M44" s="228"/>
      <c r="N44" s="194"/>
      <c r="O44" s="194"/>
      <c r="P44" s="228"/>
      <c r="Q44" s="194"/>
      <c r="R44" s="194"/>
      <c r="S44" s="228"/>
      <c r="T44" s="194"/>
      <c r="U44" s="194"/>
      <c r="V44" s="14"/>
    </row>
    <row r="45" spans="2:22" ht="16.5" thickTop="1" thickBot="1">
      <c r="B45" s="14"/>
      <c r="C45" s="24" t="s">
        <v>68</v>
      </c>
      <c r="D45" s="107"/>
      <c r="E45" s="195">
        <f>SUM(E35:E44)</f>
        <v>0</v>
      </c>
      <c r="F45" s="195">
        <f>SUM(F35:F44)</f>
        <v>0</v>
      </c>
      <c r="G45" s="196"/>
      <c r="H45" s="195">
        <f>SUM(H35:H44)</f>
        <v>0</v>
      </c>
      <c r="I45" s="195">
        <f>SUM(I35:I44)</f>
        <v>0</v>
      </c>
      <c r="J45" s="196"/>
      <c r="K45" s="195">
        <f>SUM(K35:K44)</f>
        <v>0</v>
      </c>
      <c r="L45" s="195">
        <f>SUM(L35:L44)</f>
        <v>0</v>
      </c>
      <c r="M45" s="196"/>
      <c r="N45" s="195">
        <f>SUM(N35:N44)</f>
        <v>0</v>
      </c>
      <c r="O45" s="195">
        <f>SUM(O35:O44)</f>
        <v>0</v>
      </c>
      <c r="P45" s="196"/>
      <c r="Q45" s="195">
        <f>SUM(Q35:Q44)</f>
        <v>0</v>
      </c>
      <c r="R45" s="195">
        <f>SUM(R35:R44)</f>
        <v>0</v>
      </c>
      <c r="S45" s="196"/>
      <c r="T45" s="195">
        <f>SUM(T35:T44)</f>
        <v>0</v>
      </c>
      <c r="U45" s="195">
        <f>SUM(U35:U44)</f>
        <v>0</v>
      </c>
      <c r="V45" s="14"/>
    </row>
    <row r="46" spans="2:22" ht="15.75" thickTop="1">
      <c r="B46" s="14"/>
      <c r="C46" s="326" t="s">
        <v>95</v>
      </c>
      <c r="D46" s="106"/>
      <c r="E46" s="194"/>
      <c r="F46" s="194"/>
      <c r="G46" s="228"/>
      <c r="H46" s="194"/>
      <c r="I46" s="194"/>
      <c r="J46" s="228"/>
      <c r="K46" s="194"/>
      <c r="L46" s="194"/>
      <c r="M46" s="228"/>
      <c r="N46" s="194"/>
      <c r="O46" s="194"/>
      <c r="P46" s="228"/>
      <c r="Q46" s="194"/>
      <c r="R46" s="194"/>
      <c r="S46" s="228"/>
      <c r="T46" s="194"/>
      <c r="U46" s="194"/>
      <c r="V46" s="14"/>
    </row>
    <row r="47" spans="2:22">
      <c r="B47" s="14"/>
      <c r="C47" s="229" t="s">
        <v>229</v>
      </c>
      <c r="D47" s="105"/>
      <c r="E47" s="194">
        <f>H91</f>
        <v>0</v>
      </c>
      <c r="F47" s="194"/>
      <c r="G47" s="228"/>
      <c r="H47" s="194">
        <f>H92</f>
        <v>0</v>
      </c>
      <c r="I47" s="194"/>
      <c r="J47" s="228"/>
      <c r="K47" s="194">
        <f>H93</f>
        <v>0</v>
      </c>
      <c r="L47" s="194"/>
      <c r="M47" s="228"/>
      <c r="N47" s="194">
        <f>H94</f>
        <v>0</v>
      </c>
      <c r="O47" s="194"/>
      <c r="P47" s="228"/>
      <c r="Q47" s="194">
        <f>H95</f>
        <v>0</v>
      </c>
      <c r="R47" s="194"/>
      <c r="S47" s="228"/>
      <c r="T47" s="194">
        <f>H96</f>
        <v>0</v>
      </c>
      <c r="U47" s="194"/>
      <c r="V47" s="14"/>
    </row>
    <row r="48" spans="2:22" ht="30">
      <c r="B48" s="14"/>
      <c r="C48" s="229" t="s">
        <v>96</v>
      </c>
      <c r="D48" s="241">
        <f>E149</f>
        <v>7.4999999999999997E-2</v>
      </c>
      <c r="E48" s="194">
        <f>$E$91*$E$148*($E$149)</f>
        <v>0</v>
      </c>
      <c r="F48" s="194"/>
      <c r="G48" s="228"/>
      <c r="H48" s="194">
        <f>$E$92*$E$148*($E$149)</f>
        <v>0</v>
      </c>
      <c r="I48" s="194"/>
      <c r="J48" s="228"/>
      <c r="K48" s="194"/>
      <c r="L48" s="194"/>
      <c r="M48" s="228"/>
      <c r="N48" s="194"/>
      <c r="O48" s="194"/>
      <c r="P48" s="228"/>
      <c r="Q48" s="194"/>
      <c r="R48" s="194"/>
      <c r="S48" s="228"/>
      <c r="T48" s="194"/>
      <c r="U48" s="194"/>
      <c r="V48" s="14"/>
    </row>
    <row r="49" spans="2:22">
      <c r="B49" s="14"/>
      <c r="C49" s="229"/>
      <c r="D49" s="105"/>
      <c r="E49" s="194"/>
      <c r="F49" s="194"/>
      <c r="G49" s="228"/>
      <c r="H49" s="194"/>
      <c r="I49" s="194"/>
      <c r="J49" s="228"/>
      <c r="K49" s="194"/>
      <c r="L49" s="194"/>
      <c r="M49" s="228"/>
      <c r="N49" s="194"/>
      <c r="O49" s="194"/>
      <c r="P49" s="228"/>
      <c r="Q49" s="194"/>
      <c r="R49" s="194"/>
      <c r="S49" s="228"/>
      <c r="T49" s="194"/>
      <c r="U49" s="194"/>
      <c r="V49" s="14"/>
    </row>
    <row r="50" spans="2:22">
      <c r="B50" s="14"/>
      <c r="C50" s="326" t="s">
        <v>97</v>
      </c>
      <c r="D50" s="106"/>
      <c r="E50" s="194"/>
      <c r="F50" s="194"/>
      <c r="G50" s="228"/>
      <c r="H50" s="194"/>
      <c r="I50" s="194"/>
      <c r="J50" s="228"/>
      <c r="K50" s="194"/>
      <c r="L50" s="194"/>
      <c r="M50" s="228"/>
      <c r="N50" s="194"/>
      <c r="O50" s="194"/>
      <c r="P50" s="228"/>
      <c r="Q50" s="194"/>
      <c r="R50" s="194"/>
      <c r="S50" s="228"/>
      <c r="T50" s="194"/>
      <c r="U50" s="194"/>
      <c r="V50" s="14"/>
    </row>
    <row r="51" spans="2:22">
      <c r="B51" s="14"/>
      <c r="C51" s="326" t="s">
        <v>98</v>
      </c>
      <c r="D51" s="106"/>
      <c r="E51" s="194"/>
      <c r="F51" s="194"/>
      <c r="G51" s="228"/>
      <c r="H51" s="194"/>
      <c r="I51" s="194"/>
      <c r="J51" s="228"/>
      <c r="K51" s="194"/>
      <c r="L51" s="194"/>
      <c r="M51" s="228"/>
      <c r="N51" s="194"/>
      <c r="O51" s="194"/>
      <c r="P51" s="228"/>
      <c r="Q51" s="194"/>
      <c r="R51" s="194"/>
      <c r="S51" s="228"/>
      <c r="T51" s="194"/>
      <c r="U51" s="194"/>
      <c r="V51" s="14"/>
    </row>
    <row r="52" spans="2:22" ht="30">
      <c r="B52" s="14"/>
      <c r="C52" s="229" t="str">
        <f>C110</f>
        <v>Average annual shelterbelt establishment costs over 25 year period</v>
      </c>
      <c r="D52" s="105"/>
      <c r="E52" s="194">
        <f>$E$110</f>
        <v>37.24</v>
      </c>
      <c r="F52" s="194"/>
      <c r="G52" s="228"/>
      <c r="H52" s="194">
        <f>$E$110</f>
        <v>37.24</v>
      </c>
      <c r="I52" s="194"/>
      <c r="J52" s="228"/>
      <c r="K52" s="194">
        <f>$E$110</f>
        <v>37.24</v>
      </c>
      <c r="L52" s="194"/>
      <c r="M52" s="228"/>
      <c r="N52" s="194">
        <f>$E$110</f>
        <v>37.24</v>
      </c>
      <c r="O52" s="194"/>
      <c r="P52" s="228"/>
      <c r="Q52" s="194">
        <f>$E$110</f>
        <v>37.24</v>
      </c>
      <c r="R52" s="194"/>
      <c r="S52" s="228"/>
      <c r="T52" s="194">
        <f>$E$110</f>
        <v>37.24</v>
      </c>
      <c r="U52" s="194"/>
      <c r="V52" s="14"/>
    </row>
    <row r="53" spans="2:22">
      <c r="B53" s="14"/>
      <c r="C53" s="229"/>
      <c r="D53" s="105"/>
      <c r="E53" s="194"/>
      <c r="F53" s="194"/>
      <c r="G53" s="228"/>
      <c r="H53" s="194"/>
      <c r="I53" s="194"/>
      <c r="J53" s="228"/>
      <c r="K53" s="194"/>
      <c r="L53" s="194"/>
      <c r="M53" s="228"/>
      <c r="N53" s="194"/>
      <c r="O53" s="194"/>
      <c r="P53" s="228"/>
      <c r="Q53" s="194"/>
      <c r="R53" s="194"/>
      <c r="S53" s="228"/>
      <c r="T53" s="194"/>
      <c r="U53" s="194"/>
      <c r="V53" s="14"/>
    </row>
    <row r="54" spans="2:22">
      <c r="B54" s="14"/>
      <c r="C54" s="326" t="s">
        <v>101</v>
      </c>
      <c r="D54" s="106"/>
      <c r="E54" s="194"/>
      <c r="F54" s="194"/>
      <c r="G54" s="228"/>
      <c r="H54" s="194"/>
      <c r="I54" s="194"/>
      <c r="J54" s="228"/>
      <c r="K54" s="194"/>
      <c r="L54" s="194"/>
      <c r="M54" s="228"/>
      <c r="N54" s="194"/>
      <c r="O54" s="194"/>
      <c r="P54" s="228"/>
      <c r="Q54" s="194"/>
      <c r="R54" s="194"/>
      <c r="S54" s="228"/>
      <c r="T54" s="194"/>
      <c r="U54" s="194"/>
      <c r="V54" s="14"/>
    </row>
    <row r="55" spans="2:22" ht="30">
      <c r="B55" s="14"/>
      <c r="C55" s="229" t="str">
        <f>C119</f>
        <v>Average annual shelterbelt maintenance costs over 25 year period</v>
      </c>
      <c r="D55" s="105"/>
      <c r="E55" s="194">
        <f>$E$119</f>
        <v>15.648000000000001</v>
      </c>
      <c r="F55" s="194"/>
      <c r="G55" s="228"/>
      <c r="H55" s="194">
        <f>$E$119</f>
        <v>15.648000000000001</v>
      </c>
      <c r="I55" s="194"/>
      <c r="J55" s="228"/>
      <c r="K55" s="194">
        <f>$E$119</f>
        <v>15.648000000000001</v>
      </c>
      <c r="L55" s="194"/>
      <c r="M55" s="228"/>
      <c r="N55" s="194">
        <f>$E$119</f>
        <v>15.648000000000001</v>
      </c>
      <c r="O55" s="194"/>
      <c r="P55" s="228"/>
      <c r="Q55" s="194">
        <f>$E$119</f>
        <v>15.648000000000001</v>
      </c>
      <c r="R55" s="194"/>
      <c r="S55" s="228"/>
      <c r="T55" s="194">
        <f>$E$119</f>
        <v>15.648000000000001</v>
      </c>
      <c r="U55" s="194"/>
      <c r="V55" s="14"/>
    </row>
    <row r="56" spans="2:22" ht="15.75" thickBot="1">
      <c r="B56" s="14"/>
      <c r="C56" s="229"/>
      <c r="D56" s="105"/>
      <c r="E56" s="194"/>
      <c r="F56" s="194"/>
      <c r="G56" s="228"/>
      <c r="H56" s="194"/>
      <c r="I56" s="194"/>
      <c r="J56" s="228"/>
      <c r="K56" s="194"/>
      <c r="L56" s="194"/>
      <c r="M56" s="228"/>
      <c r="N56" s="194"/>
      <c r="O56" s="194"/>
      <c r="P56" s="228"/>
      <c r="Q56" s="194"/>
      <c r="R56" s="194"/>
      <c r="S56" s="228"/>
      <c r="T56" s="194"/>
      <c r="U56" s="194"/>
      <c r="V56" s="14"/>
    </row>
    <row r="57" spans="2:22" ht="16.5" thickTop="1" thickBot="1">
      <c r="B57" s="14"/>
      <c r="C57" s="24" t="s">
        <v>68</v>
      </c>
      <c r="D57" s="91"/>
      <c r="E57" s="195">
        <f>SUM(E47:E56)</f>
        <v>52.888000000000005</v>
      </c>
      <c r="F57" s="195">
        <f>SUM(F47:F56)</f>
        <v>0</v>
      </c>
      <c r="G57" s="196"/>
      <c r="H57" s="195">
        <f>SUM(H47:H56)</f>
        <v>52.888000000000005</v>
      </c>
      <c r="I57" s="195">
        <f>SUM(I47:I56)</f>
        <v>0</v>
      </c>
      <c r="J57" s="196"/>
      <c r="K57" s="195">
        <f>SUM(K47:K56)</f>
        <v>52.888000000000005</v>
      </c>
      <c r="L57" s="195">
        <f>SUM(L47:L56)</f>
        <v>0</v>
      </c>
      <c r="M57" s="196"/>
      <c r="N57" s="195">
        <f>SUM(N47:N56)</f>
        <v>52.888000000000005</v>
      </c>
      <c r="O57" s="195">
        <f>SUM(O47:O56)</f>
        <v>0</v>
      </c>
      <c r="P57" s="196"/>
      <c r="Q57" s="195">
        <f>SUM(Q47:Q56)</f>
        <v>52.888000000000005</v>
      </c>
      <c r="R57" s="195">
        <f>SUM(R47:R56)</f>
        <v>0</v>
      </c>
      <c r="S57" s="196"/>
      <c r="T57" s="195">
        <f>SUM(T47:T56)</f>
        <v>52.888000000000005</v>
      </c>
      <c r="U57" s="195">
        <f>SUM(U47:U56)</f>
        <v>0</v>
      </c>
      <c r="V57" s="14"/>
    </row>
    <row r="58" spans="2:22" ht="15.75" thickTop="1">
      <c r="B58" s="14"/>
      <c r="C58" s="317"/>
      <c r="D58" s="318"/>
      <c r="E58" s="261"/>
      <c r="F58" s="261"/>
      <c r="G58" s="269"/>
      <c r="H58" s="261"/>
      <c r="I58" s="261"/>
      <c r="J58" s="269"/>
      <c r="K58" s="261"/>
      <c r="L58" s="261"/>
      <c r="M58" s="269"/>
      <c r="N58" s="261"/>
      <c r="O58" s="261"/>
      <c r="P58" s="269"/>
      <c r="Q58" s="261"/>
      <c r="R58" s="261"/>
      <c r="S58" s="269"/>
      <c r="T58" s="261"/>
      <c r="U58" s="261"/>
      <c r="V58" s="14"/>
    </row>
    <row r="59" spans="2:22" ht="16.5" customHeight="1">
      <c r="B59" s="14"/>
      <c r="C59" s="19" t="s">
        <v>75</v>
      </c>
      <c r="D59" s="22"/>
      <c r="E59" s="197">
        <f>-E45-E57</f>
        <v>-52.888000000000005</v>
      </c>
      <c r="F59" s="197">
        <f>F45+F57</f>
        <v>0</v>
      </c>
      <c r="G59" s="198"/>
      <c r="H59" s="197">
        <f>-H45-H57</f>
        <v>-52.888000000000005</v>
      </c>
      <c r="I59" s="197">
        <f>I45+I57</f>
        <v>0</v>
      </c>
      <c r="J59" s="198"/>
      <c r="K59" s="197">
        <f>-K45-K57</f>
        <v>-52.888000000000005</v>
      </c>
      <c r="L59" s="197">
        <f>L45+L57</f>
        <v>0</v>
      </c>
      <c r="M59" s="198"/>
      <c r="N59" s="197">
        <f>-N45-N57</f>
        <v>-52.888000000000005</v>
      </c>
      <c r="O59" s="197">
        <f>O45+O57</f>
        <v>0</v>
      </c>
      <c r="P59" s="198"/>
      <c r="Q59" s="197">
        <f>-Q45-Q57</f>
        <v>-52.888000000000005</v>
      </c>
      <c r="R59" s="197">
        <f>R45+R57</f>
        <v>0</v>
      </c>
      <c r="S59" s="198"/>
      <c r="T59" s="197">
        <f>-T45-T57</f>
        <v>-52.888000000000005</v>
      </c>
      <c r="U59" s="197">
        <f>U45+U57</f>
        <v>0</v>
      </c>
      <c r="V59" s="14"/>
    </row>
    <row r="60" spans="2:22">
      <c r="B60" s="14"/>
      <c r="C60" s="2"/>
      <c r="D60" s="1"/>
      <c r="E60" s="199"/>
      <c r="F60" s="199"/>
      <c r="G60" s="200"/>
      <c r="H60" s="199"/>
      <c r="I60" s="199"/>
      <c r="J60" s="200"/>
      <c r="K60" s="199"/>
      <c r="L60" s="199"/>
      <c r="M60" s="200"/>
      <c r="N60" s="199"/>
      <c r="O60" s="199"/>
      <c r="P60" s="200"/>
      <c r="Q60" s="199"/>
      <c r="R60" s="199"/>
      <c r="S60" s="200"/>
      <c r="T60" s="199"/>
      <c r="U60" s="199"/>
      <c r="V60" s="14"/>
    </row>
    <row r="61" spans="2:22">
      <c r="B61" s="14"/>
      <c r="C61" s="29" t="s">
        <v>102</v>
      </c>
      <c r="D61" s="92"/>
      <c r="E61" s="201"/>
      <c r="F61" s="201">
        <f>SUM(E59:F59)</f>
        <v>-52.888000000000005</v>
      </c>
      <c r="G61" s="200"/>
      <c r="H61" s="201"/>
      <c r="I61" s="201">
        <f>SUM(H59:I59)</f>
        <v>-52.888000000000005</v>
      </c>
      <c r="J61" s="200"/>
      <c r="K61" s="201"/>
      <c r="L61" s="201">
        <f>SUM(K59:L59)</f>
        <v>-52.888000000000005</v>
      </c>
      <c r="M61" s="200"/>
      <c r="N61" s="201"/>
      <c r="O61" s="201">
        <f>SUM(N59:O59)</f>
        <v>-52.888000000000005</v>
      </c>
      <c r="P61" s="200"/>
      <c r="Q61" s="201"/>
      <c r="R61" s="201">
        <f>SUM(Q59:R59)</f>
        <v>-52.888000000000005</v>
      </c>
      <c r="S61" s="200"/>
      <c r="T61" s="203"/>
      <c r="U61" s="201">
        <f>SUM(T59:U59)</f>
        <v>-52.888000000000005</v>
      </c>
      <c r="V61" s="14"/>
    </row>
    <row r="62" spans="2:22">
      <c r="B62" s="14"/>
      <c r="C62" s="321" t="s">
        <v>103</v>
      </c>
      <c r="D62" s="105"/>
      <c r="E62" s="202"/>
      <c r="F62" s="202"/>
      <c r="G62" s="323"/>
      <c r="H62" s="202"/>
      <c r="I62" s="202"/>
      <c r="J62" s="323"/>
      <c r="K62" s="202"/>
      <c r="L62" s="202"/>
      <c r="M62" s="323"/>
      <c r="N62" s="202"/>
      <c r="O62" s="202"/>
      <c r="P62" s="323"/>
      <c r="Q62" s="202"/>
      <c r="R62" s="202"/>
      <c r="S62" s="323"/>
      <c r="T62" s="202"/>
      <c r="U62" s="202"/>
      <c r="V62" s="14"/>
    </row>
    <row r="63" spans="2:22">
      <c r="B63" s="14"/>
      <c r="C63" s="321"/>
      <c r="D63" s="105"/>
      <c r="E63" s="253"/>
      <c r="F63" s="253"/>
      <c r="G63" s="323"/>
      <c r="H63" s="253"/>
      <c r="I63" s="253"/>
      <c r="J63" s="323"/>
      <c r="K63" s="253"/>
      <c r="L63" s="253"/>
      <c r="M63" s="323"/>
      <c r="N63" s="253"/>
      <c r="O63" s="253"/>
      <c r="P63" s="323"/>
      <c r="Q63" s="253"/>
      <c r="R63" s="253"/>
      <c r="S63" s="323"/>
      <c r="T63" s="253"/>
      <c r="U63" s="253"/>
      <c r="V63" s="14"/>
    </row>
    <row r="64" spans="2:22">
      <c r="B64" s="14"/>
      <c r="C64" s="321"/>
      <c r="D64" s="105"/>
      <c r="E64" s="253"/>
      <c r="F64" s="253"/>
      <c r="G64" s="323"/>
      <c r="H64" s="253"/>
      <c r="I64" s="253"/>
      <c r="J64" s="323"/>
      <c r="K64" s="253"/>
      <c r="L64" s="253"/>
      <c r="M64" s="323"/>
      <c r="N64" s="253"/>
      <c r="O64" s="253"/>
      <c r="P64" s="323"/>
      <c r="Q64" s="253"/>
      <c r="R64" s="253"/>
      <c r="S64" s="323"/>
      <c r="T64" s="253"/>
      <c r="U64" s="253"/>
      <c r="V64" s="14"/>
    </row>
    <row r="65" spans="2:22">
      <c r="B65" s="14"/>
      <c r="C65" s="176" t="s">
        <v>104</v>
      </c>
      <c r="D65" s="105"/>
      <c r="E65" s="253"/>
      <c r="F65" s="260" cm="1">
        <f t="array" ref="F65">_xlfn.IFS('Overview and dashboard'!$V$9="No support",0,'Overview and dashboard'!$V$9="Current support schemes",IFERROR(VLOOKUP('Overview and dashboard'!$F$6,$C$154:$H$166,6,0),0),'Overview and dashboard'!$V$9="Income foregone",E57)</f>
        <v>0</v>
      </c>
      <c r="G65" s="269"/>
      <c r="H65" s="253"/>
      <c r="I65" s="260" cm="1">
        <f t="array" ref="I65">_xlfn.IFS('Overview and dashboard'!$V$9="No support",0,'Overview and dashboard'!$V$9="Current support schemes",IFERROR(VLOOKUP('Overview and dashboard'!$F$6,$C$154:$H$166,6,0),0),'Overview and dashboard'!$V$9="Income foregone",H57)</f>
        <v>0</v>
      </c>
      <c r="J65" s="269"/>
      <c r="K65" s="253"/>
      <c r="L65" s="260" cm="1">
        <f t="array" ref="L65">_xlfn.IFS('Overview and dashboard'!$V$9="No support",0,'Overview and dashboard'!$V$9="Current support schemes",IFERROR(VLOOKUP('Overview and dashboard'!$F$6,$C$154:$H$166,6,0),0),'Overview and dashboard'!$V$9="Income foregone",K57)</f>
        <v>0</v>
      </c>
      <c r="M65" s="269"/>
      <c r="N65" s="253"/>
      <c r="O65" s="260" cm="1">
        <f t="array" ref="O65">_xlfn.IFS('Overview and dashboard'!$V$9="No support",0,'Overview and dashboard'!$V$9="Current support schemes",IFERROR(VLOOKUP('Overview and dashboard'!$F$6,$C$154:$H$166,6,0),0),'Overview and dashboard'!$V$9="Income foregone",N57)</f>
        <v>0</v>
      </c>
      <c r="P65" s="269"/>
      <c r="Q65" s="253"/>
      <c r="R65" s="260" cm="1">
        <f t="array" ref="R65">_xlfn.IFS('Overview and dashboard'!$V$9="No support",0,'Overview and dashboard'!$V$9="Current support schemes",IFERROR(VLOOKUP('Overview and dashboard'!$F$6,$C$154:$H$166,6,0),0),'Overview and dashboard'!$V$9="Income foregone",Q57)</f>
        <v>0</v>
      </c>
      <c r="S65" s="269"/>
      <c r="T65" s="253"/>
      <c r="U65" s="260" cm="1">
        <f t="array" ref="U65">_xlfn.IFS('Overview and dashboard'!$V$9="No support",0,'Overview and dashboard'!$V$9="Current support schemes",IFERROR(VLOOKUP('Overview and dashboard'!$F$6,$C$154:$H$166,6,0),0),'Overview and dashboard'!$V$9="Income foregone",T57)</f>
        <v>0</v>
      </c>
      <c r="V65" s="14"/>
    </row>
    <row r="66" spans="2:22" ht="15.75" thickBot="1">
      <c r="B66" s="14"/>
      <c r="C66" s="317" t="s">
        <v>105</v>
      </c>
      <c r="D66" s="327">
        <f>E134</f>
        <v>0</v>
      </c>
      <c r="E66" s="325"/>
      <c r="F66" s="254">
        <f>$E$135+$E$142</f>
        <v>0</v>
      </c>
      <c r="G66" s="269"/>
      <c r="H66" s="325"/>
      <c r="I66" s="254">
        <f>$E$135+$E$142</f>
        <v>0</v>
      </c>
      <c r="J66" s="269"/>
      <c r="K66" s="325"/>
      <c r="L66" s="254">
        <f>$E$135+$E$142</f>
        <v>0</v>
      </c>
      <c r="M66" s="269"/>
      <c r="N66" s="325"/>
      <c r="O66" s="254">
        <f>$E$135+$E$142</f>
        <v>0</v>
      </c>
      <c r="P66" s="269"/>
      <c r="Q66" s="325"/>
      <c r="R66" s="254">
        <f>$E$135+$E$142</f>
        <v>0</v>
      </c>
      <c r="S66" s="269"/>
      <c r="T66" s="325"/>
      <c r="U66" s="254">
        <f>$E$135+$E$142</f>
        <v>0</v>
      </c>
      <c r="V66" s="14"/>
    </row>
    <row r="67" spans="2:22" ht="16.5" thickTop="1" thickBot="1">
      <c r="B67" s="14"/>
      <c r="C67" s="24" t="s">
        <v>68</v>
      </c>
      <c r="D67" s="107"/>
      <c r="E67" s="195">
        <f>SUM(E62:E66)</f>
        <v>0</v>
      </c>
      <c r="F67" s="195">
        <f>SUM(F62:F66)</f>
        <v>0</v>
      </c>
      <c r="G67" s="196"/>
      <c r="H67" s="195">
        <f>SUM(H62:H66)</f>
        <v>0</v>
      </c>
      <c r="I67" s="195">
        <f>SUM(I62:I66)</f>
        <v>0</v>
      </c>
      <c r="J67" s="196"/>
      <c r="K67" s="195">
        <f>SUM(K62:K66)</f>
        <v>0</v>
      </c>
      <c r="L67" s="195">
        <f>SUM(L62:L66)</f>
        <v>0</v>
      </c>
      <c r="M67" s="196"/>
      <c r="N67" s="195">
        <f>SUM(N62:N66)</f>
        <v>0</v>
      </c>
      <c r="O67" s="195">
        <f>SUM(O62:O66)</f>
        <v>0</v>
      </c>
      <c r="P67" s="196"/>
      <c r="Q67" s="195">
        <f>SUM(Q62:Q66)</f>
        <v>0</v>
      </c>
      <c r="R67" s="195">
        <f>SUM(R62:R66)</f>
        <v>0</v>
      </c>
      <c r="S67" s="196"/>
      <c r="T67" s="195">
        <f>SUM(T62:T66)</f>
        <v>0</v>
      </c>
      <c r="U67" s="195">
        <f>SUM(U62:U66)</f>
        <v>0</v>
      </c>
      <c r="V67" s="14"/>
    </row>
    <row r="68" spans="2:22" ht="15.75" thickTop="1">
      <c r="B68" s="14"/>
      <c r="C68" s="29" t="s">
        <v>106</v>
      </c>
      <c r="D68" s="92"/>
      <c r="E68" s="201"/>
      <c r="F68" s="201">
        <f>F61+F67</f>
        <v>-52.888000000000005</v>
      </c>
      <c r="G68" s="200"/>
      <c r="H68" s="201"/>
      <c r="I68" s="201">
        <f>I61+I67</f>
        <v>-52.888000000000005</v>
      </c>
      <c r="J68" s="200"/>
      <c r="K68" s="201"/>
      <c r="L68" s="201">
        <f>L61+L67</f>
        <v>-52.888000000000005</v>
      </c>
      <c r="M68" s="200"/>
      <c r="N68" s="201"/>
      <c r="O68" s="201">
        <f>O61+O67</f>
        <v>-52.888000000000005</v>
      </c>
      <c r="P68" s="200"/>
      <c r="Q68" s="201"/>
      <c r="R68" s="201">
        <f>R61+R67</f>
        <v>-52.888000000000005</v>
      </c>
      <c r="S68" s="200"/>
      <c r="T68" s="201"/>
      <c r="U68" s="201">
        <f>U61+U67</f>
        <v>-52.888000000000005</v>
      </c>
      <c r="V68" s="14"/>
    </row>
    <row r="69" spans="2:22">
      <c r="B69" s="14"/>
      <c r="C69" s="14"/>
      <c r="D69" s="14"/>
      <c r="E69" s="14"/>
      <c r="F69" s="14"/>
      <c r="G69" s="14"/>
      <c r="H69" s="14"/>
      <c r="I69" s="14"/>
      <c r="J69" s="14"/>
      <c r="K69" s="14"/>
      <c r="L69" s="14"/>
      <c r="M69" s="14"/>
      <c r="N69" s="14"/>
      <c r="O69" s="14"/>
      <c r="P69" s="14"/>
      <c r="Q69" s="14"/>
      <c r="R69" s="14"/>
      <c r="S69" s="14"/>
      <c r="T69" s="14"/>
      <c r="U69" s="14"/>
      <c r="V69" s="14"/>
    </row>
    <row r="70" spans="2:22" ht="15.75" thickBot="1"/>
    <row r="71" spans="2:22" ht="59.45" customHeight="1">
      <c r="C71" s="451" t="s">
        <v>329</v>
      </c>
      <c r="D71" s="452"/>
      <c r="E71" s="453"/>
    </row>
    <row r="72" spans="2:22" ht="45">
      <c r="C72" s="78" t="s">
        <v>326</v>
      </c>
      <c r="D72" s="59" t="s">
        <v>637</v>
      </c>
      <c r="E72" s="79" t="s">
        <v>638</v>
      </c>
    </row>
    <row r="73" spans="2:22">
      <c r="C73" s="75" t="s">
        <v>330</v>
      </c>
      <c r="D73" s="96">
        <v>0.05</v>
      </c>
      <c r="E73" s="99">
        <v>0</v>
      </c>
    </row>
    <row r="74" spans="2:22" ht="30">
      <c r="C74" s="75" t="s">
        <v>331</v>
      </c>
      <c r="D74" s="96">
        <v>0.1</v>
      </c>
      <c r="E74" s="99">
        <v>0.01</v>
      </c>
    </row>
    <row r="75" spans="2:22" ht="15.75" thickBot="1">
      <c r="C75" s="77" t="s">
        <v>332</v>
      </c>
      <c r="D75" s="340">
        <v>0.15</v>
      </c>
      <c r="E75" s="341">
        <v>0.02</v>
      </c>
    </row>
    <row r="76" spans="2:22" ht="15.75" thickBot="1">
      <c r="C76" s="28"/>
      <c r="D76" s="28"/>
      <c r="E76" s="95"/>
    </row>
    <row r="77" spans="2:22">
      <c r="C77" s="460" t="s">
        <v>333</v>
      </c>
      <c r="D77" s="461"/>
      <c r="E77" s="461"/>
      <c r="F77" s="461"/>
      <c r="G77" s="461"/>
      <c r="H77" s="462"/>
    </row>
    <row r="78" spans="2:22" ht="45">
      <c r="C78" s="78" t="s">
        <v>334</v>
      </c>
      <c r="D78" s="59" t="s">
        <v>335</v>
      </c>
      <c r="E78" s="300" t="s">
        <v>336</v>
      </c>
      <c r="F78" s="59" t="s">
        <v>337</v>
      </c>
      <c r="G78" s="40"/>
      <c r="H78" s="79" t="s">
        <v>338</v>
      </c>
    </row>
    <row r="79" spans="2:22" ht="30">
      <c r="C79" s="75" t="s">
        <v>339</v>
      </c>
      <c r="D79" s="96" t="s">
        <v>340</v>
      </c>
      <c r="E79" s="70" t="s">
        <v>341</v>
      </c>
      <c r="F79" s="100">
        <v>0.1</v>
      </c>
      <c r="G79" s="40"/>
      <c r="H79" s="99">
        <v>0.1</v>
      </c>
    </row>
    <row r="80" spans="2:22" ht="105">
      <c r="C80" s="75" t="s">
        <v>342</v>
      </c>
      <c r="D80" s="70" t="s">
        <v>343</v>
      </c>
      <c r="E80" s="96" t="s">
        <v>344</v>
      </c>
      <c r="F80" s="70" t="s">
        <v>345</v>
      </c>
      <c r="G80" s="40"/>
      <c r="H80" s="99">
        <v>0.14000000000000001</v>
      </c>
    </row>
    <row r="81" spans="3:9">
      <c r="C81" s="75" t="s">
        <v>346</v>
      </c>
      <c r="D81" s="70" t="s">
        <v>343</v>
      </c>
      <c r="E81" s="96" t="s">
        <v>25</v>
      </c>
      <c r="F81" s="101">
        <v>0.19700000000000001</v>
      </c>
      <c r="G81" s="40"/>
      <c r="H81" s="99">
        <v>0.19700000000000001</v>
      </c>
    </row>
    <row r="82" spans="3:9">
      <c r="C82" s="75" t="s">
        <v>347</v>
      </c>
      <c r="D82" s="96" t="s">
        <v>348</v>
      </c>
      <c r="E82" s="70"/>
      <c r="F82" s="70" t="s">
        <v>349</v>
      </c>
      <c r="G82" s="40"/>
      <c r="H82" s="99">
        <v>0.25</v>
      </c>
    </row>
    <row r="83" spans="3:9" ht="30">
      <c r="C83" s="75" t="s">
        <v>350</v>
      </c>
      <c r="D83" s="96" t="s">
        <v>351</v>
      </c>
      <c r="E83" s="98" t="s">
        <v>352</v>
      </c>
      <c r="F83" s="70" t="s">
        <v>353</v>
      </c>
      <c r="G83" s="40"/>
      <c r="H83" s="99">
        <v>0.109</v>
      </c>
    </row>
    <row r="84" spans="3:9" ht="30">
      <c r="C84" s="75" t="s">
        <v>354</v>
      </c>
      <c r="D84" s="96" t="s">
        <v>343</v>
      </c>
      <c r="E84" s="98" t="s">
        <v>355</v>
      </c>
      <c r="F84" s="70" t="s">
        <v>356</v>
      </c>
      <c r="G84" s="40"/>
      <c r="H84" s="99">
        <v>0.17</v>
      </c>
    </row>
    <row r="85" spans="3:9">
      <c r="C85" s="78" t="s">
        <v>357</v>
      </c>
      <c r="D85" s="59"/>
      <c r="E85" s="59"/>
      <c r="F85" s="59"/>
      <c r="G85" s="40"/>
      <c r="H85" s="102">
        <v>0.1</v>
      </c>
    </row>
    <row r="86" spans="3:9">
      <c r="C86" s="78" t="s">
        <v>358</v>
      </c>
      <c r="D86" s="59"/>
      <c r="E86" s="59"/>
      <c r="F86" s="59"/>
      <c r="G86" s="40"/>
      <c r="H86" s="103">
        <f>AVERAGE(H79:H84)</f>
        <v>0.161</v>
      </c>
    </row>
    <row r="87" spans="3:9" ht="15.75" thickBot="1">
      <c r="C87" s="61" t="s">
        <v>359</v>
      </c>
      <c r="D87" s="80"/>
      <c r="E87" s="80"/>
      <c r="F87" s="80"/>
      <c r="G87" s="66"/>
      <c r="H87" s="104">
        <v>0.25</v>
      </c>
    </row>
    <row r="88" spans="3:9" ht="15.75" thickBot="1">
      <c r="C88" s="109"/>
      <c r="D88" s="109"/>
      <c r="E88" s="109"/>
      <c r="F88" s="109"/>
      <c r="G88" s="109"/>
      <c r="H88" s="109"/>
      <c r="I88" s="110"/>
    </row>
    <row r="89" spans="3:9">
      <c r="C89" s="460" t="s">
        <v>360</v>
      </c>
      <c r="D89" s="461"/>
      <c r="E89" s="461"/>
      <c r="F89" s="461"/>
      <c r="G89" s="461"/>
      <c r="H89" s="462"/>
      <c r="I89" s="110"/>
    </row>
    <row r="90" spans="3:9" ht="75">
      <c r="C90" s="78" t="s">
        <v>124</v>
      </c>
      <c r="D90" s="59" t="s">
        <v>125</v>
      </c>
      <c r="E90" s="59" t="s">
        <v>126</v>
      </c>
      <c r="F90" s="59" t="s">
        <v>361</v>
      </c>
      <c r="G90" s="40"/>
      <c r="H90" s="79" t="s">
        <v>128</v>
      </c>
    </row>
    <row r="91" spans="3:9">
      <c r="C91" s="47" t="s">
        <v>129</v>
      </c>
      <c r="D91" s="40">
        <f>Baseline!$D$24</f>
        <v>0</v>
      </c>
      <c r="E91" s="118">
        <f>Baseline!D23</f>
        <v>0</v>
      </c>
      <c r="F91" s="62">
        <v>0.1</v>
      </c>
      <c r="G91" s="40"/>
      <c r="H91" s="71">
        <f t="shared" ref="H91:H96" si="0">D91*F91</f>
        <v>0</v>
      </c>
    </row>
    <row r="92" spans="3:9">
      <c r="C92" s="47" t="s">
        <v>42</v>
      </c>
      <c r="D92" s="40">
        <f>Baseline!$E$24</f>
        <v>0</v>
      </c>
      <c r="E92" s="118">
        <f>Baseline!E23</f>
        <v>0</v>
      </c>
      <c r="F92" s="62">
        <v>0.1</v>
      </c>
      <c r="G92" s="40"/>
      <c r="H92" s="71">
        <f t="shared" si="0"/>
        <v>0</v>
      </c>
    </row>
    <row r="93" spans="3:9">
      <c r="C93" s="47" t="s">
        <v>27</v>
      </c>
      <c r="D93" s="40">
        <f>Baseline!$F$24</f>
        <v>0</v>
      </c>
      <c r="E93" s="118">
        <f>Baseline!F23</f>
        <v>0</v>
      </c>
      <c r="F93" s="62">
        <v>0.1</v>
      </c>
      <c r="G93" s="40"/>
      <c r="H93" s="71">
        <f t="shared" si="0"/>
        <v>0</v>
      </c>
    </row>
    <row r="94" spans="3:9">
      <c r="C94" s="47" t="s">
        <v>28</v>
      </c>
      <c r="D94" s="40">
        <f>Baseline!$G$24</f>
        <v>0</v>
      </c>
      <c r="E94" s="118">
        <f>Baseline!G23</f>
        <v>0</v>
      </c>
      <c r="F94" s="62">
        <v>0.1</v>
      </c>
      <c r="G94" s="40"/>
      <c r="H94" s="71">
        <f t="shared" si="0"/>
        <v>0</v>
      </c>
    </row>
    <row r="95" spans="3:9">
      <c r="C95" s="47" t="s">
        <v>29</v>
      </c>
      <c r="D95" s="40">
        <f>Baseline!$H$24</f>
        <v>0</v>
      </c>
      <c r="E95" s="118">
        <f>Baseline!H23</f>
        <v>0</v>
      </c>
      <c r="F95" s="62">
        <v>0.1</v>
      </c>
      <c r="G95" s="40"/>
      <c r="H95" s="71">
        <f t="shared" si="0"/>
        <v>0</v>
      </c>
    </row>
    <row r="96" spans="3:9" ht="15.75" thickBot="1">
      <c r="C96" s="65" t="s">
        <v>30</v>
      </c>
      <c r="D96" s="66">
        <f>Baseline!$I$24</f>
        <v>0</v>
      </c>
      <c r="E96" s="180">
        <f>Baseline!I23</f>
        <v>0</v>
      </c>
      <c r="F96" s="72">
        <v>0.1</v>
      </c>
      <c r="G96" s="66"/>
      <c r="H96" s="68">
        <f t="shared" si="0"/>
        <v>0</v>
      </c>
    </row>
    <row r="97" spans="3:5" ht="15.75" thickBot="1"/>
    <row r="98" spans="3:5">
      <c r="C98" s="460" t="s">
        <v>362</v>
      </c>
      <c r="D98" s="461"/>
      <c r="E98" s="462"/>
    </row>
    <row r="99" spans="3:5">
      <c r="C99" s="78" t="s">
        <v>131</v>
      </c>
      <c r="D99" s="63" t="s">
        <v>109</v>
      </c>
      <c r="E99" s="71" t="s">
        <v>132</v>
      </c>
    </row>
    <row r="100" spans="3:5">
      <c r="C100" s="75" t="s">
        <v>133</v>
      </c>
      <c r="D100" s="40" t="s">
        <v>64</v>
      </c>
      <c r="E100" s="48">
        <v>80</v>
      </c>
    </row>
    <row r="101" spans="3:5">
      <c r="C101" s="75" t="s">
        <v>134</v>
      </c>
      <c r="D101" s="40" t="s">
        <v>64</v>
      </c>
      <c r="E101" s="48">
        <v>170</v>
      </c>
    </row>
    <row r="102" spans="3:5">
      <c r="C102" s="75" t="s">
        <v>135</v>
      </c>
      <c r="D102" s="40" t="s">
        <v>64</v>
      </c>
      <c r="E102" s="48">
        <v>100</v>
      </c>
    </row>
    <row r="103" spans="3:5">
      <c r="C103" s="75" t="s">
        <v>248</v>
      </c>
      <c r="D103" s="40" t="s">
        <v>137</v>
      </c>
      <c r="E103" s="48">
        <v>1.6</v>
      </c>
    </row>
    <row r="104" spans="3:5">
      <c r="C104" s="75" t="s">
        <v>363</v>
      </c>
      <c r="D104" s="40" t="s">
        <v>137</v>
      </c>
      <c r="E104" s="48">
        <v>1.6</v>
      </c>
    </row>
    <row r="105" spans="3:5">
      <c r="C105" s="75" t="s">
        <v>364</v>
      </c>
      <c r="D105" s="40" t="s">
        <v>114</v>
      </c>
      <c r="E105" s="90">
        <v>1600</v>
      </c>
    </row>
    <row r="106" spans="3:5" ht="30">
      <c r="C106" s="75" t="s">
        <v>138</v>
      </c>
      <c r="D106" s="40" t="s">
        <v>137</v>
      </c>
      <c r="E106" s="48">
        <v>4</v>
      </c>
    </row>
    <row r="107" spans="3:5">
      <c r="C107" s="75" t="s">
        <v>365</v>
      </c>
      <c r="D107" s="40"/>
      <c r="E107" s="93">
        <f>SUM(E100:E102)+SUM(E106,E103)*E105</f>
        <v>9310</v>
      </c>
    </row>
    <row r="108" spans="3:5">
      <c r="C108" s="75" t="s">
        <v>366</v>
      </c>
      <c r="D108" s="40" t="s">
        <v>140</v>
      </c>
      <c r="E108" s="64">
        <v>0.1</v>
      </c>
    </row>
    <row r="109" spans="3:5">
      <c r="C109" s="85" t="s">
        <v>142</v>
      </c>
      <c r="D109" s="53"/>
      <c r="E109" s="89">
        <f>E107*E108</f>
        <v>931</v>
      </c>
    </row>
    <row r="110" spans="3:5" ht="15.75" thickBot="1">
      <c r="C110" s="473" t="s">
        <v>367</v>
      </c>
      <c r="D110" s="474"/>
      <c r="E110" s="50">
        <f>E109*0.04</f>
        <v>37.24</v>
      </c>
    </row>
    <row r="111" spans="3:5" ht="15.75" thickBot="1"/>
    <row r="112" spans="3:5">
      <c r="C112" s="460" t="s">
        <v>368</v>
      </c>
      <c r="D112" s="461"/>
      <c r="E112" s="462"/>
    </row>
    <row r="113" spans="3:5">
      <c r="C113" s="78" t="s">
        <v>101</v>
      </c>
      <c r="D113" s="63" t="s">
        <v>109</v>
      </c>
      <c r="E113" s="71" t="s">
        <v>110</v>
      </c>
    </row>
    <row r="114" spans="3:5" ht="30">
      <c r="C114" s="75" t="s">
        <v>253</v>
      </c>
      <c r="D114" s="40" t="s">
        <v>64</v>
      </c>
      <c r="E114" s="48">
        <f>E107*0.2</f>
        <v>1862</v>
      </c>
    </row>
    <row r="115" spans="3:5" ht="30">
      <c r="C115" s="75" t="s">
        <v>153</v>
      </c>
      <c r="D115" s="40" t="s">
        <v>64</v>
      </c>
      <c r="E115" s="48">
        <v>800</v>
      </c>
    </row>
    <row r="116" spans="3:5">
      <c r="C116" s="75" t="s">
        <v>154</v>
      </c>
      <c r="D116" s="40" t="s">
        <v>155</v>
      </c>
      <c r="E116" s="48">
        <f>50*25</f>
        <v>1250</v>
      </c>
    </row>
    <row r="117" spans="3:5" ht="30">
      <c r="C117" s="75" t="s">
        <v>369</v>
      </c>
      <c r="D117" s="40" t="s">
        <v>122</v>
      </c>
      <c r="E117" s="48">
        <f>SUM(E114:E116)</f>
        <v>3912</v>
      </c>
    </row>
    <row r="118" spans="3:5" ht="15" customHeight="1">
      <c r="C118" s="75" t="s">
        <v>370</v>
      </c>
      <c r="D118" s="40" t="s">
        <v>122</v>
      </c>
      <c r="E118" s="48">
        <f>E117*E108</f>
        <v>391.20000000000005</v>
      </c>
    </row>
    <row r="119" spans="3:5" ht="15.75" thickBot="1">
      <c r="C119" s="473" t="s">
        <v>371</v>
      </c>
      <c r="D119" s="474"/>
      <c r="E119" s="50">
        <f>E118*0.04</f>
        <v>15.648000000000001</v>
      </c>
    </row>
    <row r="120" spans="3:5" ht="15.75" thickBot="1"/>
    <row r="121" spans="3:5">
      <c r="C121" s="460" t="s">
        <v>372</v>
      </c>
      <c r="D121" s="461"/>
      <c r="E121" s="462"/>
    </row>
    <row r="122" spans="3:5">
      <c r="C122" s="78" t="s">
        <v>256</v>
      </c>
      <c r="D122" s="63" t="s">
        <v>257</v>
      </c>
      <c r="E122" s="71" t="s">
        <v>167</v>
      </c>
    </row>
    <row r="123" spans="3:5">
      <c r="C123" s="75" t="s">
        <v>258</v>
      </c>
      <c r="D123" s="40">
        <v>10</v>
      </c>
      <c r="E123" s="149" t="s">
        <v>170</v>
      </c>
    </row>
    <row r="124" spans="3:5">
      <c r="C124" s="75" t="s">
        <v>258</v>
      </c>
      <c r="D124" s="148">
        <v>18</v>
      </c>
      <c r="E124" s="60" t="s">
        <v>259</v>
      </c>
    </row>
    <row r="125" spans="3:5">
      <c r="C125" s="75" t="s">
        <v>260</v>
      </c>
      <c r="D125" s="40">
        <v>24</v>
      </c>
      <c r="E125" s="60" t="s">
        <v>261</v>
      </c>
    </row>
    <row r="126" spans="3:5">
      <c r="C126" s="75" t="s">
        <v>258</v>
      </c>
      <c r="D126" s="40">
        <v>33</v>
      </c>
      <c r="E126" s="60" t="s">
        <v>262</v>
      </c>
    </row>
    <row r="127" spans="3:5">
      <c r="C127" s="75" t="s">
        <v>258</v>
      </c>
      <c r="D127" s="40">
        <v>4.4000000000000004</v>
      </c>
      <c r="E127" s="60" t="s">
        <v>263</v>
      </c>
    </row>
    <row r="128" spans="3:5" ht="30.75" thickBot="1">
      <c r="C128" s="77" t="s">
        <v>264</v>
      </c>
      <c r="D128" s="66">
        <f>AVERAGE(D123:D127)</f>
        <v>17.880000000000003</v>
      </c>
      <c r="E128" s="67"/>
    </row>
    <row r="129" spans="3:6" ht="15.75" thickBot="1"/>
    <row r="130" spans="3:6">
      <c r="C130" s="460" t="s">
        <v>373</v>
      </c>
      <c r="D130" s="461"/>
      <c r="E130" s="461"/>
      <c r="F130" s="462"/>
    </row>
    <row r="131" spans="3:6">
      <c r="C131" s="94" t="s">
        <v>374</v>
      </c>
      <c r="D131" s="63" t="s">
        <v>109</v>
      </c>
      <c r="E131" s="63" t="s">
        <v>110</v>
      </c>
      <c r="F131" s="71" t="s">
        <v>167</v>
      </c>
    </row>
    <row r="132" spans="3:6">
      <c r="C132" s="75" t="s">
        <v>168</v>
      </c>
      <c r="D132" s="40" t="s">
        <v>169</v>
      </c>
      <c r="E132" s="40">
        <v>10</v>
      </c>
      <c r="F132" s="149" t="s">
        <v>170</v>
      </c>
    </row>
    <row r="133" spans="3:6">
      <c r="C133" s="47" t="s">
        <v>293</v>
      </c>
      <c r="D133" s="97" t="s">
        <v>140</v>
      </c>
      <c r="E133" s="97">
        <f>F91/2</f>
        <v>0.05</v>
      </c>
      <c r="F133" s="60"/>
    </row>
    <row r="134" spans="3:6">
      <c r="C134" s="47" t="s">
        <v>171</v>
      </c>
      <c r="D134" s="40" t="s">
        <v>172</v>
      </c>
      <c r="E134" s="40" cm="1">
        <f t="array" ref="E134:F134">'Overview and dashboard'!V11:W11</f>
        <v>0</v>
      </c>
      <c r="F134" s="60">
        <v>0</v>
      </c>
    </row>
    <row r="135" spans="3:6" ht="15.75" thickBot="1">
      <c r="C135" s="65" t="s">
        <v>173</v>
      </c>
      <c r="D135" s="66" t="s">
        <v>122</v>
      </c>
      <c r="E135" s="66">
        <f>E132*E133*E134</f>
        <v>0</v>
      </c>
      <c r="F135" s="67"/>
    </row>
    <row r="136" spans="3:6" ht="15.75" thickBot="1"/>
    <row r="137" spans="3:6">
      <c r="C137" s="460" t="s">
        <v>375</v>
      </c>
      <c r="D137" s="461"/>
      <c r="E137" s="461"/>
      <c r="F137" s="462"/>
    </row>
    <row r="138" spans="3:6">
      <c r="C138" s="94" t="s">
        <v>376</v>
      </c>
      <c r="D138" s="63" t="s">
        <v>109</v>
      </c>
      <c r="E138" s="63" t="s">
        <v>110</v>
      </c>
      <c r="F138" s="71" t="s">
        <v>167</v>
      </c>
    </row>
    <row r="139" spans="3:6">
      <c r="C139" s="75" t="s">
        <v>168</v>
      </c>
      <c r="D139" s="40" t="s">
        <v>169</v>
      </c>
      <c r="E139" s="40">
        <f>D128</f>
        <v>17.880000000000003</v>
      </c>
      <c r="F139" s="149" t="s">
        <v>170</v>
      </c>
    </row>
    <row r="140" spans="3:6">
      <c r="C140" s="47" t="s">
        <v>304</v>
      </c>
      <c r="D140" s="97" t="s">
        <v>140</v>
      </c>
      <c r="E140" s="97">
        <f>F91/2</f>
        <v>0.05</v>
      </c>
      <c r="F140" s="60"/>
    </row>
    <row r="141" spans="3:6">
      <c r="C141" s="47" t="s">
        <v>171</v>
      </c>
      <c r="D141" s="40" t="s">
        <v>172</v>
      </c>
      <c r="E141" s="40" cm="1">
        <f t="array" ref="E141:F141">'Overview and dashboard'!V11:W11</f>
        <v>0</v>
      </c>
      <c r="F141" s="60">
        <v>0</v>
      </c>
    </row>
    <row r="142" spans="3:6" ht="15.75" thickBot="1">
      <c r="C142" s="65" t="s">
        <v>173</v>
      </c>
      <c r="D142" s="66" t="s">
        <v>122</v>
      </c>
      <c r="E142" s="66">
        <f>E139*E140*E141</f>
        <v>0</v>
      </c>
      <c r="F142" s="67"/>
    </row>
    <row r="143" spans="3:6" ht="15.75" thickBot="1"/>
    <row r="144" spans="3:6">
      <c r="C144" s="460" t="s">
        <v>377</v>
      </c>
      <c r="D144" s="461"/>
      <c r="E144" s="461"/>
      <c r="F144" s="462"/>
    </row>
    <row r="145" spans="3:8">
      <c r="C145" s="94" t="s">
        <v>378</v>
      </c>
      <c r="D145" s="63" t="s">
        <v>109</v>
      </c>
      <c r="E145" s="63" t="s">
        <v>110</v>
      </c>
      <c r="F145" s="71" t="s">
        <v>167</v>
      </c>
    </row>
    <row r="146" spans="3:8">
      <c r="C146" s="47" t="s">
        <v>181</v>
      </c>
      <c r="D146" s="40" t="s">
        <v>182</v>
      </c>
      <c r="E146" s="40">
        <v>20</v>
      </c>
      <c r="F146" s="60"/>
    </row>
    <row r="147" spans="3:8">
      <c r="C147" s="47" t="s">
        <v>183</v>
      </c>
      <c r="D147" s="40" t="s">
        <v>182</v>
      </c>
      <c r="E147" s="40">
        <v>100</v>
      </c>
      <c r="F147" s="60"/>
    </row>
    <row r="148" spans="3:8">
      <c r="C148" s="47" t="s">
        <v>184</v>
      </c>
      <c r="D148" s="40" t="s">
        <v>185</v>
      </c>
      <c r="E148" s="40">
        <f>((E146*2)*E147)/10000</f>
        <v>0.4</v>
      </c>
      <c r="F148" s="60"/>
    </row>
    <row r="149" spans="3:8" ht="15.75" thickBot="1">
      <c r="C149" s="65" t="s">
        <v>186</v>
      </c>
      <c r="D149" s="66" t="s">
        <v>140</v>
      </c>
      <c r="E149" s="226" cm="1">
        <f t="array" ref="E149">_xlfn.IFS('Overview and dashboard'!V13="Poor",15%,'Overview and dashboard'!V13="Moderate",7.5%,'Overview and dashboard'!V13="Good",0%)</f>
        <v>7.4999999999999997E-2</v>
      </c>
      <c r="F149" s="227" t="s">
        <v>177</v>
      </c>
    </row>
    <row r="150" spans="3:8" ht="15.75" thickBot="1"/>
    <row r="151" spans="3:8">
      <c r="C151" s="460" t="s">
        <v>379</v>
      </c>
      <c r="D151" s="461"/>
      <c r="E151" s="461"/>
      <c r="F151" s="461"/>
      <c r="G151" s="461"/>
      <c r="H151" s="462"/>
    </row>
    <row r="152" spans="3:8">
      <c r="C152" s="470" t="s">
        <v>188</v>
      </c>
      <c r="D152" s="471"/>
      <c r="E152" s="471"/>
      <c r="F152" s="471"/>
      <c r="G152" s="471"/>
      <c r="H152" s="472"/>
    </row>
    <row r="153" spans="3:8" ht="120">
      <c r="C153" s="235"/>
      <c r="D153" s="59" t="s">
        <v>109</v>
      </c>
      <c r="E153" s="59" t="s">
        <v>270</v>
      </c>
      <c r="F153" s="59" t="s">
        <v>190</v>
      </c>
      <c r="G153" s="70"/>
      <c r="H153" s="79" t="s">
        <v>191</v>
      </c>
    </row>
    <row r="154" spans="3:8">
      <c r="C154" s="470" t="s">
        <v>1</v>
      </c>
      <c r="D154" s="471"/>
      <c r="E154" s="471"/>
      <c r="F154" s="471"/>
      <c r="G154" s="40"/>
      <c r="H154" s="60">
        <f>F157/25</f>
        <v>42</v>
      </c>
    </row>
    <row r="155" spans="3:8">
      <c r="C155" s="94" t="s">
        <v>193</v>
      </c>
      <c r="D155" s="40" t="s">
        <v>137</v>
      </c>
      <c r="E155" s="40">
        <v>1.28</v>
      </c>
      <c r="F155" s="40">
        <f>E155*$E$105*$E$108</f>
        <v>204.8</v>
      </c>
      <c r="G155" s="40"/>
      <c r="H155" s="60"/>
    </row>
    <row r="156" spans="3:8">
      <c r="C156" s="94" t="s">
        <v>194</v>
      </c>
      <c r="D156" s="40" t="s">
        <v>137</v>
      </c>
      <c r="E156" s="40">
        <v>4</v>
      </c>
      <c r="F156" s="40">
        <f>E156*$E$105*$E$108</f>
        <v>640</v>
      </c>
      <c r="G156" s="40"/>
      <c r="H156" s="60"/>
    </row>
    <row r="157" spans="3:8">
      <c r="C157" s="94" t="s">
        <v>380</v>
      </c>
      <c r="D157" s="40" t="s">
        <v>64</v>
      </c>
      <c r="E157" s="111">
        <v>10500</v>
      </c>
      <c r="F157" s="111">
        <f>10500*E108</f>
        <v>1050</v>
      </c>
      <c r="G157" s="40"/>
      <c r="H157" s="60"/>
    </row>
    <row r="158" spans="3:8">
      <c r="C158" s="470" t="s">
        <v>195</v>
      </c>
      <c r="D158" s="471"/>
      <c r="E158" s="471"/>
      <c r="F158" s="471"/>
      <c r="G158" s="40"/>
      <c r="H158" s="60">
        <f>F159/25</f>
        <v>19.2</v>
      </c>
    </row>
    <row r="159" spans="3:8">
      <c r="C159" s="94" t="s">
        <v>196</v>
      </c>
      <c r="D159" s="40" t="s">
        <v>137</v>
      </c>
      <c r="E159" s="40">
        <v>3</v>
      </c>
      <c r="F159" s="40">
        <f>E159*(E105*E108)</f>
        <v>480</v>
      </c>
      <c r="G159" s="40"/>
      <c r="H159" s="60"/>
    </row>
    <row r="160" spans="3:8">
      <c r="C160" s="94" t="s">
        <v>381</v>
      </c>
      <c r="D160" s="40" t="s">
        <v>64</v>
      </c>
      <c r="E160" s="40">
        <v>4400</v>
      </c>
      <c r="F160" s="40">
        <f>E160*E108</f>
        <v>440</v>
      </c>
      <c r="G160" s="40"/>
      <c r="H160" s="60"/>
    </row>
    <row r="161" spans="3:12">
      <c r="C161" s="94"/>
      <c r="D161" s="40"/>
      <c r="E161" s="40"/>
      <c r="F161" s="40"/>
      <c r="G161" s="40"/>
      <c r="H161" s="60"/>
    </row>
    <row r="162" spans="3:12">
      <c r="C162" s="470" t="s">
        <v>199</v>
      </c>
      <c r="D162" s="471"/>
      <c r="E162" s="471"/>
      <c r="F162" s="471"/>
      <c r="G162" s="40"/>
      <c r="H162" s="60">
        <f>F164/25</f>
        <v>17.28</v>
      </c>
    </row>
    <row r="163" spans="3:12">
      <c r="C163" s="78" t="s">
        <v>200</v>
      </c>
      <c r="D163" s="70" t="s">
        <v>64</v>
      </c>
      <c r="E163" s="70">
        <v>345.27</v>
      </c>
      <c r="F163" s="70">
        <f>E163*E108</f>
        <v>34.527000000000001</v>
      </c>
      <c r="G163" s="40"/>
      <c r="H163" s="60"/>
    </row>
    <row r="164" spans="3:12">
      <c r="C164" s="78" t="s">
        <v>382</v>
      </c>
      <c r="D164" s="70" t="s">
        <v>64</v>
      </c>
      <c r="E164" s="70">
        <v>4320</v>
      </c>
      <c r="F164" s="40">
        <f>E164*E108</f>
        <v>432</v>
      </c>
      <c r="G164" s="40"/>
      <c r="H164" s="60"/>
    </row>
    <row r="165" spans="3:12">
      <c r="C165" s="470" t="s">
        <v>203</v>
      </c>
      <c r="D165" s="471"/>
      <c r="E165" s="471"/>
      <c r="F165" s="471"/>
      <c r="G165" s="40"/>
      <c r="H165" s="60">
        <f>F166/25</f>
        <v>16.027600000000003</v>
      </c>
    </row>
    <row r="166" spans="3:12" ht="15.75" thickBot="1">
      <c r="C166" s="61" t="s">
        <v>383</v>
      </c>
      <c r="D166" s="234" t="s">
        <v>64</v>
      </c>
      <c r="E166" s="239">
        <v>4006.9</v>
      </c>
      <c r="F166" s="239">
        <f>E166*E108</f>
        <v>400.69000000000005</v>
      </c>
      <c r="G166" s="66"/>
      <c r="H166" s="67"/>
    </row>
    <row r="167" spans="3:12" ht="15.75" thickBot="1"/>
    <row r="168" spans="3:12">
      <c r="C168" s="460" t="s">
        <v>384</v>
      </c>
      <c r="D168" s="461"/>
      <c r="E168" s="461"/>
      <c r="F168" s="461"/>
      <c r="G168" s="461"/>
      <c r="H168" s="461"/>
      <c r="I168" s="461"/>
      <c r="J168" s="461"/>
      <c r="K168" s="461"/>
      <c r="L168" s="462"/>
    </row>
    <row r="169" spans="3:12">
      <c r="C169" s="78" t="s">
        <v>207</v>
      </c>
      <c r="D169" s="40"/>
      <c r="E169" s="40"/>
      <c r="F169" s="40"/>
      <c r="G169" s="40"/>
      <c r="H169" s="40"/>
      <c r="I169" s="40"/>
      <c r="J169" s="40"/>
      <c r="K169" s="40"/>
      <c r="L169" s="60"/>
    </row>
    <row r="170" spans="3:12" ht="90">
      <c r="C170" s="47" t="s">
        <v>63</v>
      </c>
      <c r="D170" s="70" t="s">
        <v>208</v>
      </c>
      <c r="E170" s="70" t="s">
        <v>209</v>
      </c>
      <c r="F170" s="70" t="s">
        <v>210</v>
      </c>
      <c r="G170" s="40"/>
      <c r="H170" s="70" t="s">
        <v>96</v>
      </c>
      <c r="I170" s="70" t="s">
        <v>385</v>
      </c>
      <c r="J170" s="40"/>
      <c r="K170" s="70" t="s">
        <v>386</v>
      </c>
      <c r="L170" s="76" t="s">
        <v>211</v>
      </c>
    </row>
    <row r="171" spans="3:12">
      <c r="C171" s="47" t="s">
        <v>25</v>
      </c>
      <c r="D171" s="132">
        <f>H171+$E$52+$E$55+F171</f>
        <v>147.28053702607684</v>
      </c>
      <c r="E171" s="40" cm="1">
        <f t="array" ref="E171">_xlfn.IFS('Overview and dashboard'!$V$9="No support",0,'Overview and dashboard'!$V$9="Current support schemes",IFERROR(VLOOKUP("England",$C$154:$H$166,6,0),""),'Overview and dashboard'!$V$9="Income foregone",D171)</f>
        <v>0</v>
      </c>
      <c r="F171" s="40">
        <f>'6 - Lists'!J$25*$F$91</f>
        <v>66.406481483414254</v>
      </c>
      <c r="G171" s="40"/>
      <c r="H171" s="40">
        <f>'6 - Lists'!I$25*$E$148*($E$149)</f>
        <v>27.986055542662594</v>
      </c>
      <c r="I171" s="40">
        <f>'6 - Lists'!I$25*$D$37</f>
        <v>149.25896289420049</v>
      </c>
      <c r="J171" s="40"/>
      <c r="K171" s="40"/>
      <c r="L171" s="135">
        <f>$F$68-$F$65+$E$47+$E$48-$F$37-$F$38+E171-F171-H171+I171</f>
        <v>1.9784258681236508</v>
      </c>
    </row>
    <row r="172" spans="3:12">
      <c r="C172" s="47" t="s">
        <v>26</v>
      </c>
      <c r="D172" s="132">
        <f>H172+$H$52+$H$55+F172</f>
        <v>1282.6368388658948</v>
      </c>
      <c r="E172" s="40" cm="1">
        <f t="array" ref="E172">_xlfn.IFS('Overview and dashboard'!$V$9="No support",0,'Overview and dashboard'!$V$9="Current support schemes",IFERROR(VLOOKUP("England",$C$154:$H$166,6,0),""),'Overview and dashboard'!$V$9="Income foregone",D172)</f>
        <v>0</v>
      </c>
      <c r="F172" s="40">
        <f>'6 - Lists'!N$25*$F$92</f>
        <v>809.40504195007338</v>
      </c>
      <c r="G172" s="40"/>
      <c r="H172" s="40">
        <f>'6 - Lists'!M$25*$E$148*($E$149)</f>
        <v>420.34379691582131</v>
      </c>
      <c r="I172" s="40">
        <f>'6 - Lists'!M$25*$D$37</f>
        <v>2241.833583551047</v>
      </c>
      <c r="J172" s="40"/>
      <c r="K172" s="40"/>
      <c r="L172" s="135">
        <f>$I$68-$I$65+$H$47+$H$48-$I$37-$I$38+E172-F172-H172+I172+K172</f>
        <v>959.19674468515223</v>
      </c>
    </row>
    <row r="173" spans="3:12">
      <c r="C173" s="47" t="s">
        <v>27</v>
      </c>
      <c r="D173" s="132">
        <f>H173+$K$52+$K$55+F173</f>
        <v>207.99763516870345</v>
      </c>
      <c r="E173" s="40" cm="1">
        <f t="array" ref="E173">_xlfn.IFS('Overview and dashboard'!$V$9="No support",0,'Overview and dashboard'!$V$9="Current support schemes",IFERROR(VLOOKUP("England",$C$154:$H$166,6,0),""),'Overview and dashboard'!$V$9="Income foregone",D173)</f>
        <v>0</v>
      </c>
      <c r="F173" s="40">
        <f>'6 - Lists'!R$25*$F$93</f>
        <v>155.10963516870345</v>
      </c>
      <c r="G173" s="40"/>
      <c r="H173" s="40"/>
      <c r="I173" s="40"/>
      <c r="J173" s="40"/>
      <c r="K173" s="40">
        <f>'6 - Lists'!Q$25*$D$38</f>
        <v>329.34841011451044</v>
      </c>
      <c r="L173" s="135">
        <f>$L$68-$L$65+$K$47+$K$48-$L$37-$L$38+E173-F173-H173+I173+K173</f>
        <v>121.35077494580699</v>
      </c>
    </row>
    <row r="174" spans="3:12">
      <c r="C174" s="47" t="s">
        <v>28</v>
      </c>
      <c r="D174" s="132">
        <f>H174+$N$52+$N$55+F174</f>
        <v>66.14978022831653</v>
      </c>
      <c r="E174" s="40" cm="1">
        <f t="array" ref="E174">_xlfn.IFS('Overview and dashboard'!$V$9="No support",0,'Overview and dashboard'!$V$9="Current support schemes",IFERROR(VLOOKUP("England",$C$154:$H$166,6,0),""),'Overview and dashboard'!$V$9="Income foregone",D174)</f>
        <v>0</v>
      </c>
      <c r="F174" s="40">
        <f>'6 - Lists'!V$25*$F$94</f>
        <v>13.261780228316518</v>
      </c>
      <c r="G174" s="40"/>
      <c r="H174" s="40"/>
      <c r="I174" s="40"/>
      <c r="J174" s="40"/>
      <c r="K174" s="40">
        <f>'6 - Lists'!U$25*$D$38</f>
        <v>37.145961739079404</v>
      </c>
      <c r="L174" s="135">
        <f>$O$68-$O$65+$N$47+$N$48-$O$37-$O$38+E174-F174-H174+I174+K174</f>
        <v>-29.003818489237126</v>
      </c>
    </row>
    <row r="175" spans="3:12">
      <c r="C175" s="47" t="s">
        <v>29</v>
      </c>
      <c r="D175" s="132">
        <f>H175+$Q$52+$Q$55+F175</f>
        <v>86.683173866571465</v>
      </c>
      <c r="E175" s="40" cm="1">
        <f t="array" ref="E175">_xlfn.IFS('Overview and dashboard'!$V$9="No support",0,'Overview and dashboard'!$V$9="Current support schemes",IFERROR(VLOOKUP("England",$C$154:$H$166,6,0),""),'Overview and dashboard'!$V$9="Income foregone",D175)</f>
        <v>0</v>
      </c>
      <c r="F175" s="40">
        <f>'6 - Lists'!Z$25*$F$95</f>
        <v>33.79517386657146</v>
      </c>
      <c r="G175" s="40"/>
      <c r="H175" s="40"/>
      <c r="I175" s="40"/>
      <c r="J175" s="40"/>
      <c r="K175" s="40">
        <f>'6 - Lists'!Y$25*$D$38</f>
        <v>73.266330494962688</v>
      </c>
      <c r="L175" s="135">
        <f>$R$68-$R$65+$Q$47+$Q$48-$R$37-$R$38+E175-F175-H175+I175+K175</f>
        <v>-13.416843371608778</v>
      </c>
    </row>
    <row r="176" spans="3:12" ht="15.75" thickBot="1">
      <c r="C176" s="65" t="s">
        <v>30</v>
      </c>
      <c r="D176" s="280">
        <f>H176+$T$52+$T$55+F176</f>
        <v>558.83166559686822</v>
      </c>
      <c r="E176" s="66" cm="1">
        <f t="array" ref="E176">_xlfn.IFS('Overview and dashboard'!$V$9="No support",0,'Overview and dashboard'!$V$9="Current support schemes",IFERROR(VLOOKUP("England",$C$154:$H$166,6,0),""),'Overview and dashboard'!$V$9="Income foregone",D176)</f>
        <v>0</v>
      </c>
      <c r="F176" s="66">
        <f>'6 - Lists'!AD$25*$F$96</f>
        <v>505.94366559686819</v>
      </c>
      <c r="G176" s="66"/>
      <c r="H176" s="66"/>
      <c r="I176" s="66"/>
      <c r="J176" s="66"/>
      <c r="K176" s="66">
        <f>'6 - Lists'!AC$25*$D$38</f>
        <v>1407.6791204382826</v>
      </c>
      <c r="L176" s="276">
        <f>$U$68-$U$65+$T$47+$T$48-$U$37-$U$38+E176-F176-H176+I176+K176</f>
        <v>848.84745484141433</v>
      </c>
    </row>
    <row r="177" spans="3:12" ht="15.75" thickBot="1"/>
    <row r="178" spans="3:12">
      <c r="C178" s="460" t="s">
        <v>387</v>
      </c>
      <c r="D178" s="461"/>
      <c r="E178" s="461"/>
      <c r="F178" s="461"/>
      <c r="G178" s="461"/>
      <c r="H178" s="461"/>
      <c r="I178" s="461"/>
      <c r="J178" s="461"/>
      <c r="K178" s="461"/>
      <c r="L178" s="462"/>
    </row>
    <row r="179" spans="3:12">
      <c r="C179" s="78" t="s">
        <v>213</v>
      </c>
      <c r="D179" s="40"/>
      <c r="E179" s="40"/>
      <c r="F179" s="40"/>
      <c r="G179" s="40"/>
      <c r="H179" s="40"/>
      <c r="I179" s="40"/>
      <c r="J179" s="40"/>
      <c r="K179" s="40"/>
      <c r="L179" s="60"/>
    </row>
    <row r="180" spans="3:12" ht="90">
      <c r="C180" s="47" t="s">
        <v>63</v>
      </c>
      <c r="D180" s="70" t="s">
        <v>208</v>
      </c>
      <c r="E180" s="70" t="s">
        <v>209</v>
      </c>
      <c r="F180" s="70" t="s">
        <v>210</v>
      </c>
      <c r="G180" s="40"/>
      <c r="H180" s="70" t="s">
        <v>96</v>
      </c>
      <c r="I180" s="70" t="s">
        <v>385</v>
      </c>
      <c r="J180" s="40"/>
      <c r="K180" s="70" t="s">
        <v>386</v>
      </c>
      <c r="L180" s="76" t="s">
        <v>211</v>
      </c>
    </row>
    <row r="181" spans="3:12">
      <c r="C181" s="47" t="s">
        <v>25</v>
      </c>
      <c r="D181" s="132">
        <f>H181+$E$52+$E$55+F181</f>
        <v>195.80160000000001</v>
      </c>
      <c r="E181" s="40" cm="1">
        <f t="array" ref="E181">_xlfn.IFS('Overview and dashboard'!$V$9="No support",0,'Overview and dashboard'!$V$9="Current support schemes",IFERROR(VLOOKUP("Scotland",$C$154:$H$166,6,0),""),'Overview and dashboard'!$V$9="Income foregone",D181)</f>
        <v>0</v>
      </c>
      <c r="F181" s="40">
        <f>'6 - Lists'!J$26*$F$91</f>
        <v>101.2</v>
      </c>
      <c r="G181" s="40"/>
      <c r="H181" s="40">
        <f>'6 - Lists'!I$26*$E$148*($E$149)</f>
        <v>41.7136</v>
      </c>
      <c r="I181" s="40">
        <f>'6 - Lists'!I$26*$D$37</f>
        <v>222.47253333333333</v>
      </c>
      <c r="J181" s="40"/>
      <c r="K181" s="40"/>
      <c r="L181" s="135">
        <f>$F$68-$F$65+$E$47+$E$48-$F$37-$F$38+E181-F181-H181+I181</f>
        <v>26.670933333333323</v>
      </c>
    </row>
    <row r="182" spans="3:12">
      <c r="C182" s="47" t="s">
        <v>26</v>
      </c>
      <c r="D182" s="132">
        <f>H182+$H$52+$H$55+F182</f>
        <v>52.888000000000005</v>
      </c>
      <c r="E182" s="40" cm="1">
        <f t="array" ref="E182">_xlfn.IFS('Overview and dashboard'!$V$9="No support",0,'Overview and dashboard'!$V$9="Current support schemes",IFERROR(VLOOKUP("Scotland",$C$154:$H$166,6,0),""),'Overview and dashboard'!$V$9="Income foregone",D182)</f>
        <v>0</v>
      </c>
      <c r="F182" s="40">
        <f>'6 - Lists'!N$254*$F$92</f>
        <v>0</v>
      </c>
      <c r="G182" s="40"/>
      <c r="H182" s="40">
        <f>'6 - Lists'!M$26*$E$148*($E$149)</f>
        <v>0</v>
      </c>
      <c r="I182" s="40">
        <f>'6 - Lists'!M$26*$D$37</f>
        <v>0</v>
      </c>
      <c r="J182" s="40"/>
      <c r="K182" s="40"/>
      <c r="L182" s="135">
        <f>$I$68-$I$65+$H$47+$H$48-$I$37-$I$38+E182-F182-H182+I182+K182</f>
        <v>-52.888000000000005</v>
      </c>
    </row>
    <row r="183" spans="3:12">
      <c r="C183" s="47" t="s">
        <v>27</v>
      </c>
      <c r="D183" s="132">
        <f>H183+$K$52+$K$55+F183</f>
        <v>206.40725133689841</v>
      </c>
      <c r="E183" s="40" cm="1">
        <f t="array" ref="E183">_xlfn.IFS('Overview and dashboard'!$V$9="No support",0,'Overview and dashboard'!$V$9="Current support schemes",IFERROR(VLOOKUP("Scotland",$C$154:$H$166,6,0),""),'Overview and dashboard'!$V$9="Income foregone",D183)</f>
        <v>0</v>
      </c>
      <c r="F183" s="40">
        <f>'6 - Lists'!R$26*$F$93</f>
        <v>153.51925133689841</v>
      </c>
      <c r="G183" s="40"/>
      <c r="H183" s="40"/>
      <c r="I183" s="40"/>
      <c r="J183" s="40"/>
      <c r="K183" s="40">
        <f>'6 - Lists'!Q$26*$D$38</f>
        <v>314.20160427807491</v>
      </c>
      <c r="L183" s="135">
        <f>$L$68-$L$65+$K$47+$K$48-$L$37-$L$38+E183-F183-H183+I183+K183</f>
        <v>107.7943529411765</v>
      </c>
    </row>
    <row r="184" spans="3:12">
      <c r="C184" s="47" t="s">
        <v>28</v>
      </c>
      <c r="D184" s="132">
        <f>H184+$N$52+$N$55+F184</f>
        <v>59.10137126600285</v>
      </c>
      <c r="E184" s="40" cm="1">
        <f t="array" ref="E184">_xlfn.IFS('Overview and dashboard'!$V$9="No support",0,'Overview and dashboard'!$V$9="Current support schemes",IFERROR(VLOOKUP("Scotland",$C$154:$H$166,6,0),""),'Overview and dashboard'!$V$9="Income foregone",D184)</f>
        <v>0</v>
      </c>
      <c r="F184" s="40">
        <f>'6 - Lists'!V$26*$F$94</f>
        <v>6.2133712660028451</v>
      </c>
      <c r="G184" s="40"/>
      <c r="H184" s="40"/>
      <c r="I184" s="40"/>
      <c r="J184" s="40"/>
      <c r="K184" s="40">
        <f>'6 - Lists'!U$26*$D$38</f>
        <v>16.304694167852062</v>
      </c>
      <c r="L184" s="135">
        <f>$O$68-$O$65+$N$47+$N$48-$O$37-$O$38+E184-F184-H184+I184+K184</f>
        <v>-42.796677098150788</v>
      </c>
    </row>
    <row r="185" spans="3:12">
      <c r="C185" s="47" t="s">
        <v>29</v>
      </c>
      <c r="D185" s="132">
        <f>H185+$Q$52+$Q$55+F185</f>
        <v>95.798000000000002</v>
      </c>
      <c r="E185" s="40" cm="1">
        <f t="array" ref="E185">_xlfn.IFS('Overview and dashboard'!$V$9="No support",0,'Overview and dashboard'!$V$9="Current support schemes",IFERROR(VLOOKUP("Scotland",$C$154:$H$166,6,0),""),'Overview and dashboard'!$V$9="Income foregone",D185)</f>
        <v>0</v>
      </c>
      <c r="F185" s="40">
        <f>'6 - Lists'!Z$26*$F$95</f>
        <v>42.910000000000004</v>
      </c>
      <c r="G185" s="40"/>
      <c r="H185" s="40"/>
      <c r="I185" s="40"/>
      <c r="J185" s="40"/>
      <c r="K185" s="40">
        <f>'6 - Lists'!Y$26*$D$38</f>
        <v>99.192307692307693</v>
      </c>
      <c r="L185" s="135">
        <f>$R$68-$R$65+$Q$47+$Q$48-$R$37-$R$38+E185-F185-H185+I185+K185</f>
        <v>3.3943076923076916</v>
      </c>
    </row>
    <row r="186" spans="3:12" ht="15.75" thickBot="1">
      <c r="C186" s="65" t="s">
        <v>30</v>
      </c>
      <c r="D186" s="280">
        <f>H186+$T$52+$T$55+F186</f>
        <v>52.888000000000005</v>
      </c>
      <c r="E186" s="66" cm="1">
        <f t="array" ref="E186">_xlfn.IFS('Overview and dashboard'!$V$9="No support",0,'Overview and dashboard'!$V$9="Current support schemes",IFERROR(VLOOKUP("Scotland",$C$154:$H$166,6,0),""),'Overview and dashboard'!$V$9="Income foregone",D186)</f>
        <v>0</v>
      </c>
      <c r="F186" s="66">
        <f>'6 - Lists'!AD$26*$F$96</f>
        <v>0</v>
      </c>
      <c r="G186" s="66"/>
      <c r="H186" s="66"/>
      <c r="I186" s="66"/>
      <c r="J186" s="66"/>
      <c r="K186" s="66">
        <f>'6 - Lists'!AC$26*$D$38</f>
        <v>0</v>
      </c>
      <c r="L186" s="276">
        <f>$U$68-$U$65+$T$47+$T$48-$U$37-$U$38+E186-F186-H186+I186+K186</f>
        <v>-52.888000000000005</v>
      </c>
    </row>
    <row r="187" spans="3:12" ht="15.75" thickBot="1"/>
    <row r="188" spans="3:12">
      <c r="C188" s="460" t="s">
        <v>388</v>
      </c>
      <c r="D188" s="461"/>
      <c r="E188" s="461"/>
      <c r="F188" s="461"/>
      <c r="G188" s="461"/>
      <c r="H188" s="461"/>
      <c r="I188" s="461"/>
      <c r="J188" s="461"/>
      <c r="K188" s="461"/>
      <c r="L188" s="462"/>
    </row>
    <row r="189" spans="3:12">
      <c r="C189" s="78" t="s">
        <v>215</v>
      </c>
      <c r="D189" s="40"/>
      <c r="E189" s="40"/>
      <c r="F189" s="40"/>
      <c r="G189" s="40"/>
      <c r="H189" s="40"/>
      <c r="I189" s="40"/>
      <c r="J189" s="40"/>
      <c r="K189" s="40"/>
      <c r="L189" s="60"/>
    </row>
    <row r="190" spans="3:12" ht="90">
      <c r="C190" s="47" t="s">
        <v>63</v>
      </c>
      <c r="D190" s="70" t="s">
        <v>208</v>
      </c>
      <c r="E190" s="70" t="s">
        <v>209</v>
      </c>
      <c r="F190" s="70" t="s">
        <v>210</v>
      </c>
      <c r="G190" s="40"/>
      <c r="H190" s="70" t="s">
        <v>96</v>
      </c>
      <c r="I190" s="70" t="s">
        <v>385</v>
      </c>
      <c r="J190" s="40"/>
      <c r="K190" s="70" t="s">
        <v>386</v>
      </c>
      <c r="L190" s="76" t="s">
        <v>211</v>
      </c>
    </row>
    <row r="191" spans="3:12">
      <c r="C191" s="47" t="s">
        <v>25</v>
      </c>
      <c r="D191" s="132">
        <f>H191+$E$52+$E$55+F191</f>
        <v>52.888000000000005</v>
      </c>
      <c r="E191" s="40" cm="1">
        <f t="array" ref="E191">_xlfn.IFS('Overview and dashboard'!$V$9="No support",0,'Overview and dashboard'!$V$9="Current support schemes",IFERROR(VLOOKUP("Wales",$C$154:$H$166,6,0),""),'Overview and dashboard'!$V$9="Income foregone",D191)</f>
        <v>0</v>
      </c>
      <c r="F191" s="40">
        <f>'6 - Lists'!J$27*$F$91</f>
        <v>0</v>
      </c>
      <c r="G191" s="40"/>
      <c r="H191" s="40">
        <f>'6 - Lists'!I$27*$E$148*($E$149)</f>
        <v>0</v>
      </c>
      <c r="I191" s="40">
        <f>'6 - Lists'!I$27*$D$37</f>
        <v>0</v>
      </c>
      <c r="J191" s="40"/>
      <c r="K191" s="40"/>
      <c r="L191" s="135">
        <f>$F$68-$F$65+$E$47+$E$48-$F$37-$F$38+E191-F191-H191+I191</f>
        <v>-52.888000000000005</v>
      </c>
    </row>
    <row r="192" spans="3:12">
      <c r="C192" s="47" t="s">
        <v>26</v>
      </c>
      <c r="D192" s="132">
        <f>H192+$H$52+$H$55+F192</f>
        <v>52.888000000000005</v>
      </c>
      <c r="E192" s="40" cm="1">
        <f t="array" ref="E192">_xlfn.IFS('Overview and dashboard'!$V$9="No support",0,'Overview and dashboard'!$V$9="Current support schemes",IFERROR(VLOOKUP("Wales",$C$154:$H$166,6,0),""),'Overview and dashboard'!$V$9="Income foregone",D192)</f>
        <v>0</v>
      </c>
      <c r="F192" s="40">
        <f>'6 - Lists'!N$27*$F$92</f>
        <v>0</v>
      </c>
      <c r="G192" s="40"/>
      <c r="H192" s="40">
        <f>'6 - Lists'!M$27*$E$148*($E$149)</f>
        <v>0</v>
      </c>
      <c r="I192" s="40">
        <f>'6 - Lists'!M$27*$D$37</f>
        <v>0</v>
      </c>
      <c r="J192" s="40"/>
      <c r="K192" s="40"/>
      <c r="L192" s="135">
        <f>$I$68-$I$65+$H$47+$H$48-$I$37-$I$38+E192-F192-H192+I192+K192</f>
        <v>-52.888000000000005</v>
      </c>
    </row>
    <row r="193" spans="3:12">
      <c r="C193" s="47" t="s">
        <v>27</v>
      </c>
      <c r="D193" s="132">
        <f>H193+$K$52+$K$55+F193</f>
        <v>186.76012931103466</v>
      </c>
      <c r="E193" s="40" cm="1">
        <f t="array" ref="E193">_xlfn.IFS('Overview and dashboard'!$V$9="No support",0,'Overview and dashboard'!$V$9="Current support schemes",IFERROR(VLOOKUP("Wales",$C$154:$H$166,6,0),""),'Overview and dashboard'!$V$9="Income foregone",D193)</f>
        <v>0</v>
      </c>
      <c r="F193" s="40">
        <f>'6 - Lists'!R$27*$F$93</f>
        <v>133.87212931103466</v>
      </c>
      <c r="G193" s="40"/>
      <c r="H193" s="40"/>
      <c r="I193" s="40"/>
      <c r="J193" s="40"/>
      <c r="K193" s="40">
        <f>'6 - Lists'!Q$27*$D$38</f>
        <v>319.67672241337925</v>
      </c>
      <c r="L193" s="135">
        <f>$L$68-$L$65+$K$47+$K$48-$L$37-$L$38+E193-F193-H193+I193+K193</f>
        <v>132.91659310234459</v>
      </c>
    </row>
    <row r="194" spans="3:12">
      <c r="C194" s="47" t="s">
        <v>28</v>
      </c>
      <c r="D194" s="132">
        <f>H194+$N$52+$N$55+F194</f>
        <v>75.680022792022797</v>
      </c>
      <c r="E194" s="40" cm="1">
        <f t="array" ref="E194">_xlfn.IFS('Overview and dashboard'!$V$9="No support",0,'Overview and dashboard'!$V$9="Current support schemes",IFERROR(VLOOKUP("Wales",$C$154:$H$166,6,0),""),'Overview and dashboard'!$V$9="Income foregone",D194)</f>
        <v>0</v>
      </c>
      <c r="F194" s="40">
        <f>'6 - Lists'!V$27*$F$94</f>
        <v>22.792022792022795</v>
      </c>
      <c r="G194" s="40"/>
      <c r="H194" s="40"/>
      <c r="I194" s="40"/>
      <c r="J194" s="40"/>
      <c r="K194" s="40">
        <f>'6 - Lists'!U$27*$D$38</f>
        <v>56.092056092056104</v>
      </c>
      <c r="L194" s="135">
        <f>$O$68-$O$65+$N$47+$N$48-$O$37-$O$38+E194-F194-H194+I194+K194</f>
        <v>-19.587966699966692</v>
      </c>
    </row>
    <row r="195" spans="3:12">
      <c r="C195" s="47" t="s">
        <v>29</v>
      </c>
      <c r="D195" s="132">
        <f>H195+$Q$52+$Q$55+F195</f>
        <v>92.825960449786749</v>
      </c>
      <c r="E195" s="40" cm="1">
        <f t="array" ref="E195">_xlfn.IFS('Overview and dashboard'!$V$9="No support",0,'Overview and dashboard'!$V$9="Current support schemes",IFERROR(VLOOKUP("Wales",$C$154:$H$166,6,0),""),'Overview and dashboard'!$V$9="Income foregone",D195)</f>
        <v>0</v>
      </c>
      <c r="F195" s="40">
        <f>'6 - Lists'!Z$27*$F$95</f>
        <v>39.937960449786743</v>
      </c>
      <c r="G195" s="40"/>
      <c r="H195" s="40"/>
      <c r="I195" s="40"/>
      <c r="J195" s="40"/>
      <c r="K195" s="40">
        <f>'6 - Lists'!Y$27*$D$38</f>
        <v>73.671965878247391</v>
      </c>
      <c r="L195" s="135">
        <f>$R$68-$R$65+$Q$47+$Q$48-$R$37-$R$38+E195-F195-H195+I195+K195</f>
        <v>-19.153994571539357</v>
      </c>
    </row>
    <row r="196" spans="3:12" ht="15.75" thickBot="1">
      <c r="C196" s="65" t="s">
        <v>30</v>
      </c>
      <c r="D196" s="280">
        <f>H196+$T$52+$T$55+F196</f>
        <v>52.888000000000005</v>
      </c>
      <c r="E196" s="66" cm="1">
        <f t="array" ref="E196">_xlfn.IFS('Overview and dashboard'!$V$9="No support",0,'Overview and dashboard'!$V$9="Current support schemes",IFERROR(VLOOKUP("Wales",$C$154:$H$166,6,0),""),'Overview and dashboard'!$V$9="Income foregone",D196)</f>
        <v>0</v>
      </c>
      <c r="F196" s="66">
        <f>'6 - Lists'!AD$27*$F$96</f>
        <v>0</v>
      </c>
      <c r="G196" s="66"/>
      <c r="H196" s="66"/>
      <c r="I196" s="66"/>
      <c r="J196" s="66"/>
      <c r="K196" s="66">
        <f>'6 - Lists'!AC$27*$D$38</f>
        <v>0</v>
      </c>
      <c r="L196" s="276">
        <f>$U$68-$U$65+$T$47+$T$48-$U$37-$U$38+E196-F196-H196+I196+K196</f>
        <v>-52.888000000000005</v>
      </c>
    </row>
    <row r="197" spans="3:12" ht="15.75" thickBot="1"/>
    <row r="198" spans="3:12">
      <c r="C198" s="460" t="s">
        <v>389</v>
      </c>
      <c r="D198" s="461"/>
      <c r="E198" s="461"/>
      <c r="F198" s="461"/>
      <c r="G198" s="461"/>
      <c r="H198" s="461"/>
      <c r="I198" s="461"/>
      <c r="J198" s="461"/>
      <c r="K198" s="461"/>
      <c r="L198" s="462"/>
    </row>
    <row r="199" spans="3:12">
      <c r="C199" s="78" t="s">
        <v>217</v>
      </c>
      <c r="D199" s="40"/>
      <c r="E199" s="40"/>
      <c r="F199" s="40"/>
      <c r="G199" s="40"/>
      <c r="H199" s="40"/>
      <c r="I199" s="40"/>
      <c r="J199" s="40"/>
      <c r="K199" s="40"/>
      <c r="L199" s="60"/>
    </row>
    <row r="200" spans="3:12" ht="90">
      <c r="C200" s="47" t="s">
        <v>63</v>
      </c>
      <c r="D200" s="70" t="s">
        <v>208</v>
      </c>
      <c r="E200" s="70" t="s">
        <v>209</v>
      </c>
      <c r="F200" s="70" t="s">
        <v>210</v>
      </c>
      <c r="G200" s="40"/>
      <c r="H200" s="70" t="s">
        <v>96</v>
      </c>
      <c r="I200" s="70" t="s">
        <v>385</v>
      </c>
      <c r="J200" s="40"/>
      <c r="K200" s="70" t="s">
        <v>386</v>
      </c>
      <c r="L200" s="76" t="s">
        <v>211</v>
      </c>
    </row>
    <row r="201" spans="3:12">
      <c r="C201" s="47" t="s">
        <v>25</v>
      </c>
      <c r="D201" s="132">
        <f>H201+$E$52+$E$55+F201</f>
        <v>183.38141666666667</v>
      </c>
      <c r="E201" s="40" cm="1">
        <f t="array" ref="E201">_xlfn.IFS('Overview and dashboard'!$V$9="No support",0,'Overview and dashboard'!$V$9="Current support schemes",IFERROR(VLOOKUP("Northern Ireland",$C$154:$H$166,6,0),""),'Overview and dashboard'!$V$9="Income foregone",D201)</f>
        <v>0</v>
      </c>
      <c r="F201" s="40">
        <f>'6 - Lists'!J$28*$F$91</f>
        <v>90.311666666666667</v>
      </c>
      <c r="G201" s="40"/>
      <c r="H201" s="40">
        <f>'6 - Lists'!I$28*$E$148*($E$149)</f>
        <v>40.181750000000001</v>
      </c>
      <c r="I201" s="40">
        <f>'6 - Lists'!I$28*$D$37</f>
        <v>214.30266666666668</v>
      </c>
      <c r="J201" s="40"/>
      <c r="K201" s="40"/>
      <c r="L201" s="135">
        <f>$F$68-$F$65+$E$47+$E$48-$F$37-$F$38+E201-F201-H201+I201</f>
        <v>30.921250000000015</v>
      </c>
    </row>
    <row r="202" spans="3:12">
      <c r="C202" s="47" t="s">
        <v>26</v>
      </c>
      <c r="D202" s="132">
        <f>H202+$H$52+$H$55+F202</f>
        <v>52.888000000000005</v>
      </c>
      <c r="E202" s="40" cm="1">
        <f t="array" ref="E202">_xlfn.IFS('Overview and dashboard'!$V$9="No support",0,'Overview and dashboard'!$V$9="Current support schemes",IFERROR(VLOOKUP("Northern Ireland",$C$154:$H$166,6,0),""),'Overview and dashboard'!$V$9="Income foregone",D202)</f>
        <v>0</v>
      </c>
      <c r="F202" s="40">
        <f>'6 - Lists'!N$28*$F$92</f>
        <v>0</v>
      </c>
      <c r="G202" s="40"/>
      <c r="H202" s="40">
        <f>'6 - Lists'!M$28*$E$148*($E$149)</f>
        <v>0</v>
      </c>
      <c r="I202" s="40">
        <f>'6 - Lists'!M$28*$D$37</f>
        <v>0</v>
      </c>
      <c r="J202" s="40"/>
      <c r="K202" s="40"/>
      <c r="L202" s="135">
        <f>$I$68-$I$65+$H$47+$H$48-$I$37-$I$38+E202-F202-H202+I202+K202</f>
        <v>-52.888000000000005</v>
      </c>
    </row>
    <row r="203" spans="3:12">
      <c r="C203" s="47" t="s">
        <v>27</v>
      </c>
      <c r="D203" s="132">
        <f>H203+$K$52+$K$55+F203</f>
        <v>184.71453061224491</v>
      </c>
      <c r="E203" s="40" cm="1">
        <f t="array" ref="E203">_xlfn.IFS('Overview and dashboard'!$V$9="No support",0,'Overview and dashboard'!$V$9="Current support schemes",IFERROR(VLOOKUP("Northern Ireland",$C$154:$H$166,6,0),""),'Overview and dashboard'!$V$9="Income foregone",D203)</f>
        <v>0</v>
      </c>
      <c r="F203" s="40">
        <f>'6 - Lists'!R$28*$F$93</f>
        <v>131.82653061224491</v>
      </c>
      <c r="G203" s="40"/>
      <c r="H203" s="40"/>
      <c r="I203" s="40"/>
      <c r="J203" s="40"/>
      <c r="K203" s="40">
        <f>'6 - Lists'!Q$28*$D$38</f>
        <v>317.05895691609976</v>
      </c>
      <c r="L203" s="135">
        <f>$L$68-$L$65+$K$47+$K$48-$L$37-$L$38+E203-F203-H203+I203+K203</f>
        <v>132.34442630385485</v>
      </c>
    </row>
    <row r="204" spans="3:12">
      <c r="C204" s="47" t="s">
        <v>28</v>
      </c>
      <c r="D204" s="132">
        <f>H204+$N$52+$N$55+F204</f>
        <v>70.096245243128976</v>
      </c>
      <c r="E204" s="40" cm="1">
        <f t="array" ref="E204">_xlfn.IFS('Overview and dashboard'!$V$9="No support",0,'Overview and dashboard'!$V$9="Current support schemes",IFERROR(VLOOKUP("Northern Ireland",$C$154:$H$166,6,0),""),'Overview and dashboard'!$V$9="Income foregone",D204)</f>
        <v>0</v>
      </c>
      <c r="F204" s="40">
        <f>'6 - Lists'!V$28*$F$94</f>
        <v>17.208245243128967</v>
      </c>
      <c r="G204" s="40"/>
      <c r="H204" s="40"/>
      <c r="I204" s="40"/>
      <c r="J204" s="40"/>
      <c r="K204" s="40">
        <f>'6 - Lists'!U$28*$D$38</f>
        <v>49.633192389006354</v>
      </c>
      <c r="L204" s="135">
        <f>$O$68-$O$65+$N$47+$N$48-$O$37-$O$38+E204-F204-H204+I204+K204</f>
        <v>-20.463052854122623</v>
      </c>
    </row>
    <row r="205" spans="3:12">
      <c r="C205" s="47" t="s">
        <v>29</v>
      </c>
      <c r="D205" s="132">
        <f>H205+$Q$52+$Q$55+F205</f>
        <v>93.215131782945747</v>
      </c>
      <c r="E205" s="40" cm="1">
        <f t="array" ref="E205">_xlfn.IFS('Overview and dashboard'!$V$9="No support",0,'Overview and dashboard'!$V$9="Current support schemes",IFERROR(VLOOKUP("Northern Ireland",$C$154:$H$166,6,0),""),'Overview and dashboard'!$V$9="Income foregone",D205)</f>
        <v>0</v>
      </c>
      <c r="F205" s="40">
        <f>'6 - Lists'!Z$28*$F$95</f>
        <v>40.327131782945742</v>
      </c>
      <c r="G205" s="40"/>
      <c r="H205" s="40"/>
      <c r="I205" s="40"/>
      <c r="J205" s="40"/>
      <c r="K205" s="40">
        <f>'6 - Lists'!Y$28*$D$38</f>
        <v>94.986046511627919</v>
      </c>
      <c r="L205" s="135">
        <f>$R$68-$R$65+$Q$47+$Q$48-$R$37-$R$38+E205-F205-H205+I205+K205</f>
        <v>1.7709147286821718</v>
      </c>
    </row>
    <row r="206" spans="3:12" ht="15.75" thickBot="1">
      <c r="C206" s="65" t="s">
        <v>30</v>
      </c>
      <c r="D206" s="280">
        <f>H206+$T$52+$T$55+F206</f>
        <v>52.888000000000005</v>
      </c>
      <c r="E206" s="66" cm="1">
        <f t="array" ref="E206">_xlfn.IFS('Overview and dashboard'!$V$9="No support",0,'Overview and dashboard'!$V$9="Current support schemes",IFERROR(VLOOKUP("Northern Ireland",$C$154:$H$166,6,0),""),'Overview and dashboard'!$V$9="Income foregone",D206)</f>
        <v>0</v>
      </c>
      <c r="F206" s="66">
        <f>'6 - Lists'!AD$28*$F$96</f>
        <v>0</v>
      </c>
      <c r="G206" s="66"/>
      <c r="H206" s="66"/>
      <c r="I206" s="66"/>
      <c r="J206" s="66"/>
      <c r="K206" s="66">
        <f>'6 - Lists'!AC$28*$D$38</f>
        <v>0</v>
      </c>
      <c r="L206" s="276">
        <f>$U$68-$U$65+$T$47+$T$48-$U$37-$U$38+E206-F206-H206+I206+K206</f>
        <v>-52.888000000000005</v>
      </c>
    </row>
  </sheetData>
  <sheetProtection algorithmName="SHA-512" hashValue="7QIzd/OI+A7lklLHhY/JbfT9OC6nu4ngzGlQ7dnPnJQrjOLEosp3lTf2edhnKHjNq0uQrx1+d95n7TJRt3Mp6A==" saltValue="O+7RBU2AOW1ViNwOjZrmAg==" spinCount="100000" sheet="1" objects="1" scenarios="1"/>
  <mergeCells count="28">
    <mergeCell ref="C168:L168"/>
    <mergeCell ref="C178:L178"/>
    <mergeCell ref="C188:L188"/>
    <mergeCell ref="C198:L198"/>
    <mergeCell ref="C77:H77"/>
    <mergeCell ref="C89:H89"/>
    <mergeCell ref="C98:E98"/>
    <mergeCell ref="C112:E112"/>
    <mergeCell ref="C162:F162"/>
    <mergeCell ref="C165:F165"/>
    <mergeCell ref="C110:D110"/>
    <mergeCell ref="C119:D119"/>
    <mergeCell ref="C152:H152"/>
    <mergeCell ref="C154:F154"/>
    <mergeCell ref="C158:F158"/>
    <mergeCell ref="C121:E121"/>
    <mergeCell ref="C130:F130"/>
    <mergeCell ref="C137:F137"/>
    <mergeCell ref="C144:F144"/>
    <mergeCell ref="C151:H151"/>
    <mergeCell ref="C71:E71"/>
    <mergeCell ref="E31:U31"/>
    <mergeCell ref="E32:F32"/>
    <mergeCell ref="H32:I32"/>
    <mergeCell ref="K32:L32"/>
    <mergeCell ref="N32:O32"/>
    <mergeCell ref="Q32:R32"/>
    <mergeCell ref="T32:U32"/>
  </mergeCells>
  <hyperlinks>
    <hyperlink ref="F132" r:id="rId1" xr:uid="{58F7E882-A8F3-478D-A78A-517C746FC724}"/>
    <hyperlink ref="E123" r:id="rId2" xr:uid="{9301E9B5-EB89-46B3-9029-4E47A39B48E9}"/>
    <hyperlink ref="F139" r:id="rId3" xr:uid="{1D7B4DA1-D050-4308-A52E-459B8D4F270A}"/>
    <hyperlink ref="F149" r:id="rId4" display="https://doi.org/10.1002/agj2.20489" xr:uid="{00A5D576-C9D0-4280-A416-7D7336873D84}"/>
  </hyperlinks>
  <pageMargins left="0.7" right="0.7" top="0.75" bottom="0.75" header="0.3" footer="0.3"/>
  <pageSetup paperSize="9" orientation="portrait"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1FC09-53E2-42C4-91E4-4E69A5953018}">
  <sheetPr codeName="Sheet7"/>
  <dimension ref="B2:AT277"/>
  <sheetViews>
    <sheetView showGridLines="0" showRowColHeaders="0" workbookViewId="0"/>
    <sheetView workbookViewId="1"/>
  </sheetViews>
  <sheetFormatPr defaultRowHeight="15"/>
  <cols>
    <col min="2" max="2" width="3.5703125" customWidth="1"/>
    <col min="3" max="3" width="49.85546875" customWidth="1"/>
    <col min="4" max="4" width="14.42578125" customWidth="1"/>
    <col min="5" max="5" width="10.42578125" customWidth="1"/>
    <col min="6" max="10" width="10" customWidth="1"/>
    <col min="11" max="11" width="0.5703125" customWidth="1"/>
    <col min="12" max="17" width="10" customWidth="1"/>
    <col min="18" max="18" width="0.5703125" customWidth="1"/>
    <col min="19" max="24" width="10" customWidth="1"/>
    <col min="25" max="25" width="0.5703125" customWidth="1"/>
    <col min="26" max="31" width="10" customWidth="1"/>
    <col min="32" max="32" width="0.5703125" customWidth="1"/>
    <col min="33" max="38" width="10" customWidth="1"/>
    <col min="39" max="39" width="0.5703125" customWidth="1"/>
    <col min="40" max="45" width="10" customWidth="1"/>
    <col min="46" max="46" width="3.5703125" customWidth="1"/>
  </cols>
  <sheetData>
    <row r="2" spans="2:46">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row>
    <row r="3" spans="2:46">
      <c r="B3" s="14"/>
      <c r="C3" s="15" t="s">
        <v>55</v>
      </c>
      <c r="D3" s="15"/>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row>
    <row r="4" spans="2:46">
      <c r="B4" s="14"/>
      <c r="C4" s="15"/>
      <c r="D4" s="15"/>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row>
    <row r="5" spans="2:46">
      <c r="B5" s="14"/>
      <c r="C5" s="15" t="s">
        <v>56</v>
      </c>
      <c r="D5" s="15"/>
      <c r="E5" s="16">
        <v>5</v>
      </c>
      <c r="F5" s="14"/>
      <c r="G5" s="14"/>
      <c r="H5" s="14"/>
      <c r="I5" s="14"/>
      <c r="J5" s="14"/>
      <c r="K5" s="14"/>
      <c r="L5" s="16"/>
      <c r="M5" s="14"/>
      <c r="N5" s="14"/>
      <c r="O5" s="14"/>
      <c r="P5" s="14"/>
      <c r="Q5" s="14"/>
      <c r="R5" s="14"/>
      <c r="S5" s="16"/>
      <c r="T5" s="14"/>
      <c r="U5" s="14"/>
      <c r="V5" s="14"/>
      <c r="W5" s="14"/>
      <c r="X5" s="14"/>
      <c r="Y5" s="14"/>
      <c r="Z5" s="16"/>
      <c r="AA5" s="14"/>
      <c r="AB5" s="14"/>
      <c r="AC5" s="14"/>
      <c r="AD5" s="14"/>
      <c r="AE5" s="14"/>
      <c r="AF5" s="14"/>
      <c r="AG5" s="16"/>
      <c r="AH5" s="14"/>
      <c r="AI5" s="14"/>
      <c r="AJ5" s="14"/>
      <c r="AK5" s="14"/>
      <c r="AL5" s="14"/>
      <c r="AM5" s="14"/>
      <c r="AN5" s="16"/>
      <c r="AO5" s="14"/>
      <c r="AP5" s="14"/>
      <c r="AQ5" s="14"/>
      <c r="AR5" s="14"/>
      <c r="AS5" s="14"/>
      <c r="AT5" s="14"/>
    </row>
    <row r="6" spans="2:46">
      <c r="B6" s="14"/>
      <c r="C6" s="15"/>
      <c r="D6" s="15"/>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row>
    <row r="7" spans="2:46">
      <c r="B7" s="14"/>
      <c r="C7" s="15" t="s">
        <v>57</v>
      </c>
      <c r="D7" s="15"/>
      <c r="E7" s="14" t="s">
        <v>8</v>
      </c>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row>
    <row r="8" spans="2:46">
      <c r="B8" s="14"/>
      <c r="C8" s="15"/>
      <c r="D8" s="15"/>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row>
    <row r="9" spans="2:46">
      <c r="B9" s="14"/>
      <c r="C9" s="15" t="s">
        <v>58</v>
      </c>
      <c r="D9" s="15"/>
      <c r="E9" s="14" t="s">
        <v>390</v>
      </c>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row>
    <row r="10" spans="2:46">
      <c r="B10" s="14"/>
      <c r="C10" s="15"/>
      <c r="D10" s="15"/>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row>
    <row r="11" spans="2:46">
      <c r="B11" s="14"/>
      <c r="C11" s="15" t="s">
        <v>60</v>
      </c>
      <c r="D11" s="15"/>
      <c r="E11" s="14" t="s">
        <v>391</v>
      </c>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row>
    <row r="12" spans="2:46">
      <c r="B12" s="14"/>
      <c r="C12" s="15"/>
      <c r="D12" s="15"/>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row>
    <row r="13" spans="2:46">
      <c r="B13" s="14"/>
      <c r="C13" s="15" t="s">
        <v>62</v>
      </c>
      <c r="D13" s="15"/>
      <c r="E13" s="14" t="s">
        <v>392</v>
      </c>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row>
    <row r="14" spans="2:46">
      <c r="B14" s="14"/>
      <c r="C14" s="14"/>
      <c r="D14" s="14"/>
      <c r="E14" s="14" t="s">
        <v>393</v>
      </c>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row>
    <row r="15" spans="2:46">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row>
    <row r="16" spans="2:46">
      <c r="B16" s="14"/>
      <c r="C16" s="14"/>
      <c r="D16" s="14"/>
      <c r="E16" s="447"/>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9"/>
      <c r="AT16" s="14"/>
    </row>
    <row r="17" spans="2:46">
      <c r="B17" s="14"/>
      <c r="C17" s="14"/>
      <c r="D17" s="14"/>
      <c r="E17" s="480" t="s">
        <v>25</v>
      </c>
      <c r="F17" s="481"/>
      <c r="G17" s="481"/>
      <c r="H17" s="481"/>
      <c r="I17" s="481"/>
      <c r="J17" s="482"/>
      <c r="K17" s="271"/>
      <c r="L17" s="480" t="s">
        <v>42</v>
      </c>
      <c r="M17" s="481"/>
      <c r="N17" s="481"/>
      <c r="O17" s="481"/>
      <c r="P17" s="481"/>
      <c r="Q17" s="482"/>
      <c r="R17" s="271"/>
      <c r="S17" s="480" t="s">
        <v>27</v>
      </c>
      <c r="T17" s="481"/>
      <c r="U17" s="481"/>
      <c r="V17" s="481"/>
      <c r="W17" s="481"/>
      <c r="X17" s="482"/>
      <c r="Y17" s="271"/>
      <c r="Z17" s="480" t="s">
        <v>28</v>
      </c>
      <c r="AA17" s="481"/>
      <c r="AB17" s="481"/>
      <c r="AC17" s="481"/>
      <c r="AD17" s="481"/>
      <c r="AE17" s="482"/>
      <c r="AF17" s="271"/>
      <c r="AG17" s="480" t="s">
        <v>29</v>
      </c>
      <c r="AH17" s="481"/>
      <c r="AI17" s="481"/>
      <c r="AJ17" s="481"/>
      <c r="AK17" s="481"/>
      <c r="AL17" s="482"/>
      <c r="AM17" s="271"/>
      <c r="AN17" s="447" t="s">
        <v>30</v>
      </c>
      <c r="AO17" s="448"/>
      <c r="AP17" s="448"/>
      <c r="AQ17" s="448"/>
      <c r="AR17" s="448"/>
      <c r="AS17" s="449"/>
      <c r="AT17" s="14"/>
    </row>
    <row r="18" spans="2:46">
      <c r="B18" s="14"/>
      <c r="C18" s="14"/>
      <c r="D18" s="14"/>
      <c r="E18" s="447" t="s">
        <v>88</v>
      </c>
      <c r="F18" s="448"/>
      <c r="G18" s="449"/>
      <c r="H18" s="447" t="s">
        <v>89</v>
      </c>
      <c r="I18" s="448"/>
      <c r="J18" s="449"/>
      <c r="K18" s="25"/>
      <c r="L18" s="447" t="s">
        <v>88</v>
      </c>
      <c r="M18" s="448"/>
      <c r="N18" s="449"/>
      <c r="O18" s="447" t="s">
        <v>89</v>
      </c>
      <c r="P18" s="448"/>
      <c r="Q18" s="449"/>
      <c r="R18" s="25"/>
      <c r="S18" s="447" t="s">
        <v>88</v>
      </c>
      <c r="T18" s="448"/>
      <c r="U18" s="449"/>
      <c r="V18" s="447" t="s">
        <v>89</v>
      </c>
      <c r="W18" s="448"/>
      <c r="X18" s="449"/>
      <c r="Y18" s="25"/>
      <c r="Z18" s="447" t="s">
        <v>88</v>
      </c>
      <c r="AA18" s="448"/>
      <c r="AB18" s="449"/>
      <c r="AC18" s="447" t="s">
        <v>89</v>
      </c>
      <c r="AD18" s="448"/>
      <c r="AE18" s="449"/>
      <c r="AF18" s="25"/>
      <c r="AG18" s="447" t="s">
        <v>88</v>
      </c>
      <c r="AH18" s="448"/>
      <c r="AI18" s="449"/>
      <c r="AJ18" s="447" t="s">
        <v>89</v>
      </c>
      <c r="AK18" s="448"/>
      <c r="AL18" s="449"/>
      <c r="AM18" s="25"/>
      <c r="AN18" s="447" t="s">
        <v>88</v>
      </c>
      <c r="AO18" s="448"/>
      <c r="AP18" s="449"/>
      <c r="AQ18" s="447" t="s">
        <v>89</v>
      </c>
      <c r="AR18" s="448"/>
      <c r="AS18" s="449"/>
      <c r="AT18" s="14"/>
    </row>
    <row r="19" spans="2:46">
      <c r="B19" s="14"/>
      <c r="C19" s="14"/>
      <c r="D19" s="14"/>
      <c r="E19" s="18" t="s">
        <v>394</v>
      </c>
      <c r="F19" s="18" t="s">
        <v>395</v>
      </c>
      <c r="G19" s="18" t="s">
        <v>396</v>
      </c>
      <c r="H19" s="18" t="s">
        <v>394</v>
      </c>
      <c r="I19" s="18" t="s">
        <v>395</v>
      </c>
      <c r="J19" s="18" t="s">
        <v>396</v>
      </c>
      <c r="K19" s="25"/>
      <c r="L19" s="18" t="s">
        <v>394</v>
      </c>
      <c r="M19" s="18" t="s">
        <v>395</v>
      </c>
      <c r="N19" s="18" t="s">
        <v>396</v>
      </c>
      <c r="O19" s="18" t="s">
        <v>394</v>
      </c>
      <c r="P19" s="18" t="s">
        <v>395</v>
      </c>
      <c r="Q19" s="18" t="s">
        <v>396</v>
      </c>
      <c r="R19" s="25"/>
      <c r="S19" s="18" t="s">
        <v>394</v>
      </c>
      <c r="T19" s="18" t="s">
        <v>395</v>
      </c>
      <c r="U19" s="18" t="s">
        <v>396</v>
      </c>
      <c r="V19" s="18" t="s">
        <v>394</v>
      </c>
      <c r="W19" s="18" t="s">
        <v>395</v>
      </c>
      <c r="X19" s="18" t="s">
        <v>396</v>
      </c>
      <c r="Y19" s="25"/>
      <c r="Z19" s="18" t="s">
        <v>394</v>
      </c>
      <c r="AA19" s="18" t="s">
        <v>395</v>
      </c>
      <c r="AB19" s="18" t="s">
        <v>396</v>
      </c>
      <c r="AC19" s="18" t="s">
        <v>394</v>
      </c>
      <c r="AD19" s="18" t="s">
        <v>395</v>
      </c>
      <c r="AE19" s="18" t="s">
        <v>396</v>
      </c>
      <c r="AF19" s="25"/>
      <c r="AG19" s="18" t="s">
        <v>394</v>
      </c>
      <c r="AH19" s="18" t="s">
        <v>395</v>
      </c>
      <c r="AI19" s="18" t="s">
        <v>396</v>
      </c>
      <c r="AJ19" s="18" t="s">
        <v>394</v>
      </c>
      <c r="AK19" s="18" t="s">
        <v>395</v>
      </c>
      <c r="AL19" s="18" t="s">
        <v>396</v>
      </c>
      <c r="AM19" s="25"/>
      <c r="AN19" s="18" t="s">
        <v>394</v>
      </c>
      <c r="AO19" s="18" t="s">
        <v>395</v>
      </c>
      <c r="AP19" s="18" t="s">
        <v>396</v>
      </c>
      <c r="AQ19" s="18" t="s">
        <v>394</v>
      </c>
      <c r="AR19" s="18" t="s">
        <v>395</v>
      </c>
      <c r="AS19" s="18" t="s">
        <v>396</v>
      </c>
      <c r="AT19" s="14"/>
    </row>
    <row r="20" spans="2:46" s="28" customFormat="1" ht="45">
      <c r="B20" s="27"/>
      <c r="C20" s="27"/>
      <c r="D20" s="108" t="s">
        <v>90</v>
      </c>
      <c r="E20" s="58" t="s">
        <v>91</v>
      </c>
      <c r="F20" s="58" t="s">
        <v>91</v>
      </c>
      <c r="G20" s="58" t="s">
        <v>91</v>
      </c>
      <c r="H20" s="58" t="s">
        <v>91</v>
      </c>
      <c r="I20" s="58" t="s">
        <v>91</v>
      </c>
      <c r="J20" s="58" t="s">
        <v>91</v>
      </c>
      <c r="K20" s="84"/>
      <c r="L20" s="58" t="s">
        <v>91</v>
      </c>
      <c r="M20" s="58" t="s">
        <v>91</v>
      </c>
      <c r="N20" s="58" t="s">
        <v>91</v>
      </c>
      <c r="O20" s="58" t="s">
        <v>91</v>
      </c>
      <c r="P20" s="58" t="s">
        <v>91</v>
      </c>
      <c r="Q20" s="58" t="s">
        <v>91</v>
      </c>
      <c r="R20" s="84"/>
      <c r="S20" s="58" t="s">
        <v>91</v>
      </c>
      <c r="T20" s="58" t="s">
        <v>91</v>
      </c>
      <c r="U20" s="58" t="s">
        <v>91</v>
      </c>
      <c r="V20" s="58" t="s">
        <v>91</v>
      </c>
      <c r="W20" s="58" t="s">
        <v>91</v>
      </c>
      <c r="X20" s="58" t="s">
        <v>91</v>
      </c>
      <c r="Y20" s="84"/>
      <c r="Z20" s="58" t="s">
        <v>91</v>
      </c>
      <c r="AA20" s="58" t="s">
        <v>91</v>
      </c>
      <c r="AB20" s="58" t="s">
        <v>91</v>
      </c>
      <c r="AC20" s="58" t="s">
        <v>91</v>
      </c>
      <c r="AD20" s="58" t="s">
        <v>91</v>
      </c>
      <c r="AE20" s="58" t="s">
        <v>91</v>
      </c>
      <c r="AF20" s="84"/>
      <c r="AG20" s="58" t="s">
        <v>91</v>
      </c>
      <c r="AH20" s="58" t="s">
        <v>91</v>
      </c>
      <c r="AI20" s="58" t="s">
        <v>91</v>
      </c>
      <c r="AJ20" s="58" t="s">
        <v>91</v>
      </c>
      <c r="AK20" s="58" t="s">
        <v>91</v>
      </c>
      <c r="AL20" s="58" t="s">
        <v>91</v>
      </c>
      <c r="AM20" s="84"/>
      <c r="AN20" s="58" t="s">
        <v>91</v>
      </c>
      <c r="AO20" s="58" t="s">
        <v>91</v>
      </c>
      <c r="AP20" s="58" t="s">
        <v>91</v>
      </c>
      <c r="AQ20" s="58" t="s">
        <v>91</v>
      </c>
      <c r="AR20" s="58" t="s">
        <v>91</v>
      </c>
      <c r="AS20" s="58" t="s">
        <v>91</v>
      </c>
      <c r="AT20" s="27"/>
    </row>
    <row r="21" spans="2:46">
      <c r="B21" s="14"/>
      <c r="C21" s="6"/>
      <c r="D21" s="105"/>
      <c r="E21" s="194"/>
      <c r="F21" s="194"/>
      <c r="G21" s="205"/>
      <c r="H21" s="194"/>
      <c r="I21" s="264"/>
      <c r="J21" s="206"/>
      <c r="K21" s="228"/>
      <c r="L21" s="194"/>
      <c r="M21" s="194"/>
      <c r="N21" s="205"/>
      <c r="O21" s="194"/>
      <c r="P21" s="264"/>
      <c r="Q21" s="206"/>
      <c r="R21" s="228"/>
      <c r="S21" s="194"/>
      <c r="T21" s="194"/>
      <c r="U21" s="205"/>
      <c r="V21" s="194"/>
      <c r="W21" s="264"/>
      <c r="X21" s="206"/>
      <c r="Y21" s="228"/>
      <c r="Z21" s="194"/>
      <c r="AA21" s="194"/>
      <c r="AB21" s="205"/>
      <c r="AC21" s="194"/>
      <c r="AD21" s="264"/>
      <c r="AE21" s="206"/>
      <c r="AF21" s="228"/>
      <c r="AG21" s="194"/>
      <c r="AH21" s="194"/>
      <c r="AI21" s="205"/>
      <c r="AJ21" s="194"/>
      <c r="AK21" s="264"/>
      <c r="AL21" s="206"/>
      <c r="AM21" s="228"/>
      <c r="AN21" s="194"/>
      <c r="AO21" s="194"/>
      <c r="AP21" s="205"/>
      <c r="AQ21" s="194"/>
      <c r="AR21" s="264"/>
      <c r="AS21" s="272"/>
      <c r="AT21" s="14"/>
    </row>
    <row r="22" spans="2:46">
      <c r="B22" s="14"/>
      <c r="C22" s="321" t="s">
        <v>92</v>
      </c>
      <c r="D22" s="106"/>
      <c r="E22" s="194"/>
      <c r="F22" s="194"/>
      <c r="G22" s="205"/>
      <c r="H22" s="194"/>
      <c r="I22" s="260"/>
      <c r="J22" s="206"/>
      <c r="K22" s="228"/>
      <c r="L22" s="194"/>
      <c r="M22" s="194"/>
      <c r="N22" s="205"/>
      <c r="O22" s="194"/>
      <c r="P22" s="260"/>
      <c r="Q22" s="206"/>
      <c r="R22" s="228"/>
      <c r="S22" s="194"/>
      <c r="T22" s="194"/>
      <c r="U22" s="205"/>
      <c r="V22" s="194"/>
      <c r="W22" s="260"/>
      <c r="X22" s="206"/>
      <c r="Y22" s="228"/>
      <c r="Z22" s="194"/>
      <c r="AA22" s="194"/>
      <c r="AB22" s="205"/>
      <c r="AC22" s="194"/>
      <c r="AD22" s="260"/>
      <c r="AE22" s="206"/>
      <c r="AF22" s="228"/>
      <c r="AG22" s="194"/>
      <c r="AH22" s="194"/>
      <c r="AI22" s="205"/>
      <c r="AJ22" s="194"/>
      <c r="AK22" s="260"/>
      <c r="AL22" s="206"/>
      <c r="AM22" s="228"/>
      <c r="AN22" s="194"/>
      <c r="AO22" s="194"/>
      <c r="AP22" s="205"/>
      <c r="AQ22" s="194"/>
      <c r="AR22" s="260"/>
      <c r="AS22" s="194"/>
      <c r="AT22" s="14"/>
    </row>
    <row r="23" spans="2:46">
      <c r="B23" s="14"/>
      <c r="C23" s="229" t="s">
        <v>397</v>
      </c>
      <c r="D23" s="106"/>
      <c r="E23" s="194"/>
      <c r="F23" s="194"/>
      <c r="G23" s="205"/>
      <c r="H23" s="194"/>
      <c r="I23" s="260">
        <f>$E$74</f>
        <v>43.2</v>
      </c>
      <c r="J23" s="206"/>
      <c r="K23" s="228"/>
      <c r="L23" s="194"/>
      <c r="M23" s="194"/>
      <c r="N23" s="205"/>
      <c r="O23" s="194"/>
      <c r="P23" s="260">
        <f>$E$74</f>
        <v>43.2</v>
      </c>
      <c r="Q23" s="206"/>
      <c r="R23" s="228"/>
      <c r="S23" s="194"/>
      <c r="T23" s="194"/>
      <c r="U23" s="205"/>
      <c r="V23" s="194"/>
      <c r="W23" s="260">
        <f>$E$74</f>
        <v>43.2</v>
      </c>
      <c r="X23" s="206"/>
      <c r="Y23" s="228"/>
      <c r="Z23" s="194"/>
      <c r="AA23" s="194"/>
      <c r="AB23" s="205"/>
      <c r="AC23" s="194"/>
      <c r="AD23" s="260">
        <f>$E$74</f>
        <v>43.2</v>
      </c>
      <c r="AE23" s="206"/>
      <c r="AF23" s="228"/>
      <c r="AG23" s="194"/>
      <c r="AH23" s="194"/>
      <c r="AI23" s="205"/>
      <c r="AJ23" s="194"/>
      <c r="AK23" s="260">
        <f>$E$74</f>
        <v>43.2</v>
      </c>
      <c r="AL23" s="206"/>
      <c r="AM23" s="228"/>
      <c r="AN23" s="194"/>
      <c r="AO23" s="194"/>
      <c r="AP23" s="205"/>
      <c r="AQ23" s="194"/>
      <c r="AR23" s="260">
        <f>$E$74</f>
        <v>43.2</v>
      </c>
      <c r="AS23" s="194"/>
      <c r="AT23" s="14"/>
    </row>
    <row r="24" spans="2:46">
      <c r="B24" s="14"/>
      <c r="C24" s="229" t="s">
        <v>398</v>
      </c>
      <c r="D24" s="106"/>
      <c r="E24" s="194"/>
      <c r="F24" s="194"/>
      <c r="G24" s="205"/>
      <c r="H24" s="194">
        <f>$E$80</f>
        <v>450.45000000000005</v>
      </c>
      <c r="I24" s="260"/>
      <c r="J24" s="206"/>
      <c r="K24" s="228"/>
      <c r="L24" s="194"/>
      <c r="M24" s="194"/>
      <c r="N24" s="205"/>
      <c r="O24" s="194">
        <f>$E$80</f>
        <v>450.45000000000005</v>
      </c>
      <c r="P24" s="260"/>
      <c r="Q24" s="206"/>
      <c r="R24" s="228"/>
      <c r="S24" s="194"/>
      <c r="T24" s="194"/>
      <c r="U24" s="205"/>
      <c r="V24" s="194">
        <f>$E$80</f>
        <v>450.45000000000005</v>
      </c>
      <c r="W24" s="260"/>
      <c r="X24" s="206"/>
      <c r="Y24" s="228"/>
      <c r="Z24" s="194"/>
      <c r="AA24" s="194"/>
      <c r="AB24" s="205"/>
      <c r="AC24" s="194">
        <f>$E$80</f>
        <v>450.45000000000005</v>
      </c>
      <c r="AD24" s="260"/>
      <c r="AE24" s="206"/>
      <c r="AF24" s="228"/>
      <c r="AG24" s="194"/>
      <c r="AH24" s="194"/>
      <c r="AI24" s="205"/>
      <c r="AJ24" s="194">
        <f>$E$80</f>
        <v>450.45000000000005</v>
      </c>
      <c r="AK24" s="260"/>
      <c r="AL24" s="206"/>
      <c r="AM24" s="228"/>
      <c r="AN24" s="194"/>
      <c r="AO24" s="194"/>
      <c r="AP24" s="205"/>
      <c r="AQ24" s="194">
        <f>$E$80</f>
        <v>450.45000000000005</v>
      </c>
      <c r="AR24" s="260"/>
      <c r="AS24" s="194"/>
      <c r="AT24" s="14"/>
    </row>
    <row r="25" spans="2:46">
      <c r="B25" s="14"/>
      <c r="C25" s="229" t="s">
        <v>399</v>
      </c>
      <c r="D25" s="106"/>
      <c r="E25" s="194"/>
      <c r="F25" s="194"/>
      <c r="G25" s="205"/>
      <c r="H25" s="194"/>
      <c r="I25" s="260"/>
      <c r="J25" s="206">
        <f>$E$89</f>
        <v>122.95125000000002</v>
      </c>
      <c r="K25" s="228"/>
      <c r="L25" s="194"/>
      <c r="M25" s="194"/>
      <c r="N25" s="205"/>
      <c r="O25" s="194"/>
      <c r="P25" s="260"/>
      <c r="Q25" s="206">
        <f>$E$89</f>
        <v>122.95125000000002</v>
      </c>
      <c r="R25" s="228"/>
      <c r="S25" s="194"/>
      <c r="T25" s="194"/>
      <c r="U25" s="205"/>
      <c r="V25" s="194"/>
      <c r="W25" s="260"/>
      <c r="X25" s="206">
        <f>$E$89</f>
        <v>122.95125000000002</v>
      </c>
      <c r="Y25" s="228"/>
      <c r="Z25" s="194"/>
      <c r="AA25" s="194"/>
      <c r="AB25" s="205"/>
      <c r="AC25" s="194"/>
      <c r="AD25" s="260"/>
      <c r="AE25" s="206">
        <f>$E$89</f>
        <v>122.95125000000002</v>
      </c>
      <c r="AF25" s="228"/>
      <c r="AG25" s="194"/>
      <c r="AH25" s="194"/>
      <c r="AI25" s="205"/>
      <c r="AJ25" s="194"/>
      <c r="AK25" s="260"/>
      <c r="AL25" s="206">
        <f>$E$89</f>
        <v>122.95125000000002</v>
      </c>
      <c r="AM25" s="228"/>
      <c r="AN25" s="194"/>
      <c r="AO25" s="194"/>
      <c r="AP25" s="205"/>
      <c r="AQ25" s="194"/>
      <c r="AR25" s="260"/>
      <c r="AS25" s="194">
        <f>$E$89</f>
        <v>122.95125000000002</v>
      </c>
      <c r="AT25" s="14"/>
    </row>
    <row r="26" spans="2:46">
      <c r="B26" s="14"/>
      <c r="C26" s="229"/>
      <c r="D26" s="106"/>
      <c r="E26" s="194"/>
      <c r="F26" s="194"/>
      <c r="G26" s="205"/>
      <c r="H26" s="194"/>
      <c r="I26" s="260"/>
      <c r="J26" s="206"/>
      <c r="K26" s="228"/>
      <c r="L26" s="194"/>
      <c r="M26" s="194"/>
      <c r="N26" s="205"/>
      <c r="O26" s="194"/>
      <c r="P26" s="260"/>
      <c r="Q26" s="206"/>
      <c r="R26" s="228"/>
      <c r="S26" s="194"/>
      <c r="T26" s="194"/>
      <c r="U26" s="205"/>
      <c r="V26" s="194"/>
      <c r="W26" s="260"/>
      <c r="X26" s="206"/>
      <c r="Y26" s="228"/>
      <c r="Z26" s="194"/>
      <c r="AA26" s="194"/>
      <c r="AB26" s="205"/>
      <c r="AC26" s="194"/>
      <c r="AD26" s="260"/>
      <c r="AE26" s="206"/>
      <c r="AF26" s="228"/>
      <c r="AG26" s="194"/>
      <c r="AH26" s="194"/>
      <c r="AI26" s="205"/>
      <c r="AJ26" s="194"/>
      <c r="AK26" s="260"/>
      <c r="AL26" s="206"/>
      <c r="AM26" s="228"/>
      <c r="AN26" s="194"/>
      <c r="AO26" s="194"/>
      <c r="AP26" s="205"/>
      <c r="AQ26" s="194"/>
      <c r="AR26" s="260"/>
      <c r="AS26" s="194"/>
      <c r="AT26" s="14"/>
    </row>
    <row r="27" spans="2:46">
      <c r="B27" s="14"/>
      <c r="C27" s="326" t="s">
        <v>94</v>
      </c>
      <c r="D27" s="106"/>
      <c r="E27" s="194"/>
      <c r="F27" s="194"/>
      <c r="G27" s="205"/>
      <c r="H27" s="194"/>
      <c r="I27" s="260"/>
      <c r="J27" s="206"/>
      <c r="K27" s="228"/>
      <c r="L27" s="194"/>
      <c r="M27" s="194"/>
      <c r="N27" s="205"/>
      <c r="O27" s="194"/>
      <c r="P27" s="260"/>
      <c r="Q27" s="206"/>
      <c r="R27" s="228"/>
      <c r="S27" s="194"/>
      <c r="T27" s="194"/>
      <c r="U27" s="205"/>
      <c r="V27" s="194"/>
      <c r="W27" s="260"/>
      <c r="X27" s="206"/>
      <c r="Y27" s="228"/>
      <c r="Z27" s="194"/>
      <c r="AA27" s="194"/>
      <c r="AB27" s="205"/>
      <c r="AC27" s="194"/>
      <c r="AD27" s="260"/>
      <c r="AE27" s="206"/>
      <c r="AF27" s="228"/>
      <c r="AG27" s="194"/>
      <c r="AH27" s="194"/>
      <c r="AI27" s="205"/>
      <c r="AJ27" s="194"/>
      <c r="AK27" s="260"/>
      <c r="AL27" s="206"/>
      <c r="AM27" s="228"/>
      <c r="AN27" s="194"/>
      <c r="AO27" s="194"/>
      <c r="AP27" s="205"/>
      <c r="AQ27" s="194"/>
      <c r="AR27" s="260"/>
      <c r="AS27" s="194"/>
      <c r="AT27" s="14"/>
    </row>
    <row r="28" spans="2:46" ht="15.75" thickBot="1">
      <c r="B28" s="14"/>
      <c r="C28" s="229"/>
      <c r="D28" s="105"/>
      <c r="E28" s="194"/>
      <c r="F28" s="194"/>
      <c r="G28" s="205"/>
      <c r="H28" s="194"/>
      <c r="I28" s="194"/>
      <c r="J28" s="206"/>
      <c r="K28" s="228"/>
      <c r="L28" s="194"/>
      <c r="M28" s="194"/>
      <c r="N28" s="205"/>
      <c r="O28" s="194"/>
      <c r="P28" s="194"/>
      <c r="Q28" s="206"/>
      <c r="R28" s="228"/>
      <c r="S28" s="194"/>
      <c r="T28" s="194"/>
      <c r="U28" s="205"/>
      <c r="V28" s="194"/>
      <c r="W28" s="194"/>
      <c r="X28" s="206"/>
      <c r="Y28" s="228"/>
      <c r="Z28" s="194"/>
      <c r="AA28" s="194"/>
      <c r="AB28" s="205"/>
      <c r="AC28" s="194"/>
      <c r="AD28" s="194"/>
      <c r="AE28" s="206"/>
      <c r="AF28" s="228"/>
      <c r="AG28" s="194"/>
      <c r="AH28" s="194"/>
      <c r="AI28" s="205"/>
      <c r="AJ28" s="194"/>
      <c r="AK28" s="194"/>
      <c r="AL28" s="206"/>
      <c r="AM28" s="228"/>
      <c r="AN28" s="194"/>
      <c r="AO28" s="194"/>
      <c r="AP28" s="205"/>
      <c r="AQ28" s="194"/>
      <c r="AR28" s="194"/>
      <c r="AS28" s="194"/>
      <c r="AT28" s="14"/>
    </row>
    <row r="29" spans="2:46" s="3" customFormat="1" ht="16.5" thickTop="1" thickBot="1">
      <c r="B29" s="15"/>
      <c r="C29" s="112" t="s">
        <v>68</v>
      </c>
      <c r="D29" s="107"/>
      <c r="E29" s="195">
        <f t="shared" ref="E29:J29" si="0">SUM(E21:E28)</f>
        <v>0</v>
      </c>
      <c r="F29" s="195">
        <f t="shared" si="0"/>
        <v>0</v>
      </c>
      <c r="G29" s="195">
        <f t="shared" si="0"/>
        <v>0</v>
      </c>
      <c r="H29" s="195">
        <f t="shared" si="0"/>
        <v>450.45000000000005</v>
      </c>
      <c r="I29" s="195">
        <f t="shared" si="0"/>
        <v>43.2</v>
      </c>
      <c r="J29" s="195">
        <f t="shared" si="0"/>
        <v>122.95125000000002</v>
      </c>
      <c r="K29" s="196"/>
      <c r="L29" s="195">
        <f t="shared" ref="L29:Q29" si="1">SUM(L21:L28)</f>
        <v>0</v>
      </c>
      <c r="M29" s="195">
        <f t="shared" si="1"/>
        <v>0</v>
      </c>
      <c r="N29" s="195">
        <f t="shared" si="1"/>
        <v>0</v>
      </c>
      <c r="O29" s="195">
        <f t="shared" si="1"/>
        <v>450.45000000000005</v>
      </c>
      <c r="P29" s="195">
        <f t="shared" si="1"/>
        <v>43.2</v>
      </c>
      <c r="Q29" s="195">
        <f t="shared" si="1"/>
        <v>122.95125000000002</v>
      </c>
      <c r="R29" s="196"/>
      <c r="S29" s="195">
        <f t="shared" ref="S29:X29" si="2">SUM(S21:S28)</f>
        <v>0</v>
      </c>
      <c r="T29" s="195">
        <f t="shared" si="2"/>
        <v>0</v>
      </c>
      <c r="U29" s="195">
        <f t="shared" si="2"/>
        <v>0</v>
      </c>
      <c r="V29" s="195">
        <f t="shared" si="2"/>
        <v>450.45000000000005</v>
      </c>
      <c r="W29" s="195">
        <f t="shared" si="2"/>
        <v>43.2</v>
      </c>
      <c r="X29" s="195">
        <f t="shared" si="2"/>
        <v>122.95125000000002</v>
      </c>
      <c r="Y29" s="196"/>
      <c r="Z29" s="195">
        <f t="shared" ref="Z29:AE29" si="3">SUM(Z21:Z28)</f>
        <v>0</v>
      </c>
      <c r="AA29" s="195">
        <f t="shared" si="3"/>
        <v>0</v>
      </c>
      <c r="AB29" s="195">
        <f t="shared" si="3"/>
        <v>0</v>
      </c>
      <c r="AC29" s="195">
        <f t="shared" si="3"/>
        <v>450.45000000000005</v>
      </c>
      <c r="AD29" s="195">
        <f t="shared" si="3"/>
        <v>43.2</v>
      </c>
      <c r="AE29" s="195">
        <f t="shared" si="3"/>
        <v>122.95125000000002</v>
      </c>
      <c r="AF29" s="196"/>
      <c r="AG29" s="195">
        <f t="shared" ref="AG29:AL29" si="4">SUM(AG21:AG28)</f>
        <v>0</v>
      </c>
      <c r="AH29" s="195">
        <f t="shared" si="4"/>
        <v>0</v>
      </c>
      <c r="AI29" s="195">
        <f t="shared" si="4"/>
        <v>0</v>
      </c>
      <c r="AJ29" s="195">
        <f t="shared" si="4"/>
        <v>450.45000000000005</v>
      </c>
      <c r="AK29" s="195">
        <f t="shared" si="4"/>
        <v>43.2</v>
      </c>
      <c r="AL29" s="195">
        <f t="shared" si="4"/>
        <v>122.95125000000002</v>
      </c>
      <c r="AM29" s="196"/>
      <c r="AN29" s="195">
        <f t="shared" ref="AN29:AS29" si="5">SUM(AN21:AN28)</f>
        <v>0</v>
      </c>
      <c r="AO29" s="195">
        <f t="shared" si="5"/>
        <v>0</v>
      </c>
      <c r="AP29" s="195">
        <f t="shared" si="5"/>
        <v>0</v>
      </c>
      <c r="AQ29" s="195">
        <f t="shared" si="5"/>
        <v>450.45000000000005</v>
      </c>
      <c r="AR29" s="195">
        <f t="shared" si="5"/>
        <v>43.2</v>
      </c>
      <c r="AS29" s="195">
        <f t="shared" si="5"/>
        <v>122.95125000000002</v>
      </c>
      <c r="AT29" s="15"/>
    </row>
    <row r="30" spans="2:46" ht="15.75" thickTop="1">
      <c r="B30" s="14"/>
      <c r="C30" s="326" t="s">
        <v>95</v>
      </c>
      <c r="D30" s="106"/>
      <c r="E30" s="194"/>
      <c r="F30" s="194"/>
      <c r="G30" s="205"/>
      <c r="H30" s="194"/>
      <c r="I30" s="194"/>
      <c r="J30" s="206"/>
      <c r="K30" s="228"/>
      <c r="L30" s="194"/>
      <c r="M30" s="194"/>
      <c r="N30" s="205"/>
      <c r="O30" s="194"/>
      <c r="P30" s="194"/>
      <c r="Q30" s="206"/>
      <c r="R30" s="228"/>
      <c r="S30" s="194"/>
      <c r="T30" s="194"/>
      <c r="U30" s="205"/>
      <c r="V30" s="194"/>
      <c r="W30" s="194"/>
      <c r="X30" s="206"/>
      <c r="Y30" s="228"/>
      <c r="Z30" s="194"/>
      <c r="AA30" s="194"/>
      <c r="AB30" s="205"/>
      <c r="AC30" s="194"/>
      <c r="AD30" s="194"/>
      <c r="AE30" s="206"/>
      <c r="AF30" s="228"/>
      <c r="AG30" s="194"/>
      <c r="AH30" s="194"/>
      <c r="AI30" s="205"/>
      <c r="AJ30" s="194"/>
      <c r="AK30" s="194"/>
      <c r="AL30" s="206"/>
      <c r="AM30" s="228"/>
      <c r="AN30" s="194"/>
      <c r="AO30" s="194"/>
      <c r="AP30" s="205"/>
      <c r="AQ30" s="194"/>
      <c r="AR30" s="194"/>
      <c r="AS30" s="194"/>
      <c r="AT30" s="14"/>
    </row>
    <row r="31" spans="2:46" ht="30">
      <c r="B31" s="14"/>
      <c r="C31" s="229" t="s">
        <v>400</v>
      </c>
      <c r="D31" s="105"/>
      <c r="E31" s="194">
        <f>$F$93</f>
        <v>0</v>
      </c>
      <c r="F31" s="194">
        <f>$F$93</f>
        <v>0</v>
      </c>
      <c r="G31" s="205">
        <f>$F$93</f>
        <v>0</v>
      </c>
      <c r="H31" s="194"/>
      <c r="I31" s="194"/>
      <c r="J31" s="206"/>
      <c r="K31" s="228"/>
      <c r="L31" s="194">
        <f>$F$94</f>
        <v>0</v>
      </c>
      <c r="M31" s="194">
        <f>$F$94</f>
        <v>0</v>
      </c>
      <c r="N31" s="205">
        <f>$F$94</f>
        <v>0</v>
      </c>
      <c r="O31" s="194"/>
      <c r="P31" s="194"/>
      <c r="Q31" s="206"/>
      <c r="R31" s="228"/>
      <c r="S31" s="194">
        <f>$F$95</f>
        <v>0</v>
      </c>
      <c r="T31" s="194">
        <f>$F$95</f>
        <v>0</v>
      </c>
      <c r="U31" s="205">
        <f>$F$95</f>
        <v>0</v>
      </c>
      <c r="V31" s="194"/>
      <c r="W31" s="194"/>
      <c r="X31" s="206"/>
      <c r="Y31" s="228"/>
      <c r="Z31" s="194">
        <f>$F$96</f>
        <v>0</v>
      </c>
      <c r="AA31" s="194">
        <f>$F$96</f>
        <v>0</v>
      </c>
      <c r="AB31" s="205">
        <f>$F$96</f>
        <v>0</v>
      </c>
      <c r="AC31" s="194"/>
      <c r="AD31" s="194"/>
      <c r="AE31" s="206"/>
      <c r="AF31" s="228"/>
      <c r="AG31" s="194">
        <f>$F$97</f>
        <v>0</v>
      </c>
      <c r="AH31" s="194">
        <f>$F$97</f>
        <v>0</v>
      </c>
      <c r="AI31" s="205">
        <f>$F$97</f>
        <v>0</v>
      </c>
      <c r="AJ31" s="194"/>
      <c r="AK31" s="194"/>
      <c r="AL31" s="206"/>
      <c r="AM31" s="228"/>
      <c r="AN31" s="194">
        <f>$F$98</f>
        <v>0</v>
      </c>
      <c r="AO31" s="194">
        <f>$F$98</f>
        <v>0</v>
      </c>
      <c r="AP31" s="205">
        <f>$F$98</f>
        <v>0</v>
      </c>
      <c r="AQ31" s="194"/>
      <c r="AR31" s="194"/>
      <c r="AS31" s="194"/>
      <c r="AT31" s="14"/>
    </row>
    <row r="32" spans="2:46">
      <c r="B32" s="14"/>
      <c r="C32" s="229"/>
      <c r="D32" s="105"/>
      <c r="E32" s="194"/>
      <c r="F32" s="194"/>
      <c r="G32" s="205"/>
      <c r="H32" s="194"/>
      <c r="I32" s="194"/>
      <c r="J32" s="206"/>
      <c r="K32" s="228"/>
      <c r="L32" s="194"/>
      <c r="M32" s="194"/>
      <c r="N32" s="205"/>
      <c r="O32" s="194"/>
      <c r="P32" s="194"/>
      <c r="Q32" s="206"/>
      <c r="R32" s="228"/>
      <c r="S32" s="194"/>
      <c r="T32" s="194"/>
      <c r="U32" s="205"/>
      <c r="V32" s="194"/>
      <c r="W32" s="194"/>
      <c r="X32" s="206"/>
      <c r="Y32" s="228"/>
      <c r="Z32" s="194"/>
      <c r="AA32" s="194"/>
      <c r="AB32" s="205"/>
      <c r="AC32" s="194"/>
      <c r="AD32" s="194"/>
      <c r="AE32" s="206"/>
      <c r="AF32" s="228"/>
      <c r="AG32" s="194"/>
      <c r="AH32" s="194"/>
      <c r="AI32" s="205"/>
      <c r="AJ32" s="194"/>
      <c r="AK32" s="194"/>
      <c r="AL32" s="206"/>
      <c r="AM32" s="228"/>
      <c r="AN32" s="194"/>
      <c r="AO32" s="194"/>
      <c r="AP32" s="205"/>
      <c r="AQ32" s="194"/>
      <c r="AR32" s="194"/>
      <c r="AS32" s="194"/>
      <c r="AT32" s="14"/>
    </row>
    <row r="33" spans="2:46">
      <c r="B33" s="14"/>
      <c r="C33" s="326" t="s">
        <v>97</v>
      </c>
      <c r="D33" s="106"/>
      <c r="E33" s="194"/>
      <c r="F33" s="194"/>
      <c r="G33" s="205"/>
      <c r="H33" s="194"/>
      <c r="I33" s="194"/>
      <c r="J33" s="206"/>
      <c r="K33" s="228"/>
      <c r="L33" s="194"/>
      <c r="M33" s="194"/>
      <c r="N33" s="205"/>
      <c r="O33" s="194"/>
      <c r="P33" s="194"/>
      <c r="Q33" s="206"/>
      <c r="R33" s="228"/>
      <c r="S33" s="194"/>
      <c r="T33" s="194"/>
      <c r="U33" s="205"/>
      <c r="V33" s="194"/>
      <c r="W33" s="194"/>
      <c r="X33" s="206"/>
      <c r="Y33" s="228"/>
      <c r="Z33" s="194"/>
      <c r="AA33" s="194"/>
      <c r="AB33" s="205"/>
      <c r="AC33" s="194"/>
      <c r="AD33" s="194"/>
      <c r="AE33" s="206"/>
      <c r="AF33" s="228"/>
      <c r="AG33" s="194"/>
      <c r="AH33" s="194"/>
      <c r="AI33" s="205"/>
      <c r="AJ33" s="194"/>
      <c r="AK33" s="194"/>
      <c r="AL33" s="206"/>
      <c r="AM33" s="228"/>
      <c r="AN33" s="194"/>
      <c r="AO33" s="194"/>
      <c r="AP33" s="205"/>
      <c r="AQ33" s="194"/>
      <c r="AR33" s="194"/>
      <c r="AS33" s="194"/>
      <c r="AT33" s="14"/>
    </row>
    <row r="34" spans="2:46">
      <c r="B34" s="14"/>
      <c r="C34" s="326" t="s">
        <v>98</v>
      </c>
      <c r="D34" s="106"/>
      <c r="E34" s="194"/>
      <c r="F34" s="194"/>
      <c r="G34" s="205"/>
      <c r="H34" s="194"/>
      <c r="I34" s="194"/>
      <c r="J34" s="206"/>
      <c r="K34" s="228"/>
      <c r="L34" s="194"/>
      <c r="M34" s="194"/>
      <c r="N34" s="205"/>
      <c r="O34" s="194"/>
      <c r="P34" s="194"/>
      <c r="Q34" s="206"/>
      <c r="R34" s="228"/>
      <c r="S34" s="194"/>
      <c r="T34" s="194"/>
      <c r="U34" s="205"/>
      <c r="V34" s="194"/>
      <c r="W34" s="194"/>
      <c r="X34" s="206"/>
      <c r="Y34" s="228"/>
      <c r="Z34" s="194"/>
      <c r="AA34" s="194"/>
      <c r="AB34" s="205"/>
      <c r="AC34" s="194"/>
      <c r="AD34" s="194"/>
      <c r="AE34" s="206"/>
      <c r="AF34" s="228"/>
      <c r="AG34" s="194"/>
      <c r="AH34" s="194"/>
      <c r="AI34" s="205"/>
      <c r="AJ34" s="194"/>
      <c r="AK34" s="194"/>
      <c r="AL34" s="206"/>
      <c r="AM34" s="228"/>
      <c r="AN34" s="194"/>
      <c r="AO34" s="194"/>
      <c r="AP34" s="205"/>
      <c r="AQ34" s="194"/>
      <c r="AR34" s="194"/>
      <c r="AS34" s="194"/>
      <c r="AT34" s="14"/>
    </row>
    <row r="35" spans="2:46" ht="30">
      <c r="B35" s="14"/>
      <c r="C35" s="229" t="str">
        <f>C112 &amp;" (Table 5E)"</f>
        <v>Average annual costs for establishing broadleaf woodland (over 25 year period) (Table 5E)</v>
      </c>
      <c r="D35" s="105"/>
      <c r="E35" s="194"/>
      <c r="F35" s="194">
        <f>$E$112</f>
        <v>158</v>
      </c>
      <c r="G35" s="205"/>
      <c r="H35" s="194"/>
      <c r="I35" s="194"/>
      <c r="J35" s="206"/>
      <c r="K35" s="228"/>
      <c r="L35" s="194"/>
      <c r="M35" s="194">
        <f>$E$112</f>
        <v>158</v>
      </c>
      <c r="N35" s="205"/>
      <c r="O35" s="194"/>
      <c r="P35" s="194"/>
      <c r="Q35" s="206"/>
      <c r="R35" s="228"/>
      <c r="S35" s="194"/>
      <c r="T35" s="194">
        <f>$E$112</f>
        <v>158</v>
      </c>
      <c r="U35" s="205"/>
      <c r="V35" s="194"/>
      <c r="W35" s="194"/>
      <c r="X35" s="206"/>
      <c r="Y35" s="228"/>
      <c r="Z35" s="194"/>
      <c r="AA35" s="194">
        <f>$E$112</f>
        <v>158</v>
      </c>
      <c r="AB35" s="205"/>
      <c r="AC35" s="194"/>
      <c r="AD35" s="194"/>
      <c r="AE35" s="206"/>
      <c r="AF35" s="228"/>
      <c r="AG35" s="194"/>
      <c r="AH35" s="194">
        <f>$E$112</f>
        <v>158</v>
      </c>
      <c r="AI35" s="205"/>
      <c r="AJ35" s="194"/>
      <c r="AK35" s="194"/>
      <c r="AL35" s="206"/>
      <c r="AM35" s="228"/>
      <c r="AN35" s="194"/>
      <c r="AO35" s="194">
        <f>$E$112</f>
        <v>158</v>
      </c>
      <c r="AP35" s="205"/>
      <c r="AQ35" s="194"/>
      <c r="AR35" s="194"/>
      <c r="AS35" s="194"/>
      <c r="AT35" s="14"/>
    </row>
    <row r="36" spans="2:46" ht="30">
      <c r="B36" s="14"/>
      <c r="C36" s="229" t="str">
        <f>C113&amp;" (Table 5E)"</f>
        <v>Average annual costs for establishing coniferous woodland (over 25 year period) (Table 5E)</v>
      </c>
      <c r="D36" s="105"/>
      <c r="E36" s="194">
        <f>$E$113</f>
        <v>338</v>
      </c>
      <c r="F36" s="194"/>
      <c r="G36" s="205"/>
      <c r="H36" s="194"/>
      <c r="I36" s="194"/>
      <c r="J36" s="206"/>
      <c r="K36" s="228"/>
      <c r="L36" s="194">
        <f>$E$113</f>
        <v>338</v>
      </c>
      <c r="M36" s="194"/>
      <c r="N36" s="205"/>
      <c r="O36" s="194"/>
      <c r="P36" s="194"/>
      <c r="Q36" s="206"/>
      <c r="R36" s="228"/>
      <c r="S36" s="194">
        <f>$E$113</f>
        <v>338</v>
      </c>
      <c r="T36" s="194"/>
      <c r="U36" s="205"/>
      <c r="V36" s="194"/>
      <c r="W36" s="194"/>
      <c r="X36" s="206"/>
      <c r="Y36" s="228"/>
      <c r="Z36" s="194">
        <f>$E$113</f>
        <v>338</v>
      </c>
      <c r="AA36" s="194"/>
      <c r="AB36" s="205"/>
      <c r="AC36" s="194"/>
      <c r="AD36" s="194"/>
      <c r="AE36" s="206"/>
      <c r="AF36" s="228"/>
      <c r="AG36" s="194">
        <f>$E$113</f>
        <v>338</v>
      </c>
      <c r="AH36" s="194"/>
      <c r="AI36" s="205"/>
      <c r="AJ36" s="194"/>
      <c r="AK36" s="194"/>
      <c r="AL36" s="206"/>
      <c r="AM36" s="228"/>
      <c r="AN36" s="194">
        <f>$E$113</f>
        <v>338</v>
      </c>
      <c r="AO36" s="194"/>
      <c r="AP36" s="205"/>
      <c r="AQ36" s="194"/>
      <c r="AR36" s="194"/>
      <c r="AS36" s="194"/>
      <c r="AT36" s="14"/>
    </row>
    <row r="37" spans="2:46" ht="30">
      <c r="B37" s="14"/>
      <c r="C37" s="229" t="s">
        <v>401</v>
      </c>
      <c r="D37" s="105"/>
      <c r="E37" s="194"/>
      <c r="F37" s="194"/>
      <c r="G37" s="205">
        <f>0.5*F35+0.5*E36</f>
        <v>248</v>
      </c>
      <c r="H37" s="194"/>
      <c r="I37" s="194"/>
      <c r="J37" s="206"/>
      <c r="K37" s="228"/>
      <c r="L37" s="194"/>
      <c r="M37" s="194"/>
      <c r="N37" s="205">
        <f>0.5*M35+0.5*L36</f>
        <v>248</v>
      </c>
      <c r="O37" s="194"/>
      <c r="P37" s="194"/>
      <c r="Q37" s="206"/>
      <c r="R37" s="228"/>
      <c r="S37" s="194"/>
      <c r="T37" s="194"/>
      <c r="U37" s="205">
        <f>0.5*T35+0.5*S36</f>
        <v>248</v>
      </c>
      <c r="V37" s="194"/>
      <c r="W37" s="194"/>
      <c r="X37" s="206"/>
      <c r="Y37" s="228"/>
      <c r="Z37" s="194"/>
      <c r="AA37" s="194"/>
      <c r="AB37" s="205">
        <f>0.5*AA35+0.5*Z36</f>
        <v>248</v>
      </c>
      <c r="AC37" s="194"/>
      <c r="AD37" s="194"/>
      <c r="AE37" s="206"/>
      <c r="AF37" s="228"/>
      <c r="AG37" s="194"/>
      <c r="AH37" s="194"/>
      <c r="AI37" s="205">
        <f>0.5*AH35+0.5*AG36</f>
        <v>248</v>
      </c>
      <c r="AJ37" s="194"/>
      <c r="AK37" s="194"/>
      <c r="AL37" s="206"/>
      <c r="AM37" s="228"/>
      <c r="AN37" s="194"/>
      <c r="AO37" s="194"/>
      <c r="AP37" s="205">
        <f>0.5*AO35+0.5*AN36</f>
        <v>248</v>
      </c>
      <c r="AQ37" s="194"/>
      <c r="AR37" s="194"/>
      <c r="AS37" s="194"/>
      <c r="AT37" s="14"/>
    </row>
    <row r="38" spans="2:46">
      <c r="B38" s="14"/>
      <c r="C38" s="229"/>
      <c r="D38" s="106"/>
      <c r="E38" s="194"/>
      <c r="F38" s="194"/>
      <c r="G38" s="205"/>
      <c r="H38" s="194"/>
      <c r="I38" s="194"/>
      <c r="J38" s="206"/>
      <c r="K38" s="228"/>
      <c r="L38" s="194"/>
      <c r="M38" s="194"/>
      <c r="N38" s="205"/>
      <c r="O38" s="194"/>
      <c r="P38" s="194"/>
      <c r="Q38" s="206"/>
      <c r="R38" s="228"/>
      <c r="S38" s="194"/>
      <c r="T38" s="194"/>
      <c r="U38" s="205"/>
      <c r="V38" s="194"/>
      <c r="W38" s="194"/>
      <c r="X38" s="206"/>
      <c r="Y38" s="228"/>
      <c r="Z38" s="194"/>
      <c r="AA38" s="194"/>
      <c r="AB38" s="205"/>
      <c r="AC38" s="194"/>
      <c r="AD38" s="194"/>
      <c r="AE38" s="206"/>
      <c r="AF38" s="228"/>
      <c r="AG38" s="194"/>
      <c r="AH38" s="194"/>
      <c r="AI38" s="205"/>
      <c r="AJ38" s="194"/>
      <c r="AK38" s="194"/>
      <c r="AL38" s="206"/>
      <c r="AM38" s="228"/>
      <c r="AN38" s="194"/>
      <c r="AO38" s="194"/>
      <c r="AP38" s="205"/>
      <c r="AQ38" s="194"/>
      <c r="AR38" s="194"/>
      <c r="AS38" s="194"/>
      <c r="AT38" s="14"/>
    </row>
    <row r="39" spans="2:46">
      <c r="B39" s="14"/>
      <c r="C39" s="326" t="s">
        <v>101</v>
      </c>
      <c r="D39" s="105"/>
      <c r="E39" s="194"/>
      <c r="F39" s="194"/>
      <c r="G39" s="205"/>
      <c r="H39" s="194"/>
      <c r="I39" s="194"/>
      <c r="J39" s="206"/>
      <c r="K39" s="228"/>
      <c r="L39" s="194"/>
      <c r="M39" s="194"/>
      <c r="N39" s="205"/>
      <c r="O39" s="194"/>
      <c r="P39" s="194"/>
      <c r="Q39" s="206"/>
      <c r="R39" s="228"/>
      <c r="S39" s="194"/>
      <c r="T39" s="194"/>
      <c r="U39" s="205"/>
      <c r="V39" s="194"/>
      <c r="W39" s="194"/>
      <c r="X39" s="206"/>
      <c r="Y39" s="228"/>
      <c r="Z39" s="194"/>
      <c r="AA39" s="194"/>
      <c r="AB39" s="205"/>
      <c r="AC39" s="194"/>
      <c r="AD39" s="194"/>
      <c r="AE39" s="206"/>
      <c r="AF39" s="228"/>
      <c r="AG39" s="194"/>
      <c r="AH39" s="194"/>
      <c r="AI39" s="205"/>
      <c r="AJ39" s="194"/>
      <c r="AK39" s="194"/>
      <c r="AL39" s="206"/>
      <c r="AM39" s="228"/>
      <c r="AN39" s="194"/>
      <c r="AO39" s="194"/>
      <c r="AP39" s="205"/>
      <c r="AQ39" s="194"/>
      <c r="AR39" s="194"/>
      <c r="AS39" s="194"/>
      <c r="AT39" s="14"/>
    </row>
    <row r="40" spans="2:46" ht="30">
      <c r="B40" s="14"/>
      <c r="C40" s="229" t="str">
        <f>C123&amp;" (Table 5F)"</f>
        <v>Average annual maintenance costs for  broadleaf woodland (over 25 year period) (Table 5F)</v>
      </c>
      <c r="D40" s="105"/>
      <c r="E40" s="194"/>
      <c r="F40" s="194">
        <f>$E$123</f>
        <v>113.60000000000001</v>
      </c>
      <c r="G40" s="205"/>
      <c r="H40" s="194"/>
      <c r="I40" s="194"/>
      <c r="J40" s="206"/>
      <c r="K40" s="228"/>
      <c r="L40" s="194"/>
      <c r="M40" s="194">
        <f>$E$123</f>
        <v>113.60000000000001</v>
      </c>
      <c r="N40" s="205"/>
      <c r="O40" s="194"/>
      <c r="P40" s="194"/>
      <c r="Q40" s="206"/>
      <c r="R40" s="228"/>
      <c r="S40" s="194"/>
      <c r="T40" s="194">
        <f>$E$123</f>
        <v>113.60000000000001</v>
      </c>
      <c r="U40" s="205"/>
      <c r="V40" s="194"/>
      <c r="W40" s="194"/>
      <c r="X40" s="206"/>
      <c r="Y40" s="228"/>
      <c r="Z40" s="194"/>
      <c r="AA40" s="194">
        <f>$E$123</f>
        <v>113.60000000000001</v>
      </c>
      <c r="AB40" s="205"/>
      <c r="AC40" s="194"/>
      <c r="AD40" s="194"/>
      <c r="AE40" s="206"/>
      <c r="AF40" s="228"/>
      <c r="AG40" s="194"/>
      <c r="AH40" s="194">
        <f>$E$123</f>
        <v>113.60000000000001</v>
      </c>
      <c r="AI40" s="205"/>
      <c r="AJ40" s="194"/>
      <c r="AK40" s="194"/>
      <c r="AL40" s="206"/>
      <c r="AM40" s="228"/>
      <c r="AN40" s="194"/>
      <c r="AO40" s="194">
        <f>$E$123</f>
        <v>113.60000000000001</v>
      </c>
      <c r="AP40" s="205"/>
      <c r="AQ40" s="194"/>
      <c r="AR40" s="194"/>
      <c r="AS40" s="194"/>
      <c r="AT40" s="14"/>
    </row>
    <row r="41" spans="2:46" ht="30">
      <c r="B41" s="14"/>
      <c r="C41" s="229" t="str">
        <f>C124&amp;" (Table 5F)"</f>
        <v>Average annual maintenance costs for  coniferous woodland (over 25 year period) (Table 5F)</v>
      </c>
      <c r="D41" s="105"/>
      <c r="E41" s="194">
        <f>$E$124</f>
        <v>149.6</v>
      </c>
      <c r="F41" s="194"/>
      <c r="G41" s="205"/>
      <c r="H41" s="194"/>
      <c r="I41" s="194"/>
      <c r="J41" s="206"/>
      <c r="K41" s="228"/>
      <c r="L41" s="194">
        <f>$E$124</f>
        <v>149.6</v>
      </c>
      <c r="M41" s="194"/>
      <c r="N41" s="205"/>
      <c r="O41" s="194"/>
      <c r="P41" s="194"/>
      <c r="Q41" s="206"/>
      <c r="R41" s="228"/>
      <c r="S41" s="194">
        <f>$E$124</f>
        <v>149.6</v>
      </c>
      <c r="T41" s="194"/>
      <c r="U41" s="205"/>
      <c r="V41" s="194"/>
      <c r="W41" s="194"/>
      <c r="X41" s="206"/>
      <c r="Y41" s="228"/>
      <c r="Z41" s="194">
        <f>$E$124</f>
        <v>149.6</v>
      </c>
      <c r="AA41" s="194"/>
      <c r="AB41" s="205"/>
      <c r="AC41" s="194"/>
      <c r="AD41" s="194"/>
      <c r="AE41" s="206"/>
      <c r="AF41" s="228"/>
      <c r="AG41" s="194">
        <f>$E$124</f>
        <v>149.6</v>
      </c>
      <c r="AH41" s="194"/>
      <c r="AI41" s="205"/>
      <c r="AJ41" s="194"/>
      <c r="AK41" s="194"/>
      <c r="AL41" s="206"/>
      <c r="AM41" s="228"/>
      <c r="AN41" s="194">
        <f>$E$124</f>
        <v>149.6</v>
      </c>
      <c r="AO41" s="194"/>
      <c r="AP41" s="205"/>
      <c r="AQ41" s="194"/>
      <c r="AR41" s="194"/>
      <c r="AS41" s="194"/>
      <c r="AT41" s="14"/>
    </row>
    <row r="42" spans="2:46" ht="30">
      <c r="B42" s="14"/>
      <c r="C42" s="229" t="s">
        <v>402</v>
      </c>
      <c r="D42" s="105"/>
      <c r="E42" s="194"/>
      <c r="F42" s="194"/>
      <c r="G42" s="205">
        <f>0.5*F40+0.5*E41</f>
        <v>131.6</v>
      </c>
      <c r="H42" s="194"/>
      <c r="I42" s="194"/>
      <c r="J42" s="206"/>
      <c r="K42" s="228"/>
      <c r="L42" s="194"/>
      <c r="M42" s="194"/>
      <c r="N42" s="205">
        <f>0.5*M40+0.5*L41</f>
        <v>131.6</v>
      </c>
      <c r="O42" s="194"/>
      <c r="P42" s="194"/>
      <c r="Q42" s="206"/>
      <c r="R42" s="228"/>
      <c r="S42" s="194"/>
      <c r="T42" s="194"/>
      <c r="U42" s="205">
        <f>0.5*T40+0.5*S41</f>
        <v>131.6</v>
      </c>
      <c r="V42" s="194"/>
      <c r="W42" s="194"/>
      <c r="X42" s="206"/>
      <c r="Y42" s="228"/>
      <c r="Z42" s="194"/>
      <c r="AA42" s="194"/>
      <c r="AB42" s="205">
        <f>0.5*AA40+0.5*Z41</f>
        <v>131.6</v>
      </c>
      <c r="AC42" s="194"/>
      <c r="AD42" s="194"/>
      <c r="AE42" s="206"/>
      <c r="AF42" s="228"/>
      <c r="AG42" s="194"/>
      <c r="AH42" s="194"/>
      <c r="AI42" s="205">
        <f>0.5*AH40+0.5*AG41</f>
        <v>131.6</v>
      </c>
      <c r="AJ42" s="194"/>
      <c r="AK42" s="194"/>
      <c r="AL42" s="206"/>
      <c r="AM42" s="228"/>
      <c r="AN42" s="194"/>
      <c r="AO42" s="194"/>
      <c r="AP42" s="205">
        <f>0.5*AO40+0.5*AN41</f>
        <v>131.6</v>
      </c>
      <c r="AQ42" s="194"/>
      <c r="AR42" s="194"/>
      <c r="AS42" s="194"/>
      <c r="AT42" s="14"/>
    </row>
    <row r="43" spans="2:46" ht="15.75" thickBot="1">
      <c r="B43" s="14"/>
      <c r="C43" s="176"/>
      <c r="D43" s="105"/>
      <c r="E43" s="194"/>
      <c r="F43" s="194"/>
      <c r="G43" s="205"/>
      <c r="H43" s="194"/>
      <c r="I43" s="194"/>
      <c r="J43" s="206"/>
      <c r="K43" s="228"/>
      <c r="L43" s="194"/>
      <c r="M43" s="194"/>
      <c r="N43" s="205"/>
      <c r="O43" s="194"/>
      <c r="P43" s="194"/>
      <c r="Q43" s="206"/>
      <c r="R43" s="228"/>
      <c r="S43" s="194"/>
      <c r="T43" s="194"/>
      <c r="U43" s="205"/>
      <c r="V43" s="194"/>
      <c r="W43" s="194"/>
      <c r="X43" s="206"/>
      <c r="Y43" s="228"/>
      <c r="Z43" s="194"/>
      <c r="AA43" s="194"/>
      <c r="AB43" s="205"/>
      <c r="AC43" s="194"/>
      <c r="AD43" s="194"/>
      <c r="AE43" s="206"/>
      <c r="AF43" s="228"/>
      <c r="AG43" s="194"/>
      <c r="AH43" s="194"/>
      <c r="AI43" s="205"/>
      <c r="AJ43" s="194"/>
      <c r="AK43" s="194"/>
      <c r="AL43" s="206"/>
      <c r="AM43" s="228"/>
      <c r="AN43" s="194"/>
      <c r="AO43" s="194"/>
      <c r="AP43" s="205"/>
      <c r="AQ43" s="194"/>
      <c r="AR43" s="194"/>
      <c r="AS43" s="194"/>
      <c r="AT43" s="14"/>
    </row>
    <row r="44" spans="2:46" s="3" customFormat="1" ht="16.5" thickTop="1" thickBot="1">
      <c r="B44" s="15"/>
      <c r="C44" s="24" t="s">
        <v>68</v>
      </c>
      <c r="D44" s="91"/>
      <c r="E44" s="195">
        <f t="shared" ref="E44:J44" si="6">SUM(E31:E43)</f>
        <v>487.6</v>
      </c>
      <c r="F44" s="195">
        <f t="shared" si="6"/>
        <v>271.60000000000002</v>
      </c>
      <c r="G44" s="195">
        <f t="shared" si="6"/>
        <v>379.6</v>
      </c>
      <c r="H44" s="195">
        <f t="shared" si="6"/>
        <v>0</v>
      </c>
      <c r="I44" s="195">
        <f t="shared" si="6"/>
        <v>0</v>
      </c>
      <c r="J44" s="195">
        <f t="shared" si="6"/>
        <v>0</v>
      </c>
      <c r="K44" s="196"/>
      <c r="L44" s="195">
        <f t="shared" ref="L44:Q44" si="7">SUM(L31:L43)</f>
        <v>487.6</v>
      </c>
      <c r="M44" s="195">
        <f t="shared" si="7"/>
        <v>271.60000000000002</v>
      </c>
      <c r="N44" s="195">
        <f t="shared" si="7"/>
        <v>379.6</v>
      </c>
      <c r="O44" s="195">
        <f t="shared" si="7"/>
        <v>0</v>
      </c>
      <c r="P44" s="195">
        <f t="shared" si="7"/>
        <v>0</v>
      </c>
      <c r="Q44" s="195">
        <f t="shared" si="7"/>
        <v>0</v>
      </c>
      <c r="R44" s="196"/>
      <c r="S44" s="195">
        <f t="shared" ref="S44:X44" si="8">SUM(S31:S43)</f>
        <v>487.6</v>
      </c>
      <c r="T44" s="195">
        <f t="shared" si="8"/>
        <v>271.60000000000002</v>
      </c>
      <c r="U44" s="195">
        <f t="shared" si="8"/>
        <v>379.6</v>
      </c>
      <c r="V44" s="195">
        <f t="shared" si="8"/>
        <v>0</v>
      </c>
      <c r="W44" s="195">
        <f t="shared" si="8"/>
        <v>0</v>
      </c>
      <c r="X44" s="195">
        <f t="shared" si="8"/>
        <v>0</v>
      </c>
      <c r="Y44" s="196"/>
      <c r="Z44" s="195">
        <f t="shared" ref="Z44:AE44" si="9">SUM(Z31:Z43)</f>
        <v>487.6</v>
      </c>
      <c r="AA44" s="195">
        <f t="shared" si="9"/>
        <v>271.60000000000002</v>
      </c>
      <c r="AB44" s="195">
        <f t="shared" si="9"/>
        <v>379.6</v>
      </c>
      <c r="AC44" s="195">
        <f t="shared" si="9"/>
        <v>0</v>
      </c>
      <c r="AD44" s="195">
        <f t="shared" si="9"/>
        <v>0</v>
      </c>
      <c r="AE44" s="195">
        <f t="shared" si="9"/>
        <v>0</v>
      </c>
      <c r="AF44" s="196"/>
      <c r="AG44" s="195">
        <f t="shared" ref="AG44:AL44" si="10">SUM(AG31:AG43)</f>
        <v>487.6</v>
      </c>
      <c r="AH44" s="195">
        <f t="shared" si="10"/>
        <v>271.60000000000002</v>
      </c>
      <c r="AI44" s="195">
        <f t="shared" si="10"/>
        <v>379.6</v>
      </c>
      <c r="AJ44" s="195">
        <f t="shared" si="10"/>
        <v>0</v>
      </c>
      <c r="AK44" s="195">
        <f t="shared" si="10"/>
        <v>0</v>
      </c>
      <c r="AL44" s="195">
        <f t="shared" si="10"/>
        <v>0</v>
      </c>
      <c r="AM44" s="196"/>
      <c r="AN44" s="195">
        <f t="shared" ref="AN44:AS44" si="11">SUM(AN31:AN43)</f>
        <v>487.6</v>
      </c>
      <c r="AO44" s="195">
        <f t="shared" si="11"/>
        <v>271.60000000000002</v>
      </c>
      <c r="AP44" s="195">
        <f t="shared" si="11"/>
        <v>379.6</v>
      </c>
      <c r="AQ44" s="195">
        <f t="shared" si="11"/>
        <v>0</v>
      </c>
      <c r="AR44" s="195">
        <f t="shared" si="11"/>
        <v>0</v>
      </c>
      <c r="AS44" s="195">
        <f t="shared" si="11"/>
        <v>0</v>
      </c>
      <c r="AT44" s="15"/>
    </row>
    <row r="45" spans="2:46" ht="15.75" thickTop="1">
      <c r="B45" s="14"/>
      <c r="C45" s="317"/>
      <c r="D45" s="318"/>
      <c r="E45" s="261"/>
      <c r="F45" s="261"/>
      <c r="G45" s="207"/>
      <c r="H45" s="261"/>
      <c r="I45" s="261"/>
      <c r="J45" s="252"/>
      <c r="K45" s="269"/>
      <c r="L45" s="261"/>
      <c r="M45" s="261"/>
      <c r="N45" s="207"/>
      <c r="O45" s="261"/>
      <c r="P45" s="261"/>
      <c r="Q45" s="252"/>
      <c r="R45" s="269"/>
      <c r="S45" s="261"/>
      <c r="T45" s="261"/>
      <c r="U45" s="207"/>
      <c r="V45" s="261"/>
      <c r="W45" s="261"/>
      <c r="X45" s="252"/>
      <c r="Y45" s="269"/>
      <c r="Z45" s="261"/>
      <c r="AA45" s="261"/>
      <c r="AB45" s="207"/>
      <c r="AC45" s="261"/>
      <c r="AD45" s="261"/>
      <c r="AE45" s="252"/>
      <c r="AF45" s="269"/>
      <c r="AG45" s="261"/>
      <c r="AH45" s="261"/>
      <c r="AI45" s="207"/>
      <c r="AJ45" s="261"/>
      <c r="AK45" s="261"/>
      <c r="AL45" s="252"/>
      <c r="AM45" s="269"/>
      <c r="AN45" s="261"/>
      <c r="AO45" s="261"/>
      <c r="AP45" s="207"/>
      <c r="AQ45" s="261"/>
      <c r="AR45" s="261"/>
      <c r="AS45" s="261"/>
      <c r="AT45" s="14"/>
    </row>
    <row r="46" spans="2:46" s="3" customFormat="1">
      <c r="B46" s="15"/>
      <c r="C46" s="19" t="s">
        <v>75</v>
      </c>
      <c r="D46" s="22"/>
      <c r="E46" s="197">
        <f>-E29-E44</f>
        <v>-487.6</v>
      </c>
      <c r="F46" s="197">
        <f>-F29-F44</f>
        <v>-271.60000000000002</v>
      </c>
      <c r="G46" s="197">
        <f>-G29-G44</f>
        <v>-379.6</v>
      </c>
      <c r="H46" s="197">
        <f>H29+H44</f>
        <v>450.45000000000005</v>
      </c>
      <c r="I46" s="197">
        <f>I29+I44</f>
        <v>43.2</v>
      </c>
      <c r="J46" s="197">
        <f>J29+J44</f>
        <v>122.95125000000002</v>
      </c>
      <c r="K46" s="198"/>
      <c r="L46" s="197">
        <f>-L29-L44</f>
        <v>-487.6</v>
      </c>
      <c r="M46" s="197">
        <f>-M29-M44</f>
        <v>-271.60000000000002</v>
      </c>
      <c r="N46" s="197">
        <f>-N29-N44</f>
        <v>-379.6</v>
      </c>
      <c r="O46" s="197">
        <f>O29+O44</f>
        <v>450.45000000000005</v>
      </c>
      <c r="P46" s="197">
        <f>P29+P44</f>
        <v>43.2</v>
      </c>
      <c r="Q46" s="197">
        <f>Q29+Q44</f>
        <v>122.95125000000002</v>
      </c>
      <c r="R46" s="198"/>
      <c r="S46" s="197">
        <f>-S29-S44</f>
        <v>-487.6</v>
      </c>
      <c r="T46" s="197">
        <f>-T29-T44</f>
        <v>-271.60000000000002</v>
      </c>
      <c r="U46" s="197">
        <f>-U29-U44</f>
        <v>-379.6</v>
      </c>
      <c r="V46" s="197">
        <f>V29+V44</f>
        <v>450.45000000000005</v>
      </c>
      <c r="W46" s="197">
        <f>W29+W44</f>
        <v>43.2</v>
      </c>
      <c r="X46" s="197">
        <f>X29+X44</f>
        <v>122.95125000000002</v>
      </c>
      <c r="Y46" s="198"/>
      <c r="Z46" s="197">
        <f>-Z29-Z44</f>
        <v>-487.6</v>
      </c>
      <c r="AA46" s="197">
        <f>-AA29-AA44</f>
        <v>-271.60000000000002</v>
      </c>
      <c r="AB46" s="197">
        <f>-AB29-AB44</f>
        <v>-379.6</v>
      </c>
      <c r="AC46" s="197">
        <f>AC29+AC44</f>
        <v>450.45000000000005</v>
      </c>
      <c r="AD46" s="197">
        <f>AD29+AD44</f>
        <v>43.2</v>
      </c>
      <c r="AE46" s="197">
        <f>AE29+AE44</f>
        <v>122.95125000000002</v>
      </c>
      <c r="AF46" s="198"/>
      <c r="AG46" s="197">
        <f>-AG29-AG44</f>
        <v>-487.6</v>
      </c>
      <c r="AH46" s="197">
        <f>-AH29-AH44</f>
        <v>-271.60000000000002</v>
      </c>
      <c r="AI46" s="197">
        <f>-AI29-AI44</f>
        <v>-379.6</v>
      </c>
      <c r="AJ46" s="197">
        <f>AJ29+AJ44</f>
        <v>450.45000000000005</v>
      </c>
      <c r="AK46" s="197">
        <f>AK29+AK44</f>
        <v>43.2</v>
      </c>
      <c r="AL46" s="197">
        <f>AL29+AL44</f>
        <v>122.95125000000002</v>
      </c>
      <c r="AM46" s="198"/>
      <c r="AN46" s="197">
        <f>-AN29-AN44</f>
        <v>-487.6</v>
      </c>
      <c r="AO46" s="197">
        <f>-AO29-AO44</f>
        <v>-271.60000000000002</v>
      </c>
      <c r="AP46" s="197">
        <f>-AP29-AP44</f>
        <v>-379.6</v>
      </c>
      <c r="AQ46" s="197">
        <f>AQ29+AQ44</f>
        <v>450.45000000000005</v>
      </c>
      <c r="AR46" s="197">
        <f>AR29+AR44</f>
        <v>43.2</v>
      </c>
      <c r="AS46" s="273">
        <f>AS29+AS44</f>
        <v>122.95125000000002</v>
      </c>
      <c r="AT46" s="15"/>
    </row>
    <row r="47" spans="2:46" ht="4.5" customHeight="1">
      <c r="B47" s="14"/>
      <c r="C47" s="2"/>
      <c r="D47" s="1"/>
      <c r="E47" s="199"/>
      <c r="F47" s="199"/>
      <c r="G47" s="199"/>
      <c r="H47" s="199"/>
      <c r="I47" s="199"/>
      <c r="J47" s="257"/>
      <c r="K47" s="200"/>
      <c r="L47" s="199"/>
      <c r="M47" s="199"/>
      <c r="N47" s="199"/>
      <c r="O47" s="199"/>
      <c r="P47" s="199"/>
      <c r="Q47" s="257"/>
      <c r="R47" s="200"/>
      <c r="S47" s="199"/>
      <c r="T47" s="199"/>
      <c r="U47" s="199"/>
      <c r="V47" s="199"/>
      <c r="W47" s="199"/>
      <c r="X47" s="257"/>
      <c r="Y47" s="200"/>
      <c r="Z47" s="199"/>
      <c r="AA47" s="199"/>
      <c r="AB47" s="199"/>
      <c r="AC47" s="199"/>
      <c r="AD47" s="199"/>
      <c r="AE47" s="257"/>
      <c r="AF47" s="200"/>
      <c r="AG47" s="199"/>
      <c r="AH47" s="199"/>
      <c r="AI47" s="199"/>
      <c r="AJ47" s="199"/>
      <c r="AK47" s="199"/>
      <c r="AL47" s="257"/>
      <c r="AM47" s="200"/>
      <c r="AN47" s="199"/>
      <c r="AO47" s="199"/>
      <c r="AP47" s="199"/>
      <c r="AQ47" s="199"/>
      <c r="AR47" s="199"/>
      <c r="AS47" s="262"/>
      <c r="AT47" s="14"/>
    </row>
    <row r="48" spans="2:46" ht="20.45" customHeight="1">
      <c r="B48" s="14"/>
      <c r="C48" s="29" t="s">
        <v>403</v>
      </c>
      <c r="D48" s="92"/>
      <c r="E48" s="201"/>
      <c r="F48" s="201"/>
      <c r="G48" s="201"/>
      <c r="H48" s="201"/>
      <c r="I48" s="201">
        <f>E46+H46</f>
        <v>-37.149999999999977</v>
      </c>
      <c r="J48" s="201"/>
      <c r="K48" s="200"/>
      <c r="L48" s="201"/>
      <c r="M48" s="201"/>
      <c r="N48" s="201"/>
      <c r="O48" s="201"/>
      <c r="P48" s="201">
        <f>L46+O46</f>
        <v>-37.149999999999977</v>
      </c>
      <c r="Q48" s="201"/>
      <c r="R48" s="200"/>
      <c r="S48" s="201"/>
      <c r="T48" s="201"/>
      <c r="U48" s="201"/>
      <c r="V48" s="201"/>
      <c r="W48" s="201">
        <f>S46+V46</f>
        <v>-37.149999999999977</v>
      </c>
      <c r="X48" s="201"/>
      <c r="Y48" s="200"/>
      <c r="Z48" s="201"/>
      <c r="AA48" s="201"/>
      <c r="AB48" s="201"/>
      <c r="AC48" s="201"/>
      <c r="AD48" s="201">
        <f>Z46+AC46</f>
        <v>-37.149999999999977</v>
      </c>
      <c r="AE48" s="201"/>
      <c r="AF48" s="200"/>
      <c r="AG48" s="201"/>
      <c r="AH48" s="201"/>
      <c r="AI48" s="201"/>
      <c r="AJ48" s="201"/>
      <c r="AK48" s="201">
        <f>AG46+AJ46</f>
        <v>-37.149999999999977</v>
      </c>
      <c r="AL48" s="201"/>
      <c r="AM48" s="200"/>
      <c r="AN48" s="201"/>
      <c r="AO48" s="201"/>
      <c r="AP48" s="201"/>
      <c r="AQ48" s="201"/>
      <c r="AR48" s="201">
        <f>AN46+AQ46</f>
        <v>-37.149999999999977</v>
      </c>
      <c r="AS48" s="204"/>
      <c r="AT48" s="14"/>
    </row>
    <row r="49" spans="2:46" ht="20.45" customHeight="1">
      <c r="B49" s="14"/>
      <c r="C49" s="29" t="s">
        <v>404</v>
      </c>
      <c r="D49" s="92"/>
      <c r="E49" s="201"/>
      <c r="F49" s="201"/>
      <c r="G49" s="201"/>
      <c r="H49" s="201"/>
      <c r="I49" s="201">
        <f>F46+I46</f>
        <v>-228.40000000000003</v>
      </c>
      <c r="J49" s="259"/>
      <c r="K49" s="328"/>
      <c r="L49" s="201"/>
      <c r="M49" s="201"/>
      <c r="N49" s="201"/>
      <c r="O49" s="201"/>
      <c r="P49" s="201">
        <f>M46+P46</f>
        <v>-228.40000000000003</v>
      </c>
      <c r="Q49" s="259"/>
      <c r="R49" s="328"/>
      <c r="S49" s="201"/>
      <c r="T49" s="201"/>
      <c r="U49" s="201"/>
      <c r="V49" s="201"/>
      <c r="W49" s="201">
        <f>T46+W46</f>
        <v>-228.40000000000003</v>
      </c>
      <c r="X49" s="259"/>
      <c r="Y49" s="328"/>
      <c r="Z49" s="201"/>
      <c r="AA49" s="201"/>
      <c r="AB49" s="201"/>
      <c r="AC49" s="201"/>
      <c r="AD49" s="201">
        <f>AA46+AD46</f>
        <v>-228.40000000000003</v>
      </c>
      <c r="AE49" s="259"/>
      <c r="AF49" s="328"/>
      <c r="AG49" s="201"/>
      <c r="AH49" s="201"/>
      <c r="AI49" s="201"/>
      <c r="AJ49" s="201"/>
      <c r="AK49" s="201">
        <f>AH46+AK46</f>
        <v>-228.40000000000003</v>
      </c>
      <c r="AL49" s="259"/>
      <c r="AM49" s="328"/>
      <c r="AN49" s="201"/>
      <c r="AO49" s="201"/>
      <c r="AP49" s="201"/>
      <c r="AQ49" s="201"/>
      <c r="AR49" s="201">
        <f>AO46+AR46</f>
        <v>-228.40000000000003</v>
      </c>
      <c r="AS49" s="263"/>
      <c r="AT49" s="14"/>
    </row>
    <row r="50" spans="2:46" ht="20.45" customHeight="1">
      <c r="B50" s="14"/>
      <c r="C50" s="29" t="s">
        <v>405</v>
      </c>
      <c r="D50" s="266"/>
      <c r="E50" s="258"/>
      <c r="F50" s="258"/>
      <c r="G50" s="258"/>
      <c r="H50" s="258"/>
      <c r="I50" s="258">
        <f>J46+G46</f>
        <v>-256.64875000000001</v>
      </c>
      <c r="J50" s="267"/>
      <c r="K50" s="268"/>
      <c r="L50" s="258"/>
      <c r="M50" s="258"/>
      <c r="N50" s="258"/>
      <c r="O50" s="258"/>
      <c r="P50" s="258">
        <f>Q46+N46</f>
        <v>-256.64875000000001</v>
      </c>
      <c r="Q50" s="267"/>
      <c r="R50" s="268"/>
      <c r="S50" s="258"/>
      <c r="T50" s="258"/>
      <c r="U50" s="258"/>
      <c r="V50" s="258"/>
      <c r="W50" s="258">
        <f>X46+U46</f>
        <v>-256.64875000000001</v>
      </c>
      <c r="X50" s="267"/>
      <c r="Y50" s="268"/>
      <c r="Z50" s="258"/>
      <c r="AA50" s="258"/>
      <c r="AB50" s="258"/>
      <c r="AC50" s="258"/>
      <c r="AD50" s="258">
        <f>AE46+AB46</f>
        <v>-256.64875000000001</v>
      </c>
      <c r="AE50" s="267"/>
      <c r="AF50" s="268"/>
      <c r="AG50" s="258"/>
      <c r="AH50" s="258"/>
      <c r="AI50" s="258"/>
      <c r="AJ50" s="258"/>
      <c r="AK50" s="258">
        <f>AL46+AI46</f>
        <v>-256.64875000000001</v>
      </c>
      <c r="AL50" s="267"/>
      <c r="AM50" s="268"/>
      <c r="AN50" s="258"/>
      <c r="AO50" s="258"/>
      <c r="AP50" s="258"/>
      <c r="AQ50" s="258"/>
      <c r="AR50" s="258">
        <f>AS46+AP46</f>
        <v>-256.64875000000001</v>
      </c>
      <c r="AS50" s="263"/>
      <c r="AT50" s="14"/>
    </row>
    <row r="51" spans="2:46">
      <c r="B51" s="14"/>
      <c r="C51" s="321" t="s">
        <v>103</v>
      </c>
      <c r="D51" s="270"/>
      <c r="E51" s="202"/>
      <c r="F51" s="202"/>
      <c r="G51" s="202"/>
      <c r="H51" s="202"/>
      <c r="I51" s="202"/>
      <c r="J51" s="202"/>
      <c r="K51" s="323"/>
      <c r="L51" s="202"/>
      <c r="M51" s="202"/>
      <c r="N51" s="202"/>
      <c r="O51" s="202"/>
      <c r="P51" s="202"/>
      <c r="Q51" s="202"/>
      <c r="R51" s="323"/>
      <c r="S51" s="202"/>
      <c r="T51" s="202"/>
      <c r="U51" s="202"/>
      <c r="V51" s="202"/>
      <c r="W51" s="202"/>
      <c r="X51" s="202"/>
      <c r="Y51" s="323"/>
      <c r="Z51" s="202"/>
      <c r="AA51" s="202"/>
      <c r="AB51" s="202"/>
      <c r="AC51" s="202"/>
      <c r="AD51" s="202"/>
      <c r="AE51" s="202"/>
      <c r="AF51" s="323"/>
      <c r="AG51" s="202"/>
      <c r="AH51" s="202"/>
      <c r="AI51" s="202"/>
      <c r="AJ51" s="202"/>
      <c r="AK51" s="202"/>
      <c r="AL51" s="202"/>
      <c r="AM51" s="323"/>
      <c r="AN51" s="202"/>
      <c r="AO51" s="202"/>
      <c r="AP51" s="202"/>
      <c r="AQ51" s="202"/>
      <c r="AR51" s="202"/>
      <c r="AS51" s="202"/>
      <c r="AT51" s="14"/>
    </row>
    <row r="52" spans="2:46">
      <c r="B52" s="14"/>
      <c r="C52" s="321"/>
      <c r="D52" s="105"/>
      <c r="E52" s="253"/>
      <c r="F52" s="253"/>
      <c r="G52" s="253"/>
      <c r="H52" s="253"/>
      <c r="I52" s="253"/>
      <c r="J52" s="253"/>
      <c r="K52" s="323"/>
      <c r="L52" s="253"/>
      <c r="M52" s="253"/>
      <c r="N52" s="253"/>
      <c r="O52" s="253"/>
      <c r="P52" s="253"/>
      <c r="Q52" s="253"/>
      <c r="R52" s="323"/>
      <c r="S52" s="253"/>
      <c r="T52" s="253"/>
      <c r="U52" s="253"/>
      <c r="V52" s="253"/>
      <c r="W52" s="253"/>
      <c r="X52" s="253"/>
      <c r="Y52" s="323"/>
      <c r="Z52" s="253"/>
      <c r="AA52" s="253"/>
      <c r="AB52" s="253"/>
      <c r="AC52" s="253"/>
      <c r="AD52" s="253"/>
      <c r="AE52" s="253"/>
      <c r="AF52" s="323"/>
      <c r="AG52" s="253"/>
      <c r="AH52" s="253"/>
      <c r="AI52" s="253"/>
      <c r="AJ52" s="253"/>
      <c r="AK52" s="253"/>
      <c r="AL52" s="253"/>
      <c r="AM52" s="323"/>
      <c r="AN52" s="253"/>
      <c r="AO52" s="253"/>
      <c r="AP52" s="253"/>
      <c r="AQ52" s="253"/>
      <c r="AR52" s="253"/>
      <c r="AS52" s="253"/>
      <c r="AT52" s="14"/>
    </row>
    <row r="53" spans="2:46">
      <c r="B53" s="14"/>
      <c r="C53" s="176" t="s">
        <v>406</v>
      </c>
      <c r="D53" s="105"/>
      <c r="E53" s="253"/>
      <c r="F53" s="253"/>
      <c r="G53" s="253"/>
      <c r="H53" s="260" cm="1">
        <f t="array" ref="H53">_xlfn.IFS('Overview and dashboard'!$X$9="No support",0,'Overview and dashboard'!$X$9="Current support schemes",IFERROR(VLOOKUP('Overview and dashboard'!$F$6,$C$164:$H$170,6,0),0),'Overview and dashboard'!$X$9="Income foregone",E44-H24)</f>
        <v>0</v>
      </c>
      <c r="I53" s="253"/>
      <c r="J53" s="253"/>
      <c r="K53" s="323"/>
      <c r="L53" s="253"/>
      <c r="M53" s="253"/>
      <c r="N53" s="253"/>
      <c r="O53" s="260" cm="1">
        <f t="array" ref="O53">_xlfn.IFS('Overview and dashboard'!$X$9="No support",0,'Overview and dashboard'!$X$9="Current support schemes",IFERROR(VLOOKUP('Overview and dashboard'!$F$6,$C$164:$H$170,6,0),0),'Overview and dashboard'!$X$9="Income foregone",L44-O24)</f>
        <v>0</v>
      </c>
      <c r="P53" s="253"/>
      <c r="Q53" s="253"/>
      <c r="R53" s="323"/>
      <c r="S53" s="253"/>
      <c r="T53" s="253"/>
      <c r="U53" s="253"/>
      <c r="V53" s="260" cm="1">
        <f t="array" ref="V53">_xlfn.IFS('Overview and dashboard'!$X$9="No support",0,'Overview and dashboard'!$X$9="Current support schemes",IFERROR(VLOOKUP('Overview and dashboard'!$F$6,$C$164:$H$170,6,0),0),'Overview and dashboard'!$X$9="Income foregone",S44-V24)</f>
        <v>0</v>
      </c>
      <c r="W53" s="253"/>
      <c r="X53" s="253"/>
      <c r="Y53" s="323"/>
      <c r="Z53" s="253"/>
      <c r="AA53" s="253"/>
      <c r="AB53" s="253"/>
      <c r="AC53" s="260" cm="1">
        <f t="array" ref="AC53">_xlfn.IFS('Overview and dashboard'!$X$9="No support",0,'Overview and dashboard'!$X$9="Current support schemes",IFERROR(VLOOKUP('Overview and dashboard'!$F$6,$C$164:$H$170,6,0),0),'Overview and dashboard'!$X$9="Income foregone",Z44-AC24)</f>
        <v>0</v>
      </c>
      <c r="AD53" s="253"/>
      <c r="AE53" s="253"/>
      <c r="AF53" s="323"/>
      <c r="AG53" s="253"/>
      <c r="AH53" s="253"/>
      <c r="AI53" s="253"/>
      <c r="AJ53" s="260" cm="1">
        <f t="array" ref="AJ53">_xlfn.IFS('Overview and dashboard'!$X$9="No support",0,'Overview and dashboard'!$X$9="Current support schemes",IFERROR(VLOOKUP('Overview and dashboard'!$F$6,$C$164:$H$170,6,0),0),'Overview and dashboard'!$X$9="Income foregone",AG44-AJ24)</f>
        <v>0</v>
      </c>
      <c r="AK53" s="253"/>
      <c r="AL53" s="253"/>
      <c r="AM53" s="323"/>
      <c r="AN53" s="253"/>
      <c r="AO53" s="253"/>
      <c r="AP53" s="253"/>
      <c r="AQ53" s="260" cm="1">
        <f t="array" ref="AQ53">_xlfn.IFS('Overview and dashboard'!$X$9="No support",0,'Overview and dashboard'!$X$9="Current support schemes",IFERROR(VLOOKUP('Overview and dashboard'!$F$6,$C$164:$H$170,6,0),0),'Overview and dashboard'!$X$9="Income foregone",AN44-AQ24)</f>
        <v>0</v>
      </c>
      <c r="AR53" s="253"/>
      <c r="AS53" s="253"/>
      <c r="AT53" s="14"/>
    </row>
    <row r="54" spans="2:46">
      <c r="B54" s="14"/>
      <c r="C54" s="176" t="s">
        <v>407</v>
      </c>
      <c r="D54" s="105"/>
      <c r="E54" s="253"/>
      <c r="F54" s="253"/>
      <c r="G54" s="253"/>
      <c r="H54" s="253"/>
      <c r="I54" s="260" cm="1">
        <f t="array" ref="I54">_xlfn.IFS('Overview and dashboard'!$X$9="No support",0,'Overview and dashboard'!$X$9="Current support schemes",IFERROR(VLOOKUP('Overview and dashboard'!$F$6,$C$164:$H$170,6,0),0),'Overview and dashboard'!$X$9="Income foregone",F44-I23)</f>
        <v>0</v>
      </c>
      <c r="J54" s="260"/>
      <c r="K54" s="269"/>
      <c r="L54" s="253"/>
      <c r="M54" s="253"/>
      <c r="N54" s="253"/>
      <c r="O54" s="253"/>
      <c r="P54" s="260" cm="1">
        <f t="array" ref="P54">_xlfn.IFS('Overview and dashboard'!$X$9="No support",0,'Overview and dashboard'!$X$9="Current support schemes",IFERROR(VLOOKUP('Overview and dashboard'!$F$6,$C$164:$H$170,6,0),0),'Overview and dashboard'!$X$9="Income foregone",M44-P23)</f>
        <v>0</v>
      </c>
      <c r="Q54" s="260"/>
      <c r="R54" s="269"/>
      <c r="S54" s="253"/>
      <c r="T54" s="253"/>
      <c r="U54" s="253"/>
      <c r="V54" s="253"/>
      <c r="W54" s="260" cm="1">
        <f t="array" ref="W54">_xlfn.IFS('Overview and dashboard'!$X$9="No support",0,'Overview and dashboard'!$X$9="Current support schemes",IFERROR(VLOOKUP('Overview and dashboard'!$F$6,$C$164:$H$170,6,0),0),'Overview and dashboard'!$X$9="Income foregone",T44-W23)</f>
        <v>0</v>
      </c>
      <c r="X54" s="260"/>
      <c r="Y54" s="269"/>
      <c r="Z54" s="253"/>
      <c r="AA54" s="253"/>
      <c r="AB54" s="253"/>
      <c r="AC54" s="253"/>
      <c r="AD54" s="260" cm="1">
        <f t="array" ref="AD54">_xlfn.IFS('Overview and dashboard'!$X$9="No support",0,'Overview and dashboard'!$X$9="Current support schemes",IFERROR(VLOOKUP('Overview and dashboard'!$F$6,$C$164:$H$170,6,0),0),'Overview and dashboard'!$X$9="Income foregone",AA44-AD23)</f>
        <v>0</v>
      </c>
      <c r="AE54" s="260"/>
      <c r="AF54" s="269"/>
      <c r="AG54" s="253"/>
      <c r="AH54" s="253"/>
      <c r="AI54" s="253"/>
      <c r="AJ54" s="253"/>
      <c r="AK54" s="260" cm="1">
        <f t="array" ref="AK54">_xlfn.IFS('Overview and dashboard'!$X$9="No support",0,'Overview and dashboard'!$X$9="Current support schemes",IFERROR(VLOOKUP('Overview and dashboard'!$F$6,$C$164:$H$170,6,0),0),'Overview and dashboard'!$X$9="Income foregone",AH44-AK23)</f>
        <v>0</v>
      </c>
      <c r="AL54" s="260"/>
      <c r="AM54" s="269"/>
      <c r="AN54" s="253"/>
      <c r="AO54" s="253"/>
      <c r="AP54" s="253"/>
      <c r="AQ54" s="253"/>
      <c r="AR54" s="260" cm="1">
        <f t="array" ref="AR54">_xlfn.IFS('Overview and dashboard'!$X$9="No support",0,'Overview and dashboard'!$X$9="Current support schemes",IFERROR(VLOOKUP('Overview and dashboard'!$F$6,$C$164:$H$170,6,0),0),'Overview and dashboard'!$X$9="Income foregone",AO44-AR23)</f>
        <v>0</v>
      </c>
      <c r="AS54" s="260"/>
      <c r="AT54" s="14"/>
    </row>
    <row r="55" spans="2:46">
      <c r="B55" s="14"/>
      <c r="C55" s="176" t="s">
        <v>408</v>
      </c>
      <c r="D55" s="105"/>
      <c r="E55" s="253"/>
      <c r="F55" s="253"/>
      <c r="G55" s="253"/>
      <c r="H55" s="253"/>
      <c r="I55" s="260"/>
      <c r="J55" s="260">
        <f>0.5*H53+0.5*I54</f>
        <v>0</v>
      </c>
      <c r="K55" s="269"/>
      <c r="L55" s="253"/>
      <c r="M55" s="253"/>
      <c r="N55" s="253"/>
      <c r="O55" s="253"/>
      <c r="P55" s="260"/>
      <c r="Q55" s="260">
        <f>0.5*O53+0.5*P54</f>
        <v>0</v>
      </c>
      <c r="R55" s="269"/>
      <c r="S55" s="253"/>
      <c r="T55" s="253"/>
      <c r="U55" s="253"/>
      <c r="V55" s="253"/>
      <c r="W55" s="260"/>
      <c r="X55" s="260">
        <f>0.5*V53+0.5*W54</f>
        <v>0</v>
      </c>
      <c r="Y55" s="269"/>
      <c r="Z55" s="253"/>
      <c r="AA55" s="253"/>
      <c r="AB55" s="253"/>
      <c r="AC55" s="253"/>
      <c r="AD55" s="260"/>
      <c r="AE55" s="260">
        <f>0.5*AC53+0.5*AD54</f>
        <v>0</v>
      </c>
      <c r="AF55" s="269"/>
      <c r="AG55" s="253"/>
      <c r="AH55" s="253"/>
      <c r="AI55" s="253"/>
      <c r="AJ55" s="253"/>
      <c r="AK55" s="260"/>
      <c r="AL55" s="260">
        <f>0.5*AJ53+0.5*AK54</f>
        <v>0</v>
      </c>
      <c r="AM55" s="269"/>
      <c r="AN55" s="253"/>
      <c r="AO55" s="253"/>
      <c r="AP55" s="253"/>
      <c r="AQ55" s="253"/>
      <c r="AR55" s="260"/>
      <c r="AS55" s="260">
        <f>0.5*AQ53+0.5*AR54</f>
        <v>0</v>
      </c>
      <c r="AT55" s="14"/>
    </row>
    <row r="56" spans="2:46">
      <c r="B56" s="14"/>
      <c r="C56" s="176" t="s">
        <v>409</v>
      </c>
      <c r="D56" s="185">
        <f>E139</f>
        <v>0</v>
      </c>
      <c r="E56" s="253"/>
      <c r="F56" s="253"/>
      <c r="G56" s="253"/>
      <c r="H56" s="260">
        <f>$E$140</f>
        <v>0</v>
      </c>
      <c r="I56" s="253"/>
      <c r="J56" s="253"/>
      <c r="K56" s="269"/>
      <c r="L56" s="253"/>
      <c r="M56" s="253"/>
      <c r="N56" s="253"/>
      <c r="O56" s="260">
        <f>$E$140</f>
        <v>0</v>
      </c>
      <c r="P56" s="253"/>
      <c r="Q56" s="253"/>
      <c r="R56" s="269"/>
      <c r="S56" s="253"/>
      <c r="T56" s="253"/>
      <c r="U56" s="253"/>
      <c r="V56" s="260">
        <f>$E$140</f>
        <v>0</v>
      </c>
      <c r="W56" s="253"/>
      <c r="X56" s="253"/>
      <c r="Y56" s="269"/>
      <c r="Z56" s="253"/>
      <c r="AA56" s="253"/>
      <c r="AB56" s="253"/>
      <c r="AC56" s="260">
        <f>$E$140</f>
        <v>0</v>
      </c>
      <c r="AD56" s="253"/>
      <c r="AE56" s="253"/>
      <c r="AF56" s="269"/>
      <c r="AG56" s="253"/>
      <c r="AH56" s="253"/>
      <c r="AI56" s="253"/>
      <c r="AJ56" s="260">
        <f>$E$140</f>
        <v>0</v>
      </c>
      <c r="AK56" s="253"/>
      <c r="AL56" s="253"/>
      <c r="AM56" s="269"/>
      <c r="AN56" s="253"/>
      <c r="AO56" s="253"/>
      <c r="AP56" s="253"/>
      <c r="AQ56" s="260">
        <f>$E$140</f>
        <v>0</v>
      </c>
      <c r="AR56" s="253"/>
      <c r="AS56" s="253"/>
      <c r="AT56" s="14"/>
    </row>
    <row r="57" spans="2:46">
      <c r="B57" s="14"/>
      <c r="C57" s="176" t="s">
        <v>410</v>
      </c>
      <c r="D57" s="185">
        <f>E146</f>
        <v>0</v>
      </c>
      <c r="E57" s="253"/>
      <c r="F57" s="253"/>
      <c r="G57" s="253"/>
      <c r="H57" s="260"/>
      <c r="I57" s="260">
        <f>$E$147</f>
        <v>0</v>
      </c>
      <c r="J57" s="253"/>
      <c r="K57" s="269"/>
      <c r="L57" s="253"/>
      <c r="M57" s="253"/>
      <c r="N57" s="253"/>
      <c r="O57" s="260"/>
      <c r="P57" s="260"/>
      <c r="Q57" s="253"/>
      <c r="R57" s="269"/>
      <c r="S57" s="253"/>
      <c r="T57" s="253"/>
      <c r="U57" s="253"/>
      <c r="V57" s="260"/>
      <c r="W57" s="260"/>
      <c r="X57" s="253"/>
      <c r="Y57" s="269"/>
      <c r="Z57" s="253"/>
      <c r="AA57" s="253"/>
      <c r="AB57" s="253"/>
      <c r="AC57" s="260"/>
      <c r="AD57" s="260"/>
      <c r="AE57" s="253"/>
      <c r="AF57" s="269"/>
      <c r="AG57" s="253"/>
      <c r="AH57" s="253"/>
      <c r="AI57" s="253"/>
      <c r="AJ57" s="260"/>
      <c r="AK57" s="260"/>
      <c r="AL57" s="253"/>
      <c r="AM57" s="269"/>
      <c r="AN57" s="253"/>
      <c r="AO57" s="253"/>
      <c r="AP57" s="253"/>
      <c r="AQ57" s="260"/>
      <c r="AR57" s="260"/>
      <c r="AS57" s="253"/>
      <c r="AT57" s="14"/>
    </row>
    <row r="58" spans="2:46" ht="15.75" thickBot="1">
      <c r="B58" s="14"/>
      <c r="C58" s="317" t="s">
        <v>411</v>
      </c>
      <c r="D58" s="329">
        <f>D57</f>
        <v>0</v>
      </c>
      <c r="E58" s="325"/>
      <c r="F58" s="254"/>
      <c r="G58" s="254"/>
      <c r="H58" s="325"/>
      <c r="I58" s="254"/>
      <c r="J58" s="260">
        <f>0.5*H56+0.5*I57</f>
        <v>0</v>
      </c>
      <c r="K58" s="269"/>
      <c r="L58" s="325"/>
      <c r="M58" s="254"/>
      <c r="N58" s="254"/>
      <c r="O58" s="325"/>
      <c r="P58" s="254">
        <f>$E$147</f>
        <v>0</v>
      </c>
      <c r="Q58" s="260">
        <f>0.5*O56+0.5*P57</f>
        <v>0</v>
      </c>
      <c r="R58" s="269"/>
      <c r="S58" s="325"/>
      <c r="T58" s="254"/>
      <c r="U58" s="254"/>
      <c r="V58" s="325"/>
      <c r="W58" s="254">
        <f>$E$147</f>
        <v>0</v>
      </c>
      <c r="X58" s="260">
        <f>0.5*V56+0.5*W57</f>
        <v>0</v>
      </c>
      <c r="Y58" s="269"/>
      <c r="Z58" s="325"/>
      <c r="AA58" s="254"/>
      <c r="AB58" s="254"/>
      <c r="AC58" s="325"/>
      <c r="AD58" s="254">
        <f>$E$147</f>
        <v>0</v>
      </c>
      <c r="AE58" s="260">
        <f>0.5*AC56+0.5*AD57</f>
        <v>0</v>
      </c>
      <c r="AF58" s="269"/>
      <c r="AG58" s="325"/>
      <c r="AH58" s="254"/>
      <c r="AI58" s="254"/>
      <c r="AJ58" s="325"/>
      <c r="AK58" s="254">
        <f>$E$147</f>
        <v>0</v>
      </c>
      <c r="AL58" s="260">
        <f>0.5*AJ56+0.5*AK57</f>
        <v>0</v>
      </c>
      <c r="AM58" s="269"/>
      <c r="AN58" s="325"/>
      <c r="AO58" s="254"/>
      <c r="AP58" s="254"/>
      <c r="AQ58" s="325"/>
      <c r="AR58" s="254">
        <f>$E$147</f>
        <v>0</v>
      </c>
      <c r="AS58" s="260">
        <f>0.5*AQ56+0.5*AR57</f>
        <v>0</v>
      </c>
      <c r="AT58" s="14"/>
    </row>
    <row r="59" spans="2:46" ht="16.5" thickTop="1" thickBot="1">
      <c r="B59" s="14"/>
      <c r="C59" s="24" t="s">
        <v>68</v>
      </c>
      <c r="D59" s="107"/>
      <c r="E59" s="195">
        <f>SUM(E51:E58)</f>
        <v>0</v>
      </c>
      <c r="F59" s="195">
        <f>SUM(F51:F58)</f>
        <v>0</v>
      </c>
      <c r="G59" s="195"/>
      <c r="H59" s="195">
        <f>SUM(H51:H58)</f>
        <v>0</v>
      </c>
      <c r="I59" s="195">
        <f>SUM(I51:I58)</f>
        <v>0</v>
      </c>
      <c r="J59" s="195">
        <f>SUM(J51:J58)</f>
        <v>0</v>
      </c>
      <c r="K59" s="196"/>
      <c r="L59" s="195">
        <f>SUM(L51:L58)</f>
        <v>0</v>
      </c>
      <c r="M59" s="195">
        <f>SUM(M51:M58)</f>
        <v>0</v>
      </c>
      <c r="N59" s="195"/>
      <c r="O59" s="195">
        <f>SUM(O51:O58)</f>
        <v>0</v>
      </c>
      <c r="P59" s="195">
        <f>SUM(P51:P58)</f>
        <v>0</v>
      </c>
      <c r="Q59" s="195">
        <f>SUM(Q51:Q58)</f>
        <v>0</v>
      </c>
      <c r="R59" s="196"/>
      <c r="S59" s="195">
        <f>SUM(S51:S58)</f>
        <v>0</v>
      </c>
      <c r="T59" s="195">
        <f>SUM(T51:T58)</f>
        <v>0</v>
      </c>
      <c r="U59" s="195"/>
      <c r="V59" s="195">
        <f>SUM(V51:V58)</f>
        <v>0</v>
      </c>
      <c r="W59" s="195">
        <f>SUM(W51:W58)</f>
        <v>0</v>
      </c>
      <c r="X59" s="195">
        <f>SUM(X51:X58)</f>
        <v>0</v>
      </c>
      <c r="Y59" s="196"/>
      <c r="Z59" s="195">
        <f>SUM(Z51:Z58)</f>
        <v>0</v>
      </c>
      <c r="AA59" s="195">
        <f>SUM(AA51:AA58)</f>
        <v>0</v>
      </c>
      <c r="AB59" s="195"/>
      <c r="AC59" s="195">
        <f>SUM(AC51:AC58)</f>
        <v>0</v>
      </c>
      <c r="AD59" s="195">
        <f>SUM(AD51:AD58)</f>
        <v>0</v>
      </c>
      <c r="AE59" s="195">
        <f>SUM(AE51:AE58)</f>
        <v>0</v>
      </c>
      <c r="AF59" s="196"/>
      <c r="AG59" s="195">
        <f>SUM(AG51:AG58)</f>
        <v>0</v>
      </c>
      <c r="AH59" s="195">
        <f>SUM(AH51:AH58)</f>
        <v>0</v>
      </c>
      <c r="AI59" s="195"/>
      <c r="AJ59" s="195">
        <f>SUM(AJ51:AJ58)</f>
        <v>0</v>
      </c>
      <c r="AK59" s="195">
        <f>SUM(AK51:AK58)</f>
        <v>0</v>
      </c>
      <c r="AL59" s="195">
        <f>SUM(AL51:AL58)</f>
        <v>0</v>
      </c>
      <c r="AM59" s="196"/>
      <c r="AN59" s="195">
        <f>SUM(AN51:AN58)</f>
        <v>0</v>
      </c>
      <c r="AO59" s="195">
        <f>SUM(AO51:AO58)</f>
        <v>0</v>
      </c>
      <c r="AP59" s="195"/>
      <c r="AQ59" s="195">
        <f>SUM(AQ51:AQ58)</f>
        <v>0</v>
      </c>
      <c r="AR59" s="195">
        <f>SUM(AR51:AR58)</f>
        <v>0</v>
      </c>
      <c r="AS59" s="195">
        <f>SUM(AS51:AS58)</f>
        <v>0</v>
      </c>
      <c r="AT59" s="14"/>
    </row>
    <row r="60" spans="2:46" ht="20.45" customHeight="1" thickTop="1">
      <c r="B60" s="14"/>
      <c r="C60" s="29" t="s">
        <v>412</v>
      </c>
      <c r="D60" s="92"/>
      <c r="E60" s="201"/>
      <c r="F60" s="201"/>
      <c r="G60" s="201"/>
      <c r="H60" s="201"/>
      <c r="I60" s="201">
        <f>I48+H59</f>
        <v>-37.149999999999977</v>
      </c>
      <c r="J60" s="258"/>
      <c r="K60" s="200"/>
      <c r="L60" s="201"/>
      <c r="M60" s="201"/>
      <c r="N60" s="201"/>
      <c r="O60" s="201"/>
      <c r="P60" s="201">
        <f>P48+O59</f>
        <v>-37.149999999999977</v>
      </c>
      <c r="Q60" s="258"/>
      <c r="R60" s="200"/>
      <c r="S60" s="201"/>
      <c r="T60" s="201"/>
      <c r="U60" s="201"/>
      <c r="V60" s="201"/>
      <c r="W60" s="201">
        <f>W48+V59</f>
        <v>-37.149999999999977</v>
      </c>
      <c r="X60" s="258"/>
      <c r="Y60" s="200"/>
      <c r="Z60" s="201"/>
      <c r="AA60" s="201"/>
      <c r="AB60" s="201"/>
      <c r="AC60" s="201"/>
      <c r="AD60" s="201">
        <f>AD48+AC59</f>
        <v>-37.149999999999977</v>
      </c>
      <c r="AE60" s="258"/>
      <c r="AF60" s="200"/>
      <c r="AG60" s="201"/>
      <c r="AH60" s="201"/>
      <c r="AI60" s="201"/>
      <c r="AJ60" s="201"/>
      <c r="AK60" s="201">
        <f>AK48+AJ59</f>
        <v>-37.149999999999977</v>
      </c>
      <c r="AL60" s="258"/>
      <c r="AM60" s="200"/>
      <c r="AN60" s="201"/>
      <c r="AO60" s="201"/>
      <c r="AP60" s="201"/>
      <c r="AQ60" s="201"/>
      <c r="AR60" s="201">
        <f>AR48+AQ59</f>
        <v>-37.149999999999977</v>
      </c>
      <c r="AS60" s="274"/>
      <c r="AT60" s="14"/>
    </row>
    <row r="61" spans="2:46" ht="20.45" customHeight="1">
      <c r="B61" s="14"/>
      <c r="C61" s="29" t="s">
        <v>413</v>
      </c>
      <c r="D61" s="92"/>
      <c r="E61" s="201"/>
      <c r="F61" s="201"/>
      <c r="G61" s="201"/>
      <c r="H61" s="201"/>
      <c r="I61" s="201">
        <f>I49+I59</f>
        <v>-228.40000000000003</v>
      </c>
      <c r="J61" s="201"/>
      <c r="K61" s="328"/>
      <c r="L61" s="201"/>
      <c r="M61" s="201"/>
      <c r="N61" s="201"/>
      <c r="O61" s="201"/>
      <c r="P61" s="201">
        <f>P49+P59</f>
        <v>-228.40000000000003</v>
      </c>
      <c r="Q61" s="201"/>
      <c r="R61" s="328"/>
      <c r="S61" s="201"/>
      <c r="T61" s="201"/>
      <c r="U61" s="201"/>
      <c r="V61" s="201"/>
      <c r="W61" s="201">
        <f>W49+W59</f>
        <v>-228.40000000000003</v>
      </c>
      <c r="X61" s="201"/>
      <c r="Y61" s="328"/>
      <c r="Z61" s="201"/>
      <c r="AA61" s="201"/>
      <c r="AB61" s="201"/>
      <c r="AC61" s="201"/>
      <c r="AD61" s="201">
        <f>AD49+AD59</f>
        <v>-228.40000000000003</v>
      </c>
      <c r="AE61" s="201"/>
      <c r="AF61" s="328"/>
      <c r="AG61" s="201"/>
      <c r="AH61" s="201"/>
      <c r="AI61" s="201"/>
      <c r="AJ61" s="201"/>
      <c r="AK61" s="201">
        <f>AK49+AK59</f>
        <v>-228.40000000000003</v>
      </c>
      <c r="AL61" s="201"/>
      <c r="AM61" s="328"/>
      <c r="AN61" s="201"/>
      <c r="AO61" s="201"/>
      <c r="AP61" s="201"/>
      <c r="AQ61" s="201"/>
      <c r="AR61" s="201">
        <f>AR49+AR59</f>
        <v>-228.40000000000003</v>
      </c>
      <c r="AS61" s="204"/>
      <c r="AT61" s="14"/>
    </row>
    <row r="62" spans="2:46" ht="20.45" customHeight="1">
      <c r="B62" s="14"/>
      <c r="C62" s="29" t="s">
        <v>414</v>
      </c>
      <c r="D62" s="92"/>
      <c r="E62" s="201"/>
      <c r="F62" s="201"/>
      <c r="G62" s="201"/>
      <c r="H62" s="201"/>
      <c r="I62" s="201">
        <f>I50+J59</f>
        <v>-256.64875000000001</v>
      </c>
      <c r="J62" s="201"/>
      <c r="K62" s="328"/>
      <c r="L62" s="201"/>
      <c r="M62" s="201"/>
      <c r="N62" s="201"/>
      <c r="O62" s="201"/>
      <c r="P62" s="201">
        <f>P50+Q59</f>
        <v>-256.64875000000001</v>
      </c>
      <c r="Q62" s="201"/>
      <c r="R62" s="328"/>
      <c r="S62" s="201"/>
      <c r="T62" s="201"/>
      <c r="U62" s="201"/>
      <c r="V62" s="201"/>
      <c r="W62" s="201">
        <f>W50+X59</f>
        <v>-256.64875000000001</v>
      </c>
      <c r="X62" s="201"/>
      <c r="Y62" s="328"/>
      <c r="Z62" s="201"/>
      <c r="AA62" s="201"/>
      <c r="AB62" s="201"/>
      <c r="AC62" s="201"/>
      <c r="AD62" s="201">
        <f>AD50+AE59</f>
        <v>-256.64875000000001</v>
      </c>
      <c r="AE62" s="201"/>
      <c r="AF62" s="328"/>
      <c r="AG62" s="201"/>
      <c r="AH62" s="201"/>
      <c r="AI62" s="201"/>
      <c r="AJ62" s="201"/>
      <c r="AK62" s="201">
        <f>AK50+AL59</f>
        <v>-256.64875000000001</v>
      </c>
      <c r="AL62" s="201"/>
      <c r="AM62" s="328"/>
      <c r="AN62" s="201"/>
      <c r="AO62" s="201"/>
      <c r="AP62" s="201"/>
      <c r="AQ62" s="201"/>
      <c r="AR62" s="201">
        <f>AR50+AS59</f>
        <v>-256.64875000000001</v>
      </c>
      <c r="AS62" s="204"/>
      <c r="AT62" s="14"/>
    </row>
    <row r="63" spans="2:46">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row>
    <row r="65" spans="3:42" ht="15.75" thickBot="1"/>
    <row r="66" spans="3:42">
      <c r="C66" s="460" t="s">
        <v>415</v>
      </c>
      <c r="D66" s="461"/>
      <c r="E66" s="462"/>
    </row>
    <row r="67" spans="3:42">
      <c r="C67" s="94" t="s">
        <v>282</v>
      </c>
      <c r="D67" s="63" t="s">
        <v>109</v>
      </c>
      <c r="E67" s="60"/>
    </row>
    <row r="68" spans="3:42">
      <c r="C68" s="47" t="s">
        <v>286</v>
      </c>
      <c r="D68" s="40" t="s">
        <v>287</v>
      </c>
      <c r="E68" s="60">
        <v>1000</v>
      </c>
    </row>
    <row r="69" spans="3:42">
      <c r="C69" s="47" t="s">
        <v>284</v>
      </c>
      <c r="D69" s="40" t="s">
        <v>236</v>
      </c>
      <c r="E69" s="60">
        <v>6</v>
      </c>
    </row>
    <row r="70" spans="3:42">
      <c r="C70" s="47" t="s">
        <v>416</v>
      </c>
      <c r="D70" s="40" t="s">
        <v>140</v>
      </c>
      <c r="E70" s="64">
        <v>0.45</v>
      </c>
    </row>
    <row r="71" spans="3:42">
      <c r="C71" s="47" t="s">
        <v>417</v>
      </c>
      <c r="D71" s="40" t="s">
        <v>418</v>
      </c>
      <c r="E71" s="60">
        <f>E69*E70</f>
        <v>2.7</v>
      </c>
    </row>
    <row r="72" spans="3:42">
      <c r="C72" s="47" t="s">
        <v>289</v>
      </c>
      <c r="D72" s="40" t="s">
        <v>119</v>
      </c>
      <c r="E72" s="48">
        <v>20</v>
      </c>
    </row>
    <row r="73" spans="3:42">
      <c r="C73" s="47" t="s">
        <v>290</v>
      </c>
      <c r="D73" s="40" t="s">
        <v>240</v>
      </c>
      <c r="E73" s="60">
        <v>1.25</v>
      </c>
    </row>
    <row r="74" spans="3:42" ht="15.75" thickBot="1">
      <c r="C74" s="56" t="s">
        <v>419</v>
      </c>
      <c r="D74" s="57"/>
      <c r="E74" s="50">
        <f>E71/E73*E72</f>
        <v>43.2</v>
      </c>
    </row>
    <row r="75" spans="3:42" ht="15.75" thickBot="1"/>
    <row r="76" spans="3:42">
      <c r="C76" s="460" t="s">
        <v>420</v>
      </c>
      <c r="D76" s="461"/>
      <c r="E76" s="462"/>
    </row>
    <row r="77" spans="3:42">
      <c r="C77" s="94" t="s">
        <v>421</v>
      </c>
      <c r="D77" s="63" t="s">
        <v>109</v>
      </c>
      <c r="E77" s="71" t="s">
        <v>110</v>
      </c>
      <c r="AO77" s="26"/>
      <c r="AP77" s="26"/>
    </row>
    <row r="78" spans="3:42">
      <c r="C78" s="47" t="s">
        <v>422</v>
      </c>
      <c r="D78" s="40" t="s">
        <v>418</v>
      </c>
      <c r="E78" s="60">
        <v>15</v>
      </c>
      <c r="AO78" s="26"/>
      <c r="AP78" s="26"/>
    </row>
    <row r="79" spans="3:42">
      <c r="C79" s="47" t="s">
        <v>423</v>
      </c>
      <c r="D79" s="40" t="s">
        <v>424</v>
      </c>
      <c r="E79" s="60">
        <v>30.03</v>
      </c>
      <c r="AO79" s="26"/>
      <c r="AP79" s="26"/>
    </row>
    <row r="80" spans="3:42" ht="15.75" thickBot="1">
      <c r="C80" s="56" t="s">
        <v>425</v>
      </c>
      <c r="D80" s="57" t="s">
        <v>64</v>
      </c>
      <c r="E80" s="68">
        <f>E78*E79</f>
        <v>450.45000000000005</v>
      </c>
      <c r="AO80" s="26"/>
      <c r="AP80" s="26"/>
    </row>
    <row r="81" spans="3:42" ht="15.75" thickBot="1">
      <c r="C81" s="3"/>
      <c r="D81" s="3"/>
      <c r="E81" s="3"/>
      <c r="AO81" s="26"/>
      <c r="AP81" s="26"/>
    </row>
    <row r="82" spans="3:42">
      <c r="C82" s="44" t="s">
        <v>426</v>
      </c>
      <c r="D82" s="45"/>
      <c r="E82" s="46"/>
      <c r="AO82" s="26"/>
      <c r="AP82" s="26"/>
    </row>
    <row r="83" spans="3:42">
      <c r="C83" s="94" t="s">
        <v>427</v>
      </c>
      <c r="D83" s="63" t="s">
        <v>109</v>
      </c>
      <c r="E83" s="71"/>
      <c r="AO83" s="26"/>
      <c r="AP83" s="26"/>
    </row>
    <row r="84" spans="3:42">
      <c r="C84" s="47" t="s">
        <v>428</v>
      </c>
      <c r="D84" s="40" t="s">
        <v>185</v>
      </c>
      <c r="E84" s="60">
        <v>0.5</v>
      </c>
      <c r="AO84" s="26"/>
      <c r="AP84" s="26"/>
    </row>
    <row r="85" spans="3:42">
      <c r="C85" s="47" t="s">
        <v>429</v>
      </c>
      <c r="D85" s="40" t="s">
        <v>140</v>
      </c>
      <c r="E85" s="265">
        <v>0.45</v>
      </c>
      <c r="AO85" s="26"/>
      <c r="AP85" s="26"/>
    </row>
    <row r="86" spans="3:42">
      <c r="C86" s="47" t="s">
        <v>430</v>
      </c>
      <c r="D86" s="40" t="s">
        <v>64</v>
      </c>
      <c r="E86" s="48">
        <f>E80*E85*E84</f>
        <v>101.35125000000001</v>
      </c>
      <c r="AO86" s="26"/>
      <c r="AP86" s="26"/>
    </row>
    <row r="87" spans="3:42">
      <c r="C87" s="47" t="s">
        <v>431</v>
      </c>
      <c r="D87" s="40" t="s">
        <v>185</v>
      </c>
      <c r="E87" s="60">
        <v>0.5</v>
      </c>
      <c r="AO87" s="26"/>
      <c r="AP87" s="26"/>
    </row>
    <row r="88" spans="3:42">
      <c r="C88" s="47" t="s">
        <v>432</v>
      </c>
      <c r="D88" s="40"/>
      <c r="E88" s="48">
        <f>E74*E87</f>
        <v>21.6</v>
      </c>
      <c r="AO88" s="26"/>
      <c r="AP88" s="26"/>
    </row>
    <row r="89" spans="3:42" ht="15.75" thickBot="1">
      <c r="C89" s="56" t="s">
        <v>433</v>
      </c>
      <c r="D89" s="57" t="s">
        <v>64</v>
      </c>
      <c r="E89" s="50">
        <f>E88+E86</f>
        <v>122.95125000000002</v>
      </c>
      <c r="AO89" s="26"/>
      <c r="AP89" s="26"/>
    </row>
    <row r="90" spans="3:42" ht="15.75" thickBot="1">
      <c r="C90" s="3"/>
      <c r="D90" s="3"/>
      <c r="E90" s="3"/>
      <c r="AO90" s="26"/>
      <c r="AP90" s="26"/>
    </row>
    <row r="91" spans="3:42">
      <c r="C91" s="477" t="s">
        <v>434</v>
      </c>
      <c r="D91" s="478"/>
      <c r="E91" s="478"/>
      <c r="F91" s="479"/>
      <c r="G91" s="3"/>
      <c r="AO91" s="26"/>
      <c r="AP91" s="26"/>
    </row>
    <row r="92" spans="3:42" ht="75">
      <c r="C92" s="78" t="s">
        <v>124</v>
      </c>
      <c r="D92" s="59" t="s">
        <v>125</v>
      </c>
      <c r="E92" s="59" t="s">
        <v>361</v>
      </c>
      <c r="F92" s="79" t="s">
        <v>128</v>
      </c>
      <c r="G92" s="255"/>
      <c r="AO92" s="26"/>
      <c r="AP92" s="26"/>
    </row>
    <row r="93" spans="3:42">
      <c r="C93" s="47" t="s">
        <v>129</v>
      </c>
      <c r="D93" s="40">
        <f>Baseline!$D$24</f>
        <v>0</v>
      </c>
      <c r="E93" s="62">
        <v>1</v>
      </c>
      <c r="F93" s="71">
        <f t="shared" ref="F93:F98" si="12">D93*E93</f>
        <v>0</v>
      </c>
      <c r="G93" s="3"/>
      <c r="AO93" s="26"/>
      <c r="AP93" s="26"/>
    </row>
    <row r="94" spans="3:42">
      <c r="C94" s="47" t="s">
        <v>42</v>
      </c>
      <c r="D94" s="40">
        <f>Baseline!$E$24</f>
        <v>0</v>
      </c>
      <c r="E94" s="62">
        <v>1</v>
      </c>
      <c r="F94" s="71">
        <f t="shared" si="12"/>
        <v>0</v>
      </c>
      <c r="G94" s="3"/>
      <c r="AO94" s="26"/>
      <c r="AP94" s="26"/>
    </row>
    <row r="95" spans="3:42">
      <c r="C95" s="47" t="s">
        <v>27</v>
      </c>
      <c r="D95" s="40">
        <f>Baseline!$F$24</f>
        <v>0</v>
      </c>
      <c r="E95" s="62">
        <v>1</v>
      </c>
      <c r="F95" s="71">
        <f t="shared" si="12"/>
        <v>0</v>
      </c>
      <c r="G95" s="3"/>
      <c r="AO95" s="26"/>
      <c r="AP95" s="26"/>
    </row>
    <row r="96" spans="3:42">
      <c r="C96" s="47" t="s">
        <v>28</v>
      </c>
      <c r="D96" s="40">
        <f>Baseline!$G$24</f>
        <v>0</v>
      </c>
      <c r="E96" s="62">
        <v>1</v>
      </c>
      <c r="F96" s="71">
        <f t="shared" si="12"/>
        <v>0</v>
      </c>
      <c r="G96" s="3"/>
      <c r="AO96" s="26"/>
      <c r="AP96" s="26"/>
    </row>
    <row r="97" spans="3:42">
      <c r="C97" s="47" t="s">
        <v>29</v>
      </c>
      <c r="D97" s="40">
        <f>Baseline!$H$24</f>
        <v>0</v>
      </c>
      <c r="E97" s="62">
        <v>1</v>
      </c>
      <c r="F97" s="71">
        <f t="shared" si="12"/>
        <v>0</v>
      </c>
      <c r="G97" s="3"/>
      <c r="AO97" s="26"/>
      <c r="AP97" s="26"/>
    </row>
    <row r="98" spans="3:42" ht="15.75" thickBot="1">
      <c r="C98" s="65" t="s">
        <v>30</v>
      </c>
      <c r="D98" s="66">
        <f>Baseline!$I$24</f>
        <v>0</v>
      </c>
      <c r="E98" s="72">
        <v>1</v>
      </c>
      <c r="F98" s="68">
        <f t="shared" si="12"/>
        <v>0</v>
      </c>
      <c r="G98" s="3"/>
      <c r="AO98" s="26"/>
      <c r="AP98" s="26"/>
    </row>
    <row r="99" spans="3:42" ht="15.75" thickBot="1">
      <c r="AO99" s="26"/>
      <c r="AP99" s="26"/>
    </row>
    <row r="100" spans="3:42">
      <c r="C100" s="460" t="s">
        <v>435</v>
      </c>
      <c r="D100" s="461"/>
      <c r="E100" s="462"/>
      <c r="AO100" s="26"/>
      <c r="AP100" s="26"/>
    </row>
    <row r="101" spans="3:42">
      <c r="C101" s="78" t="s">
        <v>436</v>
      </c>
      <c r="D101" s="63" t="s">
        <v>109</v>
      </c>
      <c r="E101" s="71" t="s">
        <v>132</v>
      </c>
      <c r="AO101" s="26"/>
      <c r="AP101" s="26"/>
    </row>
    <row r="102" spans="3:42">
      <c r="C102" s="75" t="s">
        <v>133</v>
      </c>
      <c r="D102" s="40" t="s">
        <v>64</v>
      </c>
      <c r="E102" s="48">
        <v>80</v>
      </c>
      <c r="AO102" s="26"/>
      <c r="AP102" s="26"/>
    </row>
    <row r="103" spans="3:42">
      <c r="C103" s="331" t="s">
        <v>134</v>
      </c>
      <c r="D103" s="332" t="s">
        <v>64</v>
      </c>
      <c r="E103" s="333">
        <v>170</v>
      </c>
      <c r="AO103" s="26"/>
      <c r="AP103" s="26"/>
    </row>
    <row r="104" spans="3:42">
      <c r="C104" s="331" t="s">
        <v>135</v>
      </c>
      <c r="D104" s="332" t="s">
        <v>64</v>
      </c>
      <c r="E104" s="333">
        <v>100</v>
      </c>
      <c r="AO104" s="26"/>
      <c r="AP104" s="26"/>
    </row>
    <row r="105" spans="3:42">
      <c r="C105" s="75" t="s">
        <v>248</v>
      </c>
      <c r="D105" s="40" t="s">
        <v>137</v>
      </c>
      <c r="E105" s="48">
        <v>1.6</v>
      </c>
      <c r="AO105" s="26"/>
      <c r="AP105" s="26"/>
    </row>
    <row r="106" spans="3:42">
      <c r="C106" s="75" t="s">
        <v>363</v>
      </c>
      <c r="D106" s="40" t="s">
        <v>137</v>
      </c>
      <c r="E106" s="48">
        <v>1.6</v>
      </c>
    </row>
    <row r="107" spans="3:42">
      <c r="C107" s="75" t="s">
        <v>437</v>
      </c>
      <c r="D107" s="40" t="s">
        <v>137</v>
      </c>
      <c r="E107" s="48">
        <v>2</v>
      </c>
    </row>
    <row r="108" spans="3:42">
      <c r="C108" s="75" t="s">
        <v>438</v>
      </c>
      <c r="D108" s="40" t="s">
        <v>114</v>
      </c>
      <c r="E108" s="90">
        <v>1000</v>
      </c>
    </row>
    <row r="109" spans="3:42">
      <c r="C109" s="75" t="s">
        <v>439</v>
      </c>
      <c r="D109" s="40" t="s">
        <v>114</v>
      </c>
      <c r="E109" s="90">
        <v>2250</v>
      </c>
    </row>
    <row r="110" spans="3:42">
      <c r="C110" s="113" t="s">
        <v>440</v>
      </c>
      <c r="D110" s="40" t="s">
        <v>122</v>
      </c>
      <c r="E110" s="93">
        <f>SUM(E102:E104)+SUM(E105,E107)*E108</f>
        <v>3950</v>
      </c>
    </row>
    <row r="111" spans="3:42">
      <c r="C111" s="113" t="s">
        <v>441</v>
      </c>
      <c r="D111" s="40" t="s">
        <v>122</v>
      </c>
      <c r="E111" s="93">
        <f>SUM(E102:E104)+SUM(E106:E107)*E109</f>
        <v>8450</v>
      </c>
    </row>
    <row r="112" spans="3:42" ht="30">
      <c r="C112" s="85" t="s">
        <v>442</v>
      </c>
      <c r="D112" s="63" t="s">
        <v>122</v>
      </c>
      <c r="E112" s="49">
        <f>E110*0.04</f>
        <v>158</v>
      </c>
    </row>
    <row r="113" spans="3:5" ht="30.75" thickBot="1">
      <c r="C113" s="86" t="s">
        <v>443</v>
      </c>
      <c r="D113" s="57" t="s">
        <v>122</v>
      </c>
      <c r="E113" s="50">
        <f>E111*0.04</f>
        <v>338</v>
      </c>
    </row>
    <row r="114" spans="3:5" ht="15.75" thickBot="1"/>
    <row r="115" spans="3:5">
      <c r="C115" s="463" t="s">
        <v>444</v>
      </c>
      <c r="D115" s="464"/>
      <c r="E115" s="465"/>
    </row>
    <row r="116" spans="3:5">
      <c r="C116" s="78" t="s">
        <v>101</v>
      </c>
      <c r="D116" s="63" t="s">
        <v>109</v>
      </c>
      <c r="E116" s="71" t="s">
        <v>110</v>
      </c>
    </row>
    <row r="117" spans="3:5" ht="30">
      <c r="C117" s="75" t="s">
        <v>445</v>
      </c>
      <c r="D117" s="40" t="s">
        <v>64</v>
      </c>
      <c r="E117" s="48">
        <f>E110*0.2</f>
        <v>790</v>
      </c>
    </row>
    <row r="118" spans="3:5" ht="30">
      <c r="C118" s="75" t="s">
        <v>446</v>
      </c>
      <c r="D118" s="40" t="s">
        <v>64</v>
      </c>
      <c r="E118" s="48">
        <f>E111*0.2</f>
        <v>1690</v>
      </c>
    </row>
    <row r="119" spans="3:5" ht="30">
      <c r="C119" s="75" t="s">
        <v>153</v>
      </c>
      <c r="D119" s="40" t="s">
        <v>64</v>
      </c>
      <c r="E119" s="48">
        <v>800</v>
      </c>
    </row>
    <row r="120" spans="3:5">
      <c r="C120" s="75" t="s">
        <v>154</v>
      </c>
      <c r="D120" s="40" t="s">
        <v>155</v>
      </c>
      <c r="E120" s="48">
        <f>50*25</f>
        <v>1250</v>
      </c>
    </row>
    <row r="121" spans="3:5">
      <c r="C121" s="75" t="s">
        <v>447</v>
      </c>
      <c r="D121" s="40" t="s">
        <v>122</v>
      </c>
      <c r="E121" s="48">
        <f>SUM(E117,E119,E120)</f>
        <v>2840</v>
      </c>
    </row>
    <row r="122" spans="3:5">
      <c r="C122" s="75" t="s">
        <v>448</v>
      </c>
      <c r="D122" s="40" t="s">
        <v>122</v>
      </c>
      <c r="E122" s="48">
        <f>SUM(E118:E120)</f>
        <v>3740</v>
      </c>
    </row>
    <row r="123" spans="3:5" ht="30">
      <c r="C123" s="85" t="s">
        <v>449</v>
      </c>
      <c r="D123" s="63" t="s">
        <v>122</v>
      </c>
      <c r="E123" s="49">
        <f>E121*0.04</f>
        <v>113.60000000000001</v>
      </c>
    </row>
    <row r="124" spans="3:5" ht="30.75" thickBot="1">
      <c r="C124" s="86" t="s">
        <v>450</v>
      </c>
      <c r="D124" s="57" t="s">
        <v>122</v>
      </c>
      <c r="E124" s="50">
        <f>E122*0.04</f>
        <v>149.6</v>
      </c>
    </row>
    <row r="125" spans="3:5" ht="15.75" thickBot="1"/>
    <row r="126" spans="3:5">
      <c r="C126" s="460" t="s">
        <v>451</v>
      </c>
      <c r="D126" s="461"/>
      <c r="E126" s="462"/>
    </row>
    <row r="127" spans="3:5">
      <c r="C127" s="78" t="s">
        <v>256</v>
      </c>
      <c r="D127" s="63" t="s">
        <v>257</v>
      </c>
      <c r="E127" s="71" t="s">
        <v>167</v>
      </c>
    </row>
    <row r="128" spans="3:5">
      <c r="C128" s="75" t="s">
        <v>258</v>
      </c>
      <c r="D128" s="40">
        <v>10</v>
      </c>
      <c r="E128" s="149" t="s">
        <v>170</v>
      </c>
    </row>
    <row r="129" spans="3:7">
      <c r="C129" s="75" t="s">
        <v>258</v>
      </c>
      <c r="D129" s="148">
        <v>18</v>
      </c>
      <c r="E129" s="60" t="s">
        <v>259</v>
      </c>
    </row>
    <row r="130" spans="3:7">
      <c r="C130" s="75" t="s">
        <v>260</v>
      </c>
      <c r="D130" s="40">
        <v>24</v>
      </c>
      <c r="E130" s="60" t="s">
        <v>261</v>
      </c>
    </row>
    <row r="131" spans="3:7">
      <c r="C131" s="75" t="s">
        <v>258</v>
      </c>
      <c r="D131" s="40">
        <v>33</v>
      </c>
      <c r="E131" s="60" t="s">
        <v>262</v>
      </c>
    </row>
    <row r="132" spans="3:7">
      <c r="C132" s="75" t="s">
        <v>258</v>
      </c>
      <c r="D132" s="40">
        <v>4.4000000000000004</v>
      </c>
      <c r="E132" s="60" t="s">
        <v>263</v>
      </c>
    </row>
    <row r="133" spans="3:7" ht="30.75" thickBot="1">
      <c r="C133" s="77" t="s">
        <v>264</v>
      </c>
      <c r="D133" s="66">
        <f>AVERAGE(D128:D132)</f>
        <v>17.880000000000003</v>
      </c>
      <c r="E133" s="67"/>
    </row>
    <row r="134" spans="3:7" ht="15.75" thickBot="1"/>
    <row r="135" spans="3:7">
      <c r="C135" s="460" t="s">
        <v>452</v>
      </c>
      <c r="D135" s="461"/>
      <c r="E135" s="461"/>
      <c r="F135" s="462"/>
    </row>
    <row r="136" spans="3:7">
      <c r="C136" s="94" t="s">
        <v>453</v>
      </c>
      <c r="D136" s="63" t="s">
        <v>109</v>
      </c>
      <c r="E136" s="63" t="s">
        <v>110</v>
      </c>
      <c r="F136" s="71" t="s">
        <v>167</v>
      </c>
      <c r="G136" s="3"/>
    </row>
    <row r="137" spans="3:7">
      <c r="C137" s="75" t="s">
        <v>168</v>
      </c>
      <c r="D137" s="40" t="s">
        <v>169</v>
      </c>
      <c r="E137" s="40">
        <v>17.88</v>
      </c>
      <c r="F137" s="149" t="s">
        <v>170</v>
      </c>
      <c r="G137" s="256"/>
    </row>
    <row r="138" spans="3:7">
      <c r="C138" s="47" t="s">
        <v>246</v>
      </c>
      <c r="D138" s="97" t="s">
        <v>140</v>
      </c>
      <c r="E138" s="97">
        <f>E93</f>
        <v>1</v>
      </c>
      <c r="F138" s="60"/>
    </row>
    <row r="139" spans="3:7">
      <c r="C139" s="47" t="s">
        <v>171</v>
      </c>
      <c r="D139" s="40" t="s">
        <v>172</v>
      </c>
      <c r="E139" s="40">
        <f>'Overview and dashboard'!X11</f>
        <v>0</v>
      </c>
      <c r="F139" s="60"/>
    </row>
    <row r="140" spans="3:7" ht="15.75" thickBot="1">
      <c r="C140" s="65" t="s">
        <v>173</v>
      </c>
      <c r="D140" s="66" t="s">
        <v>122</v>
      </c>
      <c r="E140" s="66">
        <f>E137*E138*E139</f>
        <v>0</v>
      </c>
      <c r="F140" s="67"/>
    </row>
    <row r="141" spans="3:7" ht="15.75" thickBot="1"/>
    <row r="142" spans="3:7">
      <c r="C142" s="460" t="s">
        <v>454</v>
      </c>
      <c r="D142" s="461"/>
      <c r="E142" s="461"/>
      <c r="F142" s="462"/>
    </row>
    <row r="143" spans="3:7">
      <c r="C143" s="94" t="s">
        <v>455</v>
      </c>
      <c r="D143" s="63" t="s">
        <v>109</v>
      </c>
      <c r="E143" s="63" t="s">
        <v>110</v>
      </c>
      <c r="F143" s="71" t="s">
        <v>167</v>
      </c>
      <c r="G143" s="3"/>
    </row>
    <row r="144" spans="3:7">
      <c r="C144" s="75" t="s">
        <v>168</v>
      </c>
      <c r="D144" s="40" t="s">
        <v>169</v>
      </c>
      <c r="E144" s="40">
        <v>10</v>
      </c>
      <c r="F144" s="149" t="s">
        <v>170</v>
      </c>
      <c r="G144" s="256"/>
    </row>
    <row r="145" spans="3:8">
      <c r="C145" s="47" t="s">
        <v>456</v>
      </c>
      <c r="D145" s="97" t="s">
        <v>140</v>
      </c>
      <c r="E145" s="97">
        <f>E93</f>
        <v>1</v>
      </c>
      <c r="F145" s="60"/>
    </row>
    <row r="146" spans="3:8">
      <c r="C146" s="47" t="s">
        <v>171</v>
      </c>
      <c r="D146" s="40" t="s">
        <v>172</v>
      </c>
      <c r="E146" s="40">
        <f>'Overview and dashboard'!X11</f>
        <v>0</v>
      </c>
      <c r="F146" s="60"/>
    </row>
    <row r="147" spans="3:8" ht="15.75" thickBot="1">
      <c r="C147" s="65" t="s">
        <v>173</v>
      </c>
      <c r="D147" s="66" t="s">
        <v>122</v>
      </c>
      <c r="E147" s="66">
        <f>E144*E145*E146</f>
        <v>0</v>
      </c>
      <c r="F147" s="67"/>
    </row>
    <row r="148" spans="3:8" ht="15.75" thickBot="1"/>
    <row r="149" spans="3:8">
      <c r="C149" s="460" t="s">
        <v>457</v>
      </c>
      <c r="D149" s="461"/>
      <c r="E149" s="461"/>
      <c r="F149" s="461"/>
      <c r="G149" s="461"/>
      <c r="H149" s="462"/>
    </row>
    <row r="150" spans="3:8">
      <c r="C150" s="94" t="s">
        <v>458</v>
      </c>
      <c r="D150" s="63"/>
      <c r="E150" s="63"/>
      <c r="F150" s="63"/>
      <c r="G150" s="63"/>
      <c r="H150" s="71"/>
    </row>
    <row r="151" spans="3:8" ht="120">
      <c r="C151" s="235"/>
      <c r="D151" s="59" t="s">
        <v>109</v>
      </c>
      <c r="E151" s="59" t="s">
        <v>270</v>
      </c>
      <c r="F151" s="59" t="s">
        <v>190</v>
      </c>
      <c r="G151" s="59"/>
      <c r="H151" s="79" t="s">
        <v>191</v>
      </c>
    </row>
    <row r="152" spans="3:8">
      <c r="C152" s="470" t="s">
        <v>1</v>
      </c>
      <c r="D152" s="471"/>
      <c r="E152" s="471"/>
      <c r="F152" s="471"/>
      <c r="G152" s="295"/>
      <c r="H152" s="60">
        <f>F153/25</f>
        <v>420</v>
      </c>
    </row>
    <row r="153" spans="3:8">
      <c r="C153" s="94" t="s">
        <v>380</v>
      </c>
      <c r="D153" s="40" t="s">
        <v>64</v>
      </c>
      <c r="E153" s="111">
        <v>10500</v>
      </c>
      <c r="F153" s="111">
        <f>10500*1</f>
        <v>10500</v>
      </c>
      <c r="G153" s="111"/>
      <c r="H153" s="60"/>
    </row>
    <row r="154" spans="3:8">
      <c r="C154" s="470" t="s">
        <v>195</v>
      </c>
      <c r="D154" s="471"/>
      <c r="E154" s="471"/>
      <c r="F154" s="471"/>
      <c r="G154" s="295"/>
      <c r="H154" s="60">
        <f>F155/25</f>
        <v>3.52</v>
      </c>
    </row>
    <row r="155" spans="3:8">
      <c r="C155" s="94" t="s">
        <v>459</v>
      </c>
      <c r="D155" s="40" t="s">
        <v>64</v>
      </c>
      <c r="E155" s="40">
        <v>4400</v>
      </c>
      <c r="F155" s="40">
        <f>E155*0.02</f>
        <v>88</v>
      </c>
      <c r="G155" s="40"/>
      <c r="H155" s="60"/>
    </row>
    <row r="156" spans="3:8">
      <c r="C156" s="470" t="s">
        <v>199</v>
      </c>
      <c r="D156" s="471"/>
      <c r="E156" s="471"/>
      <c r="F156" s="471"/>
      <c r="G156" s="295"/>
      <c r="H156" s="60">
        <f>F157/25</f>
        <v>172.8</v>
      </c>
    </row>
    <row r="157" spans="3:8">
      <c r="C157" s="78" t="s">
        <v>460</v>
      </c>
      <c r="D157" s="70" t="s">
        <v>64</v>
      </c>
      <c r="E157" s="70">
        <v>4320</v>
      </c>
      <c r="F157" s="70">
        <f>E157*1</f>
        <v>4320</v>
      </c>
      <c r="G157" s="70"/>
      <c r="H157" s="60"/>
    </row>
    <row r="158" spans="3:8">
      <c r="C158" s="470" t="s">
        <v>203</v>
      </c>
      <c r="D158" s="471"/>
      <c r="E158" s="471"/>
      <c r="F158" s="471"/>
      <c r="G158" s="295"/>
      <c r="H158" s="60">
        <f>F159/25</f>
        <v>257</v>
      </c>
    </row>
    <row r="159" spans="3:8" ht="30.75" thickBot="1">
      <c r="C159" s="61" t="s">
        <v>461</v>
      </c>
      <c r="D159" s="234" t="s">
        <v>64</v>
      </c>
      <c r="E159" s="239">
        <v>6425</v>
      </c>
      <c r="F159" s="239">
        <f>E159*1</f>
        <v>6425</v>
      </c>
      <c r="G159" s="239"/>
      <c r="H159" s="67"/>
    </row>
    <row r="160" spans="3:8" ht="15.75" thickBot="1"/>
    <row r="161" spans="3:8">
      <c r="C161" s="460" t="s">
        <v>462</v>
      </c>
      <c r="D161" s="461"/>
      <c r="E161" s="461"/>
      <c r="F161" s="461"/>
      <c r="G161" s="461"/>
      <c r="H161" s="462"/>
    </row>
    <row r="162" spans="3:8">
      <c r="C162" s="470" t="s">
        <v>463</v>
      </c>
      <c r="D162" s="471"/>
      <c r="E162" s="471"/>
      <c r="F162" s="471"/>
      <c r="G162" s="471"/>
      <c r="H162" s="472"/>
    </row>
    <row r="163" spans="3:8" ht="120">
      <c r="C163" s="235"/>
      <c r="D163" s="59" t="s">
        <v>109</v>
      </c>
      <c r="E163" s="59" t="s">
        <v>270</v>
      </c>
      <c r="F163" s="59" t="s">
        <v>190</v>
      </c>
      <c r="G163" s="59"/>
      <c r="H163" s="79" t="s">
        <v>191</v>
      </c>
    </row>
    <row r="164" spans="3:8">
      <c r="C164" s="470" t="s">
        <v>1</v>
      </c>
      <c r="D164" s="471"/>
      <c r="E164" s="471"/>
      <c r="F164" s="471"/>
      <c r="G164" s="295"/>
      <c r="H164" s="60">
        <f>F165/25</f>
        <v>420</v>
      </c>
    </row>
    <row r="165" spans="3:8">
      <c r="C165" s="94" t="s">
        <v>380</v>
      </c>
      <c r="D165" s="40" t="s">
        <v>64</v>
      </c>
      <c r="E165" s="111">
        <v>10500</v>
      </c>
      <c r="F165" s="111">
        <f>10500*1</f>
        <v>10500</v>
      </c>
      <c r="G165" s="111"/>
      <c r="H165" s="60"/>
    </row>
    <row r="166" spans="3:8">
      <c r="C166" s="470" t="s">
        <v>195</v>
      </c>
      <c r="D166" s="471"/>
      <c r="E166" s="471"/>
      <c r="F166" s="471"/>
      <c r="G166" s="295"/>
      <c r="H166" s="60">
        <f>F167/25</f>
        <v>176</v>
      </c>
    </row>
    <row r="167" spans="3:8">
      <c r="C167" s="94" t="s">
        <v>459</v>
      </c>
      <c r="D167" s="40" t="s">
        <v>64</v>
      </c>
      <c r="E167" s="40">
        <v>4400</v>
      </c>
      <c r="F167" s="40">
        <f>E167*1</f>
        <v>4400</v>
      </c>
      <c r="G167" s="40"/>
      <c r="H167" s="60"/>
    </row>
    <row r="168" spans="3:8">
      <c r="C168" s="470" t="s">
        <v>199</v>
      </c>
      <c r="D168" s="471"/>
      <c r="E168" s="471"/>
      <c r="F168" s="471"/>
      <c r="G168" s="295"/>
      <c r="H168" s="60">
        <v>0</v>
      </c>
    </row>
    <row r="169" spans="3:8">
      <c r="C169" s="470" t="s">
        <v>203</v>
      </c>
      <c r="D169" s="471"/>
      <c r="E169" s="471"/>
      <c r="F169" s="471"/>
      <c r="G169" s="295"/>
      <c r="H169" s="60">
        <f>F170/25</f>
        <v>257</v>
      </c>
    </row>
    <row r="170" spans="3:8" ht="30.75" thickBot="1">
      <c r="C170" s="61" t="s">
        <v>461</v>
      </c>
      <c r="D170" s="234" t="s">
        <v>64</v>
      </c>
      <c r="E170" s="239">
        <v>6425</v>
      </c>
      <c r="F170" s="239">
        <f>E170*1</f>
        <v>6425</v>
      </c>
      <c r="G170" s="239"/>
      <c r="H170" s="67"/>
    </row>
    <row r="171" spans="3:8" ht="15.75" thickBot="1"/>
    <row r="172" spans="3:8">
      <c r="C172" s="460" t="s">
        <v>464</v>
      </c>
      <c r="D172" s="461"/>
      <c r="E172" s="461"/>
      <c r="F172" s="461"/>
      <c r="G172" s="462"/>
    </row>
    <row r="173" spans="3:8">
      <c r="C173" s="78" t="s">
        <v>465</v>
      </c>
      <c r="D173" s="40"/>
      <c r="E173" s="40"/>
      <c r="F173" s="40"/>
      <c r="G173" s="60"/>
    </row>
    <row r="174" spans="3:8" ht="60">
      <c r="C174" s="94" t="s">
        <v>63</v>
      </c>
      <c r="D174" s="59" t="s">
        <v>208</v>
      </c>
      <c r="E174" s="59" t="s">
        <v>209</v>
      </c>
      <c r="F174" s="59" t="s">
        <v>210</v>
      </c>
      <c r="G174" s="79" t="s">
        <v>211</v>
      </c>
    </row>
    <row r="175" spans="3:8">
      <c r="C175" s="47" t="s">
        <v>25</v>
      </c>
      <c r="D175" s="132">
        <f>F175+$E$36+$E$41-$H$24</f>
        <v>701.21481483414254</v>
      </c>
      <c r="E175" s="40" cm="1">
        <f t="array" ref="E175">_xlfn.IFS('Overview and dashboard'!$X$9="No support",0,'Overview and dashboard'!$X$9="Current support schemes",IFERROR(VLOOKUP("England",$C$164:$H$170,6,0),""),'Overview and dashboard'!$X$9="Income foregone",D175)</f>
        <v>0</v>
      </c>
      <c r="F175" s="40">
        <f>'6 - Lists'!J$25</f>
        <v>664.06481483414257</v>
      </c>
      <c r="G175" s="135">
        <f>$I$60-$H$53+$E$31+E175-F175</f>
        <v>-701.21481483414254</v>
      </c>
    </row>
    <row r="176" spans="3:8">
      <c r="C176" s="47" t="s">
        <v>26</v>
      </c>
      <c r="D176" s="132">
        <f>F176+$L$36+$L$41-$O$24</f>
        <v>8131.2004195007348</v>
      </c>
      <c r="E176" s="40" cm="1">
        <f t="array" ref="E176">_xlfn.IFS('Overview and dashboard'!$X$9="No support",0,'Overview and dashboard'!$X$9="Current support schemes",IFERROR(VLOOKUP("England",$C$164:$H$170,6,0),""),'Overview and dashboard'!$X$9="Income foregone",D176)</f>
        <v>0</v>
      </c>
      <c r="F176" s="40">
        <f>'6 - Lists'!N$25</f>
        <v>8094.0504195007334</v>
      </c>
      <c r="G176" s="135">
        <f>$P$60-$O$53+$L$31+E176-F176</f>
        <v>-8131.200419500733</v>
      </c>
    </row>
    <row r="177" spans="3:7">
      <c r="C177" s="47" t="s">
        <v>27</v>
      </c>
      <c r="D177" s="132">
        <f>F177+$S$36+$S$41-$V$24</f>
        <v>1588.2463516870343</v>
      </c>
      <c r="E177" s="40" cm="1">
        <f t="array" ref="E177">_xlfn.IFS('Overview and dashboard'!$X$9="No support",0,'Overview and dashboard'!$X$9="Current support schemes",IFERROR(VLOOKUP("England",$C$164:$H$170,6,0),""),'Overview and dashboard'!$X$9="Income foregone",D177)</f>
        <v>0</v>
      </c>
      <c r="F177" s="40">
        <f>'6 - Lists'!R$25</f>
        <v>1551.0963516870345</v>
      </c>
      <c r="G177" s="135">
        <f>$W$60-$V$53+$S$31+E177-F177</f>
        <v>-1588.2463516870343</v>
      </c>
    </row>
    <row r="178" spans="3:7">
      <c r="C178" s="47" t="s">
        <v>28</v>
      </c>
      <c r="D178" s="132">
        <f>F178+$Z$36+$Z$41-$AC$24</f>
        <v>169.76780228316511</v>
      </c>
      <c r="E178" s="40" cm="1">
        <f t="array" ref="E178">_xlfn.IFS('Overview and dashboard'!$X$9="No support",0,'Overview and dashboard'!$X$9="Current support schemes",IFERROR(VLOOKUP("England",$C$164:$H$170,6,0),""),'Overview and dashboard'!$X$9="Income foregone",D178)</f>
        <v>0</v>
      </c>
      <c r="F178" s="40">
        <f>'6 - Lists'!V$25</f>
        <v>132.61780228316516</v>
      </c>
      <c r="G178" s="135">
        <f>$AD$60-$AC$53+$Z$31+E178-F178</f>
        <v>-169.76780228316514</v>
      </c>
    </row>
    <row r="179" spans="3:7">
      <c r="C179" s="47" t="s">
        <v>29</v>
      </c>
      <c r="D179" s="132">
        <f>F179+$AN$36+$AN$41-$AQ$24</f>
        <v>375.10173866571461</v>
      </c>
      <c r="E179" s="40" cm="1">
        <f t="array" ref="E179">_xlfn.IFS('Overview and dashboard'!$X$9="No support",0,'Overview and dashboard'!$X$9="Current support schemes",IFERROR(VLOOKUP("England",$C$164:$H$170,6,0),""),'Overview and dashboard'!$X$9="Income foregone",D179)</f>
        <v>0</v>
      </c>
      <c r="F179" s="40">
        <f>'6 - Lists'!Z$25</f>
        <v>337.95173866571457</v>
      </c>
      <c r="G179" s="135">
        <f>$AK$60-$AJ$53+$AG$31+E179-F179</f>
        <v>-375.10173866571455</v>
      </c>
    </row>
    <row r="180" spans="3:7">
      <c r="C180" s="47" t="s">
        <v>30</v>
      </c>
      <c r="D180" s="132">
        <f>F180+$AN$36+$AN$41-$AQ$24</f>
        <v>5096.586655968682</v>
      </c>
      <c r="E180" s="40" cm="1">
        <f t="array" ref="E180">_xlfn.IFS('Overview and dashboard'!$X$9="No support",0,'Overview and dashboard'!$X$9="Current support schemes",IFERROR(VLOOKUP("England",$C$164:$H$170,6,0),""),'Overview and dashboard'!$X$9="Income foregone",D180)</f>
        <v>0</v>
      </c>
      <c r="F180" s="40">
        <f>'6 - Lists'!AD$25</f>
        <v>5059.4366559686814</v>
      </c>
      <c r="G180" s="135">
        <f>$AR$60-$AQ$53+$AN$31+E180-F180</f>
        <v>-5096.586655968681</v>
      </c>
    </row>
    <row r="181" spans="3:7">
      <c r="C181" s="78" t="s">
        <v>466</v>
      </c>
      <c r="D181" s="40"/>
      <c r="E181" s="40"/>
      <c r="F181" s="40"/>
      <c r="G181" s="60"/>
    </row>
    <row r="182" spans="3:7" ht="60">
      <c r="C182" s="94" t="s">
        <v>63</v>
      </c>
      <c r="D182" s="59" t="s">
        <v>208</v>
      </c>
      <c r="E182" s="59" t="s">
        <v>209</v>
      </c>
      <c r="F182" s="59" t="s">
        <v>210</v>
      </c>
      <c r="G182" s="79" t="s">
        <v>211</v>
      </c>
    </row>
    <row r="183" spans="3:7">
      <c r="C183" s="47" t="s">
        <v>25</v>
      </c>
      <c r="D183" s="132">
        <f>F183+$F$35+$F$40-$I$23</f>
        <v>892.46481483414254</v>
      </c>
      <c r="E183" s="40" cm="1">
        <f t="array" ref="E183">_xlfn.IFS('Overview and dashboard'!$X$9="No support",0,'Overview and dashboard'!$X$9="Current support schemes",IFERROR(VLOOKUP("England",$C$164:$H$170,6,0),""),'Overview and dashboard'!$X$9="Income foregone",D183)</f>
        <v>0</v>
      </c>
      <c r="F183" s="40">
        <f>'6 - Lists'!J$25</f>
        <v>664.06481483414257</v>
      </c>
      <c r="G183" s="135">
        <f>$I$61-$I$54+$F$31+E183-F183</f>
        <v>-892.46481483414254</v>
      </c>
    </row>
    <row r="184" spans="3:7">
      <c r="C184" s="47" t="s">
        <v>26</v>
      </c>
      <c r="D184" s="132">
        <f>F184+$M$35+$M$40-$P$23</f>
        <v>8322.4504195007339</v>
      </c>
      <c r="E184" s="40" cm="1">
        <f t="array" ref="E184">_xlfn.IFS('Overview and dashboard'!$X$9="No support",0,'Overview and dashboard'!$X$9="Current support schemes",IFERROR(VLOOKUP("England",$C$164:$H$170,6,0),""),'Overview and dashboard'!$X$9="Income foregone",D184)</f>
        <v>0</v>
      </c>
      <c r="F184" s="40">
        <f>'6 - Lists'!N$25</f>
        <v>8094.0504195007334</v>
      </c>
      <c r="G184" s="135">
        <f>$P$61-$P$54+$M$31+E184-F184</f>
        <v>-8322.4504195007339</v>
      </c>
    </row>
    <row r="185" spans="3:7">
      <c r="C185" s="47" t="s">
        <v>27</v>
      </c>
      <c r="D185" s="132">
        <f>F185+$T$35+$T$40-$W$23</f>
        <v>1779.4963516870343</v>
      </c>
      <c r="E185" s="40" cm="1">
        <f t="array" ref="E185">_xlfn.IFS('Overview and dashboard'!$X$9="No support",0,'Overview and dashboard'!$X$9="Current support schemes",IFERROR(VLOOKUP("England",$C$164:$H$170,6,0),""),'Overview and dashboard'!$X$9="Income foregone",D185)</f>
        <v>0</v>
      </c>
      <c r="F185" s="40">
        <f>'6 - Lists'!R$25</f>
        <v>1551.0963516870345</v>
      </c>
      <c r="G185" s="135">
        <f>$W$61-$W$54+$T$31+E185-F185</f>
        <v>-1779.4963516870346</v>
      </c>
    </row>
    <row r="186" spans="3:7">
      <c r="C186" s="47" t="s">
        <v>28</v>
      </c>
      <c r="D186" s="132">
        <f>F186+$AA$35+$AA$40-$AD$23</f>
        <v>361.01780228316517</v>
      </c>
      <c r="E186" s="40" cm="1">
        <f t="array" ref="E186">_xlfn.IFS('Overview and dashboard'!$X$9="No support",0,'Overview and dashboard'!$X$9="Current support schemes",IFERROR(VLOOKUP("England",$C$164:$H$170,6,0),""),'Overview and dashboard'!$X$9="Income foregone",D186)</f>
        <v>0</v>
      </c>
      <c r="F186" s="40">
        <f>'6 - Lists'!V$25</f>
        <v>132.61780228316516</v>
      </c>
      <c r="G186" s="135">
        <f>$AD$61-$AD$54+$AA$31+E186-F186</f>
        <v>-361.01780228316522</v>
      </c>
    </row>
    <row r="187" spans="3:7">
      <c r="C187" s="47" t="s">
        <v>29</v>
      </c>
      <c r="D187" s="132">
        <f>F187+$AO$35+$AO$40-$AR$23</f>
        <v>566.35173866571449</v>
      </c>
      <c r="E187" s="40" cm="1">
        <f t="array" ref="E187">_xlfn.IFS('Overview and dashboard'!$X$9="No support",0,'Overview and dashboard'!$X$9="Current support schemes",IFERROR(VLOOKUP("England",$C$164:$H$170,6,0),""),'Overview and dashboard'!$X$9="Income foregone",D187)</f>
        <v>0</v>
      </c>
      <c r="F187" s="40">
        <f>'6 - Lists'!Z$25</f>
        <v>337.95173866571457</v>
      </c>
      <c r="G187" s="135">
        <f>$AK$61-$AK$54+$AH$31+E187-F187</f>
        <v>-566.35173866571461</v>
      </c>
    </row>
    <row r="188" spans="3:7">
      <c r="C188" s="47" t="s">
        <v>30</v>
      </c>
      <c r="D188" s="132">
        <f>F188+$AO$35+$AO$40-$AR$23</f>
        <v>5287.836655968682</v>
      </c>
      <c r="E188" s="40" cm="1">
        <f t="array" ref="E188">_xlfn.IFS('Overview and dashboard'!$X$9="No support",0,'Overview and dashboard'!$X$9="Current support schemes",IFERROR(VLOOKUP("England",$C$164:$H$170,6,0),""),'Overview and dashboard'!$X$9="Income foregone",D188)</f>
        <v>0</v>
      </c>
      <c r="F188" s="40">
        <f>'6 - Lists'!AD$25</f>
        <v>5059.4366559686814</v>
      </c>
      <c r="G188" s="135">
        <f>$AR$61-$AR$54+$AO$31+E188-F188</f>
        <v>-5287.836655968681</v>
      </c>
    </row>
    <row r="189" spans="3:7">
      <c r="C189" s="78" t="s">
        <v>467</v>
      </c>
      <c r="D189" s="40"/>
      <c r="E189" s="40"/>
      <c r="F189" s="40"/>
      <c r="G189" s="60"/>
    </row>
    <row r="190" spans="3:7" ht="60">
      <c r="C190" s="94" t="s">
        <v>63</v>
      </c>
      <c r="D190" s="59" t="s">
        <v>208</v>
      </c>
      <c r="E190" s="59" t="s">
        <v>209</v>
      </c>
      <c r="F190" s="59" t="s">
        <v>210</v>
      </c>
      <c r="G190" s="79" t="s">
        <v>211</v>
      </c>
    </row>
    <row r="191" spans="3:7">
      <c r="C191" s="47" t="s">
        <v>25</v>
      </c>
      <c r="D191" s="132">
        <f>F191+$G$37+$G$42-$J$25</f>
        <v>920.71356483414252</v>
      </c>
      <c r="E191" s="40" cm="1">
        <f t="array" ref="E191">_xlfn.IFS('Overview and dashboard'!$X$9="No support",0,'Overview and dashboard'!$X$9="Current support schemes",IFERROR(VLOOKUP("England",$C$164:$H$170,6,0),""),'Overview and dashboard'!$X$9="Income foregone",D191)</f>
        <v>0</v>
      </c>
      <c r="F191" s="40">
        <f>'6 - Lists'!J$25</f>
        <v>664.06481483414257</v>
      </c>
      <c r="G191" s="135">
        <f>$I$62-$J$55+$G$31+E191-F191</f>
        <v>-920.71356483414252</v>
      </c>
    </row>
    <row r="192" spans="3:7">
      <c r="C192" s="47" t="s">
        <v>26</v>
      </c>
      <c r="D192" s="132">
        <f>F192+$N$37+$N$42-$Q$25</f>
        <v>8350.6991695007346</v>
      </c>
      <c r="E192" s="40" cm="1">
        <f t="array" ref="E192">_xlfn.IFS('Overview and dashboard'!$X$9="No support",0,'Overview and dashboard'!$X$9="Current support schemes",IFERROR(VLOOKUP("England",$C$164:$H$170,6,0),""),'Overview and dashboard'!$X$9="Income foregone",D192)</f>
        <v>0</v>
      </c>
      <c r="F192" s="40">
        <f>'6 - Lists'!N$25</f>
        <v>8094.0504195007334</v>
      </c>
      <c r="G192" s="135">
        <f>$P$62-$Q$55+$N$31+E192-F192</f>
        <v>-8350.6991695007328</v>
      </c>
    </row>
    <row r="193" spans="3:7">
      <c r="C193" s="47" t="s">
        <v>27</v>
      </c>
      <c r="D193" s="132">
        <f>F193+$U$37+$U$42-$X$25</f>
        <v>1807.7451016870343</v>
      </c>
      <c r="E193" s="40" cm="1">
        <f t="array" ref="E193">_xlfn.IFS('Overview and dashboard'!$X$9="No support",0,'Overview and dashboard'!$X$9="Current support schemes",IFERROR(VLOOKUP("England",$C$164:$H$170,6,0),""),'Overview and dashboard'!$X$9="Income foregone",D193)</f>
        <v>0</v>
      </c>
      <c r="F193" s="40">
        <f>'6 - Lists'!R$25</f>
        <v>1551.0963516870345</v>
      </c>
      <c r="G193" s="135">
        <f>$W$62-$X$55+$U$31+E193-F193</f>
        <v>-1807.7451016870345</v>
      </c>
    </row>
    <row r="194" spans="3:7">
      <c r="C194" s="47" t="s">
        <v>28</v>
      </c>
      <c r="D194" s="132">
        <f>F194+$AB$37+$AB$42-$AE$25</f>
        <v>389.26655228316514</v>
      </c>
      <c r="E194" s="40" cm="1">
        <f t="array" ref="E194">_xlfn.IFS('Overview and dashboard'!$X$9="No support",0,'Overview and dashboard'!$X$9="Current support schemes",IFERROR(VLOOKUP("England",$C$164:$H$170,6,0),""),'Overview and dashboard'!$X$9="Income foregone",D194)</f>
        <v>0</v>
      </c>
      <c r="F194" s="40">
        <f>'6 - Lists'!V$25</f>
        <v>132.61780228316516</v>
      </c>
      <c r="G194" s="135">
        <f>$AD$62-$AE$55+$AB$31+E194-F194</f>
        <v>-389.2665522831652</v>
      </c>
    </row>
    <row r="195" spans="3:7">
      <c r="C195" s="47" t="s">
        <v>29</v>
      </c>
      <c r="D195" s="132">
        <f>F195+$AP$37+$AP$42-$AS$25</f>
        <v>594.60048866571469</v>
      </c>
      <c r="E195" s="40" cm="1">
        <f t="array" ref="E195">_xlfn.IFS('Overview and dashboard'!$X$9="No support",0,'Overview and dashboard'!$X$9="Current support schemes",IFERROR(VLOOKUP("England",$C$164:$H$170,6,0),""),'Overview and dashboard'!$X$9="Income foregone",D195)</f>
        <v>0</v>
      </c>
      <c r="F195" s="40">
        <f>'6 - Lists'!Z$25</f>
        <v>337.95173866571457</v>
      </c>
      <c r="G195" s="135">
        <f>$AK$62-$AL$55+$AI$31+E195-F195</f>
        <v>-594.60048866571458</v>
      </c>
    </row>
    <row r="196" spans="3:7" ht="15.75" thickBot="1">
      <c r="C196" s="65" t="s">
        <v>30</v>
      </c>
      <c r="D196" s="280">
        <f>F196+$AP$37+$AP$42-$AS$25</f>
        <v>5316.0854059686817</v>
      </c>
      <c r="E196" s="66" cm="1">
        <f t="array" ref="E196">_xlfn.IFS('Overview and dashboard'!$X$9="No support",0,'Overview and dashboard'!$X$9="Current support schemes",IFERROR(VLOOKUP("England",$C$164:$H$170,6,0),""),'Overview and dashboard'!$X$9="Income foregone",D196)</f>
        <v>0</v>
      </c>
      <c r="F196" s="66">
        <f>'6 - Lists'!AD$25</f>
        <v>5059.4366559686814</v>
      </c>
      <c r="G196" s="276">
        <f>$AR$62-$AS$55+$AP$31+E196-F196</f>
        <v>-5316.0854059686817</v>
      </c>
    </row>
    <row r="197" spans="3:7" ht="15.75" thickBot="1"/>
    <row r="198" spans="3:7">
      <c r="C198" s="460" t="s">
        <v>468</v>
      </c>
      <c r="D198" s="461"/>
      <c r="E198" s="461"/>
      <c r="F198" s="461"/>
      <c r="G198" s="462"/>
    </row>
    <row r="199" spans="3:7">
      <c r="C199" s="78" t="s">
        <v>469</v>
      </c>
      <c r="D199" s="40"/>
      <c r="E199" s="40"/>
      <c r="F199" s="40"/>
      <c r="G199" s="60"/>
    </row>
    <row r="200" spans="3:7" ht="60">
      <c r="C200" s="94" t="s">
        <v>63</v>
      </c>
      <c r="D200" s="59" t="s">
        <v>208</v>
      </c>
      <c r="E200" s="59" t="s">
        <v>209</v>
      </c>
      <c r="F200" s="59" t="s">
        <v>210</v>
      </c>
      <c r="G200" s="79" t="s">
        <v>211</v>
      </c>
    </row>
    <row r="201" spans="3:7">
      <c r="C201" s="47" t="s">
        <v>25</v>
      </c>
      <c r="D201" s="132">
        <f>F201+$E$36+$E$41-$H$24</f>
        <v>1049.1499999999999</v>
      </c>
      <c r="E201" s="40" cm="1">
        <f t="array" ref="E201">_xlfn.IFS('Overview and dashboard'!$X$9="No support",0,'Overview and dashboard'!$X$9="Current support schemes",IFERROR(VLOOKUP("Scotland",$C$164:$H$170,6,0),""),'Overview and dashboard'!$X$9="Income foregone",D201)</f>
        <v>0</v>
      </c>
      <c r="F201" s="40">
        <f>'6 - Lists'!J$26</f>
        <v>1012</v>
      </c>
      <c r="G201" s="135">
        <f>$I$60-$H$53+$E$31+E201-F201</f>
        <v>-1049.1500000000001</v>
      </c>
    </row>
    <row r="202" spans="3:7">
      <c r="C202" s="47" t="s">
        <v>26</v>
      </c>
      <c r="D202" s="132">
        <f>F202+$L$36+$L$41-$O$24</f>
        <v>37.149999999999977</v>
      </c>
      <c r="E202" s="40" cm="1">
        <f t="array" ref="E202">_xlfn.IFS('Overview and dashboard'!$X$9="No support",0,'Overview and dashboard'!$X$9="Current support schemes",IFERROR(VLOOKUP("Scotland",$C$164:$H$170,6,0),""),'Overview and dashboard'!$X$9="Income foregone",D202)</f>
        <v>0</v>
      </c>
      <c r="F202" s="40">
        <f>'6 - Lists'!N$26</f>
        <v>0</v>
      </c>
      <c r="G202" s="135">
        <f>$P$60-$O$53+$L$31+E202-F202</f>
        <v>-37.149999999999977</v>
      </c>
    </row>
    <row r="203" spans="3:7">
      <c r="C203" s="47" t="s">
        <v>27</v>
      </c>
      <c r="D203" s="132">
        <f>F203+$S$36+$S$41-$V$24</f>
        <v>1572.3425133689839</v>
      </c>
      <c r="E203" s="40" cm="1">
        <f t="array" ref="E203">_xlfn.IFS('Overview and dashboard'!$X$9="No support",0,'Overview and dashboard'!$X$9="Current support schemes",IFERROR(VLOOKUP("Scotland",$C$164:$H$170,6,0),""),'Overview and dashboard'!$X$9="Income foregone",D203)</f>
        <v>0</v>
      </c>
      <c r="F203" s="40">
        <f>'6 - Lists'!R$26</f>
        <v>1535.192513368984</v>
      </c>
      <c r="G203" s="135">
        <f>$W$60-$V$53+$S$31+E203-F203</f>
        <v>-1572.3425133689839</v>
      </c>
    </row>
    <row r="204" spans="3:7">
      <c r="C204" s="47" t="s">
        <v>28</v>
      </c>
      <c r="D204" s="132">
        <f>F204+$Z$36+$Z$41-$AC$24</f>
        <v>99.283712660028414</v>
      </c>
      <c r="E204" s="40" cm="1">
        <f t="array" ref="E204">_xlfn.IFS('Overview and dashboard'!$X$9="No support",0,'Overview and dashboard'!$X$9="Current support schemes",IFERROR(VLOOKUP("Scotland",$C$164:$H$170,6,0),""),'Overview and dashboard'!$X$9="Income foregone",D204)</f>
        <v>0</v>
      </c>
      <c r="F204" s="40">
        <f>'6 - Lists'!V$26</f>
        <v>62.133712660028451</v>
      </c>
      <c r="G204" s="135">
        <f>$AD$60-$AC$53+$Z$31+E204-F204</f>
        <v>-99.283712660028428</v>
      </c>
    </row>
    <row r="205" spans="3:7">
      <c r="C205" s="47" t="s">
        <v>29</v>
      </c>
      <c r="D205" s="132">
        <f>F205+$AN$36+$AN$41-$AQ$24</f>
        <v>466.25</v>
      </c>
      <c r="E205" s="40" cm="1">
        <f t="array" ref="E205">_xlfn.IFS('Overview and dashboard'!$X$9="No support",0,'Overview and dashboard'!$X$9="Current support schemes",IFERROR(VLOOKUP("Scotland",$C$164:$H$170,6,0),""),'Overview and dashboard'!$X$9="Income foregone",D205)</f>
        <v>0</v>
      </c>
      <c r="F205" s="40">
        <f>'6 - Lists'!Z$26</f>
        <v>429.1</v>
      </c>
      <c r="G205" s="135">
        <f>$AK$60-$AJ$53+$AG$31+E205-F205</f>
        <v>-466.25</v>
      </c>
    </row>
    <row r="206" spans="3:7">
      <c r="C206" s="47" t="s">
        <v>30</v>
      </c>
      <c r="D206" s="132">
        <f>F206+$AN$36+$AN$41-$AQ$24</f>
        <v>37.149999999999977</v>
      </c>
      <c r="E206" s="40" cm="1">
        <f t="array" ref="E206">_xlfn.IFS('Overview and dashboard'!$X$9="No support",0,'Overview and dashboard'!$X$9="Current support schemes",IFERROR(VLOOKUP("Scotland",$C$164:$H$170,6,0),""),'Overview and dashboard'!$X$9="Income foregone",D206)</f>
        <v>0</v>
      </c>
      <c r="F206" s="40">
        <f>'6 - Lists'!AD$26</f>
        <v>0</v>
      </c>
      <c r="G206" s="135">
        <f>$AR$60-$AQ$53+$AN$31+E206-F206</f>
        <v>-37.149999999999977</v>
      </c>
    </row>
    <row r="207" spans="3:7">
      <c r="C207" s="78" t="s">
        <v>470</v>
      </c>
      <c r="D207" s="40"/>
      <c r="E207" s="40"/>
      <c r="F207" s="40"/>
      <c r="G207" s="60"/>
    </row>
    <row r="208" spans="3:7" ht="60">
      <c r="C208" s="94" t="s">
        <v>63</v>
      </c>
      <c r="D208" s="59" t="s">
        <v>208</v>
      </c>
      <c r="E208" s="59" t="s">
        <v>209</v>
      </c>
      <c r="F208" s="59" t="s">
        <v>210</v>
      </c>
      <c r="G208" s="79" t="s">
        <v>211</v>
      </c>
    </row>
    <row r="209" spans="3:7">
      <c r="C209" s="47" t="s">
        <v>25</v>
      </c>
      <c r="D209" s="132">
        <f>F209+$F$35+$F$40-$I$23</f>
        <v>1240.3999999999999</v>
      </c>
      <c r="E209" s="40" cm="1">
        <f t="array" ref="E209">_xlfn.IFS('Overview and dashboard'!$X$9="No support",0,'Overview and dashboard'!$X$9="Current support schemes",IFERROR(VLOOKUP("Scotland",$C$164:$H$170,6,0),""),'Overview and dashboard'!$X$9="Income foregone",D209)</f>
        <v>0</v>
      </c>
      <c r="F209" s="40">
        <f>'6 - Lists'!J$26</f>
        <v>1012</v>
      </c>
      <c r="G209" s="135">
        <f>$I$61-$I$54+$F$31+E209-F209</f>
        <v>-1240.4000000000001</v>
      </c>
    </row>
    <row r="210" spans="3:7">
      <c r="C210" s="47" t="s">
        <v>26</v>
      </c>
      <c r="D210" s="132">
        <f>F210+$M$35+$M$40-$P$23</f>
        <v>228.40000000000003</v>
      </c>
      <c r="E210" s="40" cm="1">
        <f t="array" ref="E210">_xlfn.IFS('Overview and dashboard'!$X$9="No support",0,'Overview and dashboard'!$X$9="Current support schemes",IFERROR(VLOOKUP("Scotland",$C$164:$H$170,6,0),""),'Overview and dashboard'!$X$9="Income foregone",D210)</f>
        <v>0</v>
      </c>
      <c r="F210" s="40">
        <f>'6 - Lists'!N$26</f>
        <v>0</v>
      </c>
      <c r="G210" s="135">
        <f>$P$61-$P$54+$M$31+E210-F210</f>
        <v>-228.40000000000003</v>
      </c>
    </row>
    <row r="211" spans="3:7">
      <c r="C211" s="47" t="s">
        <v>27</v>
      </c>
      <c r="D211" s="132">
        <f>F211+$T$35+$T$40-$W$23</f>
        <v>1763.5925133689839</v>
      </c>
      <c r="E211" s="40" cm="1">
        <f t="array" ref="E211">_xlfn.IFS('Overview and dashboard'!$X$9="No support",0,'Overview and dashboard'!$X$9="Current support schemes",IFERROR(VLOOKUP("Scotland",$C$164:$H$170,6,0),""),'Overview and dashboard'!$X$9="Income foregone",D211)</f>
        <v>0</v>
      </c>
      <c r="F211" s="40">
        <f>'6 - Lists'!R$26</f>
        <v>1535.192513368984</v>
      </c>
      <c r="G211" s="135">
        <f>$W$61-$W$54+$T$31+E211-F211</f>
        <v>-1763.5925133689841</v>
      </c>
    </row>
    <row r="212" spans="3:7">
      <c r="C212" s="47" t="s">
        <v>28</v>
      </c>
      <c r="D212" s="132">
        <f>F212+$AA$35+$AA$40-$AD$23</f>
        <v>290.53371266002847</v>
      </c>
      <c r="E212" s="40" cm="1">
        <f t="array" ref="E212">_xlfn.IFS('Overview and dashboard'!$X$9="No support",0,'Overview and dashboard'!$X$9="Current support schemes",IFERROR(VLOOKUP("Scotland",$C$164:$H$170,6,0),""),'Overview and dashboard'!$X$9="Income foregone",D212)</f>
        <v>0</v>
      </c>
      <c r="F212" s="40">
        <f>'6 - Lists'!V$26</f>
        <v>62.133712660028451</v>
      </c>
      <c r="G212" s="135">
        <f>$AD$61-$AD$54+$AA$31+E212-F212</f>
        <v>-290.53371266002847</v>
      </c>
    </row>
    <row r="213" spans="3:7">
      <c r="C213" s="47" t="s">
        <v>29</v>
      </c>
      <c r="D213" s="132">
        <f>F213+$AO$35+$AO$40-$AR$23</f>
        <v>657.5</v>
      </c>
      <c r="E213" s="40" cm="1">
        <f t="array" ref="E213">_xlfn.IFS('Overview and dashboard'!$X$9="No support",0,'Overview and dashboard'!$X$9="Current support schemes",IFERROR(VLOOKUP("Scotland",$C$164:$H$170,6,0),""),'Overview and dashboard'!$X$9="Income foregone",D213)</f>
        <v>0</v>
      </c>
      <c r="F213" s="40">
        <f>'6 - Lists'!Z$26</f>
        <v>429.1</v>
      </c>
      <c r="G213" s="135">
        <f>$AK$61-$AK$54+$AH$31+E213-F213</f>
        <v>-657.5</v>
      </c>
    </row>
    <row r="214" spans="3:7">
      <c r="C214" s="47" t="s">
        <v>30</v>
      </c>
      <c r="D214" s="132">
        <f>F214+$AO$35+$AO$40-$AR$23</f>
        <v>228.40000000000003</v>
      </c>
      <c r="E214" s="40" cm="1">
        <f t="array" ref="E214">_xlfn.IFS('Overview and dashboard'!$X$9="No support",0,'Overview and dashboard'!$X$9="Current support schemes",IFERROR(VLOOKUP("Scotland",$C$164:$H$170,6,0),""),'Overview and dashboard'!$X$9="Income foregone",D214)</f>
        <v>0</v>
      </c>
      <c r="F214" s="40">
        <f>'6 - Lists'!AD$26</f>
        <v>0</v>
      </c>
      <c r="G214" s="135">
        <f>$AR$61-$AR$54+$AO$31+E214-F214</f>
        <v>-228.40000000000003</v>
      </c>
    </row>
    <row r="215" spans="3:7">
      <c r="C215" s="78" t="s">
        <v>471</v>
      </c>
      <c r="D215" s="40"/>
      <c r="E215" s="40"/>
      <c r="F215" s="40"/>
      <c r="G215" s="60"/>
    </row>
    <row r="216" spans="3:7" ht="60">
      <c r="C216" s="94" t="s">
        <v>63</v>
      </c>
      <c r="D216" s="59" t="s">
        <v>208</v>
      </c>
      <c r="E216" s="59" t="s">
        <v>209</v>
      </c>
      <c r="F216" s="59" t="s">
        <v>210</v>
      </c>
      <c r="G216" s="79" t="s">
        <v>211</v>
      </c>
    </row>
    <row r="217" spans="3:7">
      <c r="C217" s="47" t="s">
        <v>25</v>
      </c>
      <c r="D217" s="132">
        <f>F217+$G$37+$G$42-$J$25</f>
        <v>1268.6487499999998</v>
      </c>
      <c r="E217" s="40" cm="1">
        <f t="array" ref="E217">_xlfn.IFS('Overview and dashboard'!$X$9="No support",0,'Overview and dashboard'!$X$9="Current support schemes",IFERROR(VLOOKUP("Scotland",$C$164:$H$170,6,0),""),'Overview and dashboard'!$X$9="Income foregone",D217)</f>
        <v>0</v>
      </c>
      <c r="F217" s="40">
        <f>'6 - Lists'!J$26</f>
        <v>1012</v>
      </c>
      <c r="G217" s="135">
        <f>$I$62-$J$55+$G$31+E217-F217</f>
        <v>-1268.6487500000001</v>
      </c>
    </row>
    <row r="218" spans="3:7">
      <c r="C218" s="47" t="s">
        <v>26</v>
      </c>
      <c r="D218" s="132">
        <f>F218+$N$37+$N$42-$Q$25</f>
        <v>256.64875000000001</v>
      </c>
      <c r="E218" s="40" cm="1">
        <f t="array" ref="E218">_xlfn.IFS('Overview and dashboard'!$X$9="No support",0,'Overview and dashboard'!$X$9="Current support schemes",IFERROR(VLOOKUP("Scotland",$C$164:$H$170,6,0),""),'Overview and dashboard'!$X$9="Income foregone",D218)</f>
        <v>0</v>
      </c>
      <c r="F218" s="40">
        <f>'6 - Lists'!N$26</f>
        <v>0</v>
      </c>
      <c r="G218" s="135">
        <f>$P$62-$Q$55+$N$31+E218-F218</f>
        <v>-256.64875000000001</v>
      </c>
    </row>
    <row r="219" spans="3:7">
      <c r="C219" s="47" t="s">
        <v>27</v>
      </c>
      <c r="D219" s="132">
        <f>F219+$U$37+$U$42-$X$25</f>
        <v>1791.8412633689838</v>
      </c>
      <c r="E219" s="40" cm="1">
        <f t="array" ref="E219">_xlfn.IFS('Overview and dashboard'!$X$9="No support",0,'Overview and dashboard'!$X$9="Current support schemes",IFERROR(VLOOKUP("Scotland",$C$164:$H$170,6,0),""),'Overview and dashboard'!$X$9="Income foregone",D219)</f>
        <v>0</v>
      </c>
      <c r="F219" s="40">
        <f>'6 - Lists'!R$26</f>
        <v>1535.192513368984</v>
      </c>
      <c r="G219" s="135">
        <f>$W$62-$X$55+$U$31+E219-F219</f>
        <v>-1791.8412633689841</v>
      </c>
    </row>
    <row r="220" spans="3:7">
      <c r="C220" s="47" t="s">
        <v>28</v>
      </c>
      <c r="D220" s="132">
        <f>F220+$AB$37+$AB$42-$AE$25</f>
        <v>318.78246266002844</v>
      </c>
      <c r="E220" s="40" cm="1">
        <f t="array" ref="E220">_xlfn.IFS('Overview and dashboard'!$X$9="No support",0,'Overview and dashboard'!$X$9="Current support schemes",IFERROR(VLOOKUP("Scotland",$C$164:$H$170,6,0),""),'Overview and dashboard'!$X$9="Income foregone",D220)</f>
        <v>0</v>
      </c>
      <c r="F220" s="40">
        <f>'6 - Lists'!V$26</f>
        <v>62.133712660028451</v>
      </c>
      <c r="G220" s="135">
        <f>$AD$62-$AE$55+$AB$31+E220-F220</f>
        <v>-318.78246266002844</v>
      </c>
    </row>
    <row r="221" spans="3:7">
      <c r="C221" s="47" t="s">
        <v>29</v>
      </c>
      <c r="D221" s="132">
        <f>F221+$AP$37+$AP$42-$AS$25</f>
        <v>685.74874999999997</v>
      </c>
      <c r="E221" s="40" cm="1">
        <f t="array" ref="E221">_xlfn.IFS('Overview and dashboard'!$X$9="No support",0,'Overview and dashboard'!$X$9="Current support schemes",IFERROR(VLOOKUP("Scotland",$C$164:$H$170,6,0),""),'Overview and dashboard'!$X$9="Income foregone",D221)</f>
        <v>0</v>
      </c>
      <c r="F221" s="40">
        <f>'6 - Lists'!Z$26</f>
        <v>429.1</v>
      </c>
      <c r="G221" s="135">
        <f>$AK$62-$AL$55+$AI$31+E221-F221</f>
        <v>-685.74874999999997</v>
      </c>
    </row>
    <row r="222" spans="3:7" ht="15.75" thickBot="1">
      <c r="C222" s="65" t="s">
        <v>30</v>
      </c>
      <c r="D222" s="280">
        <f>F222+$AO$35+$AO$40-$AR$23</f>
        <v>228.40000000000003</v>
      </c>
      <c r="E222" s="66" cm="1">
        <f t="array" ref="E222">_xlfn.IFS('Overview and dashboard'!$X$9="No support",0,'Overview and dashboard'!$X$9="Current support schemes",IFERROR(VLOOKUP("Scotland",$C$164:$H$170,6,0),""),'Overview and dashboard'!$X$9="Income foregone",D222)</f>
        <v>0</v>
      </c>
      <c r="F222" s="66">
        <f>'6 - Lists'!AD$26</f>
        <v>0</v>
      </c>
      <c r="G222" s="276">
        <f>$AR$62-$AS$55+$AP$31+E222-F222</f>
        <v>-256.64875000000001</v>
      </c>
    </row>
    <row r="223" spans="3:7" ht="15.75" thickBot="1">
      <c r="G223" s="248"/>
    </row>
    <row r="224" spans="3:7">
      <c r="C224" s="460" t="s">
        <v>472</v>
      </c>
      <c r="D224" s="461"/>
      <c r="E224" s="461"/>
      <c r="F224" s="461"/>
      <c r="G224" s="462"/>
    </row>
    <row r="225" spans="3:7">
      <c r="C225" s="78" t="s">
        <v>473</v>
      </c>
      <c r="D225" s="40"/>
      <c r="E225" s="40"/>
      <c r="F225" s="40"/>
      <c r="G225" s="60"/>
    </row>
    <row r="226" spans="3:7" ht="60">
      <c r="C226" s="94" t="s">
        <v>63</v>
      </c>
      <c r="D226" s="59" t="s">
        <v>208</v>
      </c>
      <c r="E226" s="59" t="s">
        <v>209</v>
      </c>
      <c r="F226" s="59" t="s">
        <v>210</v>
      </c>
      <c r="G226" s="79" t="s">
        <v>211</v>
      </c>
    </row>
    <row r="227" spans="3:7">
      <c r="C227" s="47" t="s">
        <v>25</v>
      </c>
      <c r="D227" s="132">
        <f>F227+$E$36+$E$41-$H$24</f>
        <v>37.149999999999977</v>
      </c>
      <c r="E227" s="40" cm="1">
        <f t="array" ref="E227">_xlfn.IFS('Overview and dashboard'!$X$9="No support",0,'Overview and dashboard'!$X$9="Current support schemes",IFERROR(VLOOKUP("Wales",$C$164:$H$170,6,0),""),'Overview and dashboard'!$X$9="Income foregone",D227)</f>
        <v>0</v>
      </c>
      <c r="F227" s="40">
        <f>'6 - Lists'!J$27</f>
        <v>0</v>
      </c>
      <c r="G227" s="135">
        <f>$I$60-$H$53+$E$31+E227-F227</f>
        <v>-37.149999999999977</v>
      </c>
    </row>
    <row r="228" spans="3:7">
      <c r="C228" s="47" t="s">
        <v>26</v>
      </c>
      <c r="D228" s="132">
        <f>F228+$L$36+$L$41-$O$24</f>
        <v>37.149999999999977</v>
      </c>
      <c r="E228" s="40" cm="1">
        <f t="array" ref="E228">_xlfn.IFS('Overview and dashboard'!$X$9="No support",0,'Overview and dashboard'!$X$9="Current support schemes",IFERROR(VLOOKUP("Wales",$C$164:$H$170,6,0),""),'Overview and dashboard'!$X$9="Income foregone",D228)</f>
        <v>0</v>
      </c>
      <c r="F228" s="40">
        <f>'6 - Lists'!N$27</f>
        <v>0</v>
      </c>
      <c r="G228" s="135">
        <f>$P$60-$O$53+$L$31+E228-F228</f>
        <v>-37.149999999999977</v>
      </c>
    </row>
    <row r="229" spans="3:7">
      <c r="C229" s="47" t="s">
        <v>27</v>
      </c>
      <c r="D229" s="132">
        <f>F229+$S$36+$S$41-$V$24</f>
        <v>1375.8712931103464</v>
      </c>
      <c r="E229" s="40" cm="1">
        <f t="array" ref="E229">_xlfn.IFS('Overview and dashboard'!$X$9="No support",0,'Overview and dashboard'!$X$9="Current support schemes",IFERROR(VLOOKUP("Wales",$C$164:$H$170,6,0),""),'Overview and dashboard'!$X$9="Income foregone",D229)</f>
        <v>0</v>
      </c>
      <c r="F229" s="40">
        <f>'6 - Lists'!R$27</f>
        <v>1338.7212931103466</v>
      </c>
      <c r="G229" s="135">
        <f>$W$60-$V$53+$S$31+E229-F229</f>
        <v>-1375.8712931103464</v>
      </c>
    </row>
    <row r="230" spans="3:7">
      <c r="C230" s="47" t="s">
        <v>28</v>
      </c>
      <c r="D230" s="132">
        <f>F230+$Z$36+$Z$41-$AC$24</f>
        <v>265.07022792022792</v>
      </c>
      <c r="E230" s="40" cm="1">
        <f t="array" ref="E230">_xlfn.IFS('Overview and dashboard'!$X$9="No support",0,'Overview and dashboard'!$X$9="Current support schemes",IFERROR(VLOOKUP("Wales",$C$164:$H$170,6,0),""),'Overview and dashboard'!$X$9="Income foregone",D230)</f>
        <v>0</v>
      </c>
      <c r="F230" s="40">
        <f>'6 - Lists'!V$27</f>
        <v>227.92022792022794</v>
      </c>
      <c r="G230" s="135">
        <f>$AD$60-$AC$53+$Z$31+E230-F230</f>
        <v>-265.07022792022792</v>
      </c>
    </row>
    <row r="231" spans="3:7">
      <c r="C231" s="47" t="s">
        <v>29</v>
      </c>
      <c r="D231" s="132">
        <f>F231+$AN$36+$AN$41-$AQ$24</f>
        <v>436.52960449786735</v>
      </c>
      <c r="E231" s="40" cm="1">
        <f t="array" ref="E231">_xlfn.IFS('Overview and dashboard'!$X$9="No support",0,'Overview and dashboard'!$X$9="Current support schemes",IFERROR(VLOOKUP("Wales",$C$164:$H$170,6,0),""),'Overview and dashboard'!$X$9="Income foregone",D231)</f>
        <v>0</v>
      </c>
      <c r="F231" s="40">
        <f>'6 - Lists'!Z$27</f>
        <v>399.37960449786738</v>
      </c>
      <c r="G231" s="135">
        <f>$AK$60-$AJ$53+$AG$31+E231-F231</f>
        <v>-436.52960449786735</v>
      </c>
    </row>
    <row r="232" spans="3:7">
      <c r="C232" s="47" t="s">
        <v>30</v>
      </c>
      <c r="D232" s="132">
        <f>F232+$AN$36+$AN$41-$AQ$24</f>
        <v>37.149999999999977</v>
      </c>
      <c r="E232" s="40" cm="1">
        <f t="array" ref="E232">_xlfn.IFS('Overview and dashboard'!$X$9="No support",0,'Overview and dashboard'!$X$9="Current support schemes",IFERROR(VLOOKUP("Wales",$C$164:$H$170,6,0),""),'Overview and dashboard'!$X$9="Income foregone",D232)</f>
        <v>0</v>
      </c>
      <c r="F232" s="40">
        <f>'6 - Lists'!AD$27</f>
        <v>0</v>
      </c>
      <c r="G232" s="135">
        <f>$AR$60-$AQ$53+$AN$31+E232-F232</f>
        <v>-37.149999999999977</v>
      </c>
    </row>
    <row r="233" spans="3:7">
      <c r="C233" s="78" t="s">
        <v>474</v>
      </c>
      <c r="D233" s="40"/>
      <c r="E233" s="40"/>
      <c r="F233" s="40"/>
      <c r="G233" s="60"/>
    </row>
    <row r="234" spans="3:7" ht="60">
      <c r="C234" s="94" t="s">
        <v>63</v>
      </c>
      <c r="D234" s="59" t="s">
        <v>208</v>
      </c>
      <c r="E234" s="59" t="s">
        <v>209</v>
      </c>
      <c r="F234" s="59" t="s">
        <v>210</v>
      </c>
      <c r="G234" s="79" t="s">
        <v>211</v>
      </c>
    </row>
    <row r="235" spans="3:7">
      <c r="C235" s="47" t="s">
        <v>25</v>
      </c>
      <c r="D235" s="132">
        <f>F235+$F$35+$F$40-$I$23</f>
        <v>228.40000000000003</v>
      </c>
      <c r="E235" s="40" cm="1">
        <f t="array" ref="E235">_xlfn.IFS('Overview and dashboard'!$X$9="No support",0,'Overview and dashboard'!$X$9="Current support schemes",IFERROR(VLOOKUP("Wales",$C$164:$H$170,6,0),""),'Overview and dashboard'!$X$9="Income foregone",D235)</f>
        <v>0</v>
      </c>
      <c r="F235" s="40">
        <f>'6 - Lists'!J$27</f>
        <v>0</v>
      </c>
      <c r="G235" s="135">
        <f>$I$61-$I$54+$F$31+E235-F235</f>
        <v>-228.40000000000003</v>
      </c>
    </row>
    <row r="236" spans="3:7">
      <c r="C236" s="47" t="s">
        <v>26</v>
      </c>
      <c r="D236" s="132">
        <f>F236+$M$35+$M$40-$P$23</f>
        <v>228.40000000000003</v>
      </c>
      <c r="E236" s="40" cm="1">
        <f t="array" ref="E236">_xlfn.IFS('Overview and dashboard'!$X$9="No support",0,'Overview and dashboard'!$X$9="Current support schemes",IFERROR(VLOOKUP("Wales",$C$164:$H$170,6,0),""),'Overview and dashboard'!$X$9="Income foregone",D236)</f>
        <v>0</v>
      </c>
      <c r="F236" s="40">
        <f>'6 - Lists'!N$27</f>
        <v>0</v>
      </c>
      <c r="G236" s="135">
        <f>$P$61-$P$54+$M$31+E236-F236</f>
        <v>-228.40000000000003</v>
      </c>
    </row>
    <row r="237" spans="3:7">
      <c r="C237" s="47" t="s">
        <v>27</v>
      </c>
      <c r="D237" s="132">
        <f>F237+$T$35+$T$40-$W$23</f>
        <v>1567.1212931103464</v>
      </c>
      <c r="E237" s="40" cm="1">
        <f t="array" ref="E237">_xlfn.IFS('Overview and dashboard'!$X$9="No support",0,'Overview and dashboard'!$X$9="Current support schemes",IFERROR(VLOOKUP("Wales",$C$164:$H$170,6,0),""),'Overview and dashboard'!$X$9="Income foregone",D237)</f>
        <v>0</v>
      </c>
      <c r="F237" s="40">
        <f>'6 - Lists'!R$27</f>
        <v>1338.7212931103466</v>
      </c>
      <c r="G237" s="135">
        <f>$W$61-$W$54+$T$31+E237-F237</f>
        <v>-1567.1212931103466</v>
      </c>
    </row>
    <row r="238" spans="3:7">
      <c r="C238" s="47" t="s">
        <v>28</v>
      </c>
      <c r="D238" s="132">
        <f>F238+$AA$35+$AA$40-$AD$23</f>
        <v>456.32022792022798</v>
      </c>
      <c r="E238" s="40" cm="1">
        <f t="array" ref="E238">_xlfn.IFS('Overview and dashboard'!$X$9="No support",0,'Overview and dashboard'!$X$9="Current support schemes",IFERROR(VLOOKUP("Wales",$C$164:$H$170,6,0),""),'Overview and dashboard'!$X$9="Income foregone",D238)</f>
        <v>0</v>
      </c>
      <c r="F238" s="40">
        <f>'6 - Lists'!V$27</f>
        <v>227.92022792022794</v>
      </c>
      <c r="G238" s="135">
        <f>$AD$61-$AD$54+$AA$31+E238-F238</f>
        <v>-456.32022792022798</v>
      </c>
    </row>
    <row r="239" spans="3:7">
      <c r="C239" s="47" t="s">
        <v>29</v>
      </c>
      <c r="D239" s="132">
        <f>F239+$AO$35+$AO$40-$AR$23</f>
        <v>627.77960449786735</v>
      </c>
      <c r="E239" s="40" cm="1">
        <f t="array" ref="E239">_xlfn.IFS('Overview and dashboard'!$X$9="No support",0,'Overview and dashboard'!$X$9="Current support schemes",IFERROR(VLOOKUP("Wales",$C$164:$H$170,6,0),""),'Overview and dashboard'!$X$9="Income foregone",D239)</f>
        <v>0</v>
      </c>
      <c r="F239" s="40">
        <f>'6 - Lists'!Z$27</f>
        <v>399.37960449786738</v>
      </c>
      <c r="G239" s="135">
        <f>$AK$61-$AK$54+$AH$31+E239-F239</f>
        <v>-627.77960449786747</v>
      </c>
    </row>
    <row r="240" spans="3:7">
      <c r="C240" s="47" t="s">
        <v>30</v>
      </c>
      <c r="D240" s="132">
        <f>F240+$AO$35+$AO$40-$AR$23</f>
        <v>228.40000000000003</v>
      </c>
      <c r="E240" s="40" cm="1">
        <f t="array" ref="E240">_xlfn.IFS('Overview and dashboard'!$X$9="No support",0,'Overview and dashboard'!$X$9="Current support schemes",IFERROR(VLOOKUP("Wales",$C$164:$H$170,6,0),""),'Overview and dashboard'!$X$9="Income foregone",D240)</f>
        <v>0</v>
      </c>
      <c r="F240" s="40">
        <f>'6 - Lists'!AD$27</f>
        <v>0</v>
      </c>
      <c r="G240" s="135">
        <f>$AR$61-$AR$54+$AO$31+E240-F240</f>
        <v>-228.40000000000003</v>
      </c>
    </row>
    <row r="241" spans="3:7">
      <c r="C241" s="78" t="s">
        <v>475</v>
      </c>
      <c r="D241" s="40"/>
      <c r="E241" s="40"/>
      <c r="F241" s="40"/>
      <c r="G241" s="60"/>
    </row>
    <row r="242" spans="3:7" ht="60">
      <c r="C242" s="94" t="s">
        <v>63</v>
      </c>
      <c r="D242" s="59" t="s">
        <v>208</v>
      </c>
      <c r="E242" s="59" t="s">
        <v>209</v>
      </c>
      <c r="F242" s="59" t="s">
        <v>210</v>
      </c>
      <c r="G242" s="79" t="s">
        <v>211</v>
      </c>
    </row>
    <row r="243" spans="3:7">
      <c r="C243" s="47" t="s">
        <v>25</v>
      </c>
      <c r="D243" s="132">
        <f>F243+$G$37+$G$42-$J$25</f>
        <v>256.64875000000001</v>
      </c>
      <c r="E243" s="40" cm="1">
        <f t="array" ref="E243">_xlfn.IFS('Overview and dashboard'!$X$9="No support",0,'Overview and dashboard'!$X$9="Current support schemes",IFERROR(VLOOKUP("Wales",$C$164:$H$170,6,0),""),'Overview and dashboard'!$X$9="Income foregone",D243)</f>
        <v>0</v>
      </c>
      <c r="F243" s="40">
        <f>'6 - Lists'!J$27</f>
        <v>0</v>
      </c>
      <c r="G243" s="135">
        <f>$I$62-$J$55+$G$31+E243-F243</f>
        <v>-256.64875000000001</v>
      </c>
    </row>
    <row r="244" spans="3:7">
      <c r="C244" s="47" t="s">
        <v>26</v>
      </c>
      <c r="D244" s="132">
        <f>F244+$N$37+$N$42-$Q$25</f>
        <v>256.64875000000001</v>
      </c>
      <c r="E244" s="40" cm="1">
        <f t="array" ref="E244">_xlfn.IFS('Overview and dashboard'!$X$9="No support",0,'Overview and dashboard'!$X$9="Current support schemes",IFERROR(VLOOKUP("Wales",$C$164:$H$170,6,0),""),'Overview and dashboard'!$X$9="Income foregone",D244)</f>
        <v>0</v>
      </c>
      <c r="F244" s="40">
        <f>'6 - Lists'!N$27</f>
        <v>0</v>
      </c>
      <c r="G244" s="135">
        <f>$P$62-$Q$55+$N$31+E244-F244</f>
        <v>-256.64875000000001</v>
      </c>
    </row>
    <row r="245" spans="3:7">
      <c r="C245" s="47" t="s">
        <v>27</v>
      </c>
      <c r="D245" s="132">
        <f>F245+$U$37+$U$42-$X$25</f>
        <v>1595.3700431103464</v>
      </c>
      <c r="E245" s="40" cm="1">
        <f t="array" ref="E245">_xlfn.IFS('Overview and dashboard'!$X$9="No support",0,'Overview and dashboard'!$X$9="Current support schemes",IFERROR(VLOOKUP("Wales",$C$164:$H$170,6,0),""),'Overview and dashboard'!$X$9="Income foregone",D245)</f>
        <v>0</v>
      </c>
      <c r="F245" s="40">
        <f>'6 - Lists'!R$27</f>
        <v>1338.7212931103466</v>
      </c>
      <c r="G245" s="135">
        <f>$W$62-$X$55+$U$31+E245-F245</f>
        <v>-1595.3700431103466</v>
      </c>
    </row>
    <row r="246" spans="3:7">
      <c r="C246" s="47" t="s">
        <v>28</v>
      </c>
      <c r="D246" s="132">
        <f>F246+$AB$37+$AB$42-$AE$25</f>
        <v>484.56897792022795</v>
      </c>
      <c r="E246" s="40" cm="1">
        <f t="array" ref="E246">_xlfn.IFS('Overview and dashboard'!$X$9="No support",0,'Overview and dashboard'!$X$9="Current support schemes",IFERROR(VLOOKUP("Wales",$C$164:$H$170,6,0),""),'Overview and dashboard'!$X$9="Income foregone",D246)</f>
        <v>0</v>
      </c>
      <c r="F246" s="40">
        <f>'6 - Lists'!V$27</f>
        <v>227.92022792022794</v>
      </c>
      <c r="G246" s="135">
        <f>$AD$62-$AE$55+$AB$31+E246-F246</f>
        <v>-484.56897792022795</v>
      </c>
    </row>
    <row r="247" spans="3:7">
      <c r="C247" s="47" t="s">
        <v>29</v>
      </c>
      <c r="D247" s="132">
        <f>F247+$AP$37+$AP$42-$AS$25</f>
        <v>656.02835449786744</v>
      </c>
      <c r="E247" s="40" cm="1">
        <f t="array" ref="E247">_xlfn.IFS('Overview and dashboard'!$X$9="No support",0,'Overview and dashboard'!$X$9="Current support schemes",IFERROR(VLOOKUP("Wales",$C$164:$H$170,6,0),""),'Overview and dashboard'!$X$9="Income foregone",D247)</f>
        <v>0</v>
      </c>
      <c r="F247" s="40">
        <f>'6 - Lists'!Z$27</f>
        <v>399.37960449786738</v>
      </c>
      <c r="G247" s="135">
        <f>$AK$62-$AL$55+$AI$31+E247-F247</f>
        <v>-656.02835449786744</v>
      </c>
    </row>
    <row r="248" spans="3:7" ht="15.75" thickBot="1">
      <c r="C248" s="65" t="s">
        <v>30</v>
      </c>
      <c r="D248" s="280">
        <f>F248+$AP$37+$AP$42-$AS$25</f>
        <v>256.64875000000001</v>
      </c>
      <c r="E248" s="66" cm="1">
        <f t="array" ref="E248">_xlfn.IFS('Overview and dashboard'!$X$9="No support",0,'Overview and dashboard'!$X$9="Current support schemes",IFERROR(VLOOKUP("Wales",$C$164:$H$170,6,0),""),'Overview and dashboard'!$X$9="Income foregone",D248)</f>
        <v>0</v>
      </c>
      <c r="F248" s="66">
        <f>'6 - Lists'!AD$27</f>
        <v>0</v>
      </c>
      <c r="G248" s="276">
        <f>$AR$62-$AS$55+$AP$31+E248-F248</f>
        <v>-256.64875000000001</v>
      </c>
    </row>
    <row r="249" spans="3:7" ht="15.75" thickBot="1">
      <c r="G249" s="248"/>
    </row>
    <row r="250" spans="3:7">
      <c r="C250" s="460" t="s">
        <v>476</v>
      </c>
      <c r="D250" s="461"/>
      <c r="E250" s="461"/>
      <c r="F250" s="461"/>
      <c r="G250" s="462"/>
    </row>
    <row r="251" spans="3:7">
      <c r="C251" s="78" t="s">
        <v>477</v>
      </c>
      <c r="D251" s="40"/>
      <c r="E251" s="40"/>
      <c r="F251" s="40"/>
      <c r="G251" s="60"/>
    </row>
    <row r="252" spans="3:7" ht="60">
      <c r="C252" s="94" t="s">
        <v>63</v>
      </c>
      <c r="D252" s="59" t="s">
        <v>208</v>
      </c>
      <c r="E252" s="59" t="s">
        <v>209</v>
      </c>
      <c r="F252" s="59" t="s">
        <v>210</v>
      </c>
      <c r="G252" s="79" t="s">
        <v>211</v>
      </c>
    </row>
    <row r="253" spans="3:7">
      <c r="C253" s="47" t="s">
        <v>25</v>
      </c>
      <c r="D253" s="132">
        <f>F253+$E$36+$E$41-$H$24</f>
        <v>940.26666666666665</v>
      </c>
      <c r="E253" s="40" cm="1">
        <f t="array" ref="E253">_xlfn.IFS('Overview and dashboard'!$X$9="No support",0,'Overview and dashboard'!$X$9="Current support schemes",IFERROR(VLOOKUP("Northern Ireland",$C$164:$H$170,6,0),""),'Overview and dashboard'!$X$9="Income foregone",D253)</f>
        <v>0</v>
      </c>
      <c r="F253" s="40">
        <f>'6 - Lists'!J$28</f>
        <v>903.11666666666667</v>
      </c>
      <c r="G253" s="135">
        <f>$I$60-$H$53+$E$31+E253-F253</f>
        <v>-940.26666666666665</v>
      </c>
    </row>
    <row r="254" spans="3:7">
      <c r="C254" s="47" t="s">
        <v>26</v>
      </c>
      <c r="D254" s="132">
        <f>F254+$L$36+$L$41-$O$24</f>
        <v>37.149999999999977</v>
      </c>
      <c r="E254" s="40" cm="1">
        <f t="array" ref="E254">_xlfn.IFS('Overview and dashboard'!$X$9="No support",0,'Overview and dashboard'!$X$9="Current support schemes",IFERROR(VLOOKUP("Northern Ireland",$C$164:$H$170,6,0),""),'Overview and dashboard'!$X$9="Income foregone",D254)</f>
        <v>0</v>
      </c>
      <c r="F254" s="40">
        <f>'6 - Lists'!N$28</f>
        <v>0</v>
      </c>
      <c r="G254" s="135">
        <f>$P$60-$O$53+$L$31+E254-F254</f>
        <v>-37.149999999999977</v>
      </c>
    </row>
    <row r="255" spans="3:7">
      <c r="C255" s="47" t="s">
        <v>27</v>
      </c>
      <c r="D255" s="132">
        <f>F255+$S$36+$S$41-$V$24</f>
        <v>1355.4153061224488</v>
      </c>
      <c r="E255" s="40" cm="1">
        <f t="array" ref="E255">_xlfn.IFS('Overview and dashboard'!$X$9="No support",0,'Overview and dashboard'!$X$9="Current support schemes",IFERROR(VLOOKUP("Northern Ireland",$C$164:$H$170,6,0),""),'Overview and dashboard'!$X$9="Income foregone",D255)</f>
        <v>0</v>
      </c>
      <c r="F255" s="40">
        <f>'6 - Lists'!R$28</f>
        <v>1318.2653061224489</v>
      </c>
      <c r="G255" s="135">
        <f>$W$60-$V$53+$S$31+E255-F255</f>
        <v>-1355.4153061224488</v>
      </c>
    </row>
    <row r="256" spans="3:7">
      <c r="C256" s="47" t="s">
        <v>28</v>
      </c>
      <c r="D256" s="132">
        <f>F256+$Z$36+$Z$41-$AC$24</f>
        <v>209.23245243128963</v>
      </c>
      <c r="E256" s="40" cm="1">
        <f t="array" ref="E256">_xlfn.IFS('Overview and dashboard'!$X$9="No support",0,'Overview and dashboard'!$X$9="Current support schemes",IFERROR(VLOOKUP("Northern Ireland",$C$164:$H$170,6,0),""),'Overview and dashboard'!$X$9="Income foregone",D256)</f>
        <v>0</v>
      </c>
      <c r="F256" s="40">
        <f>'6 - Lists'!V$28</f>
        <v>172.08245243128965</v>
      </c>
      <c r="G256" s="135">
        <f>$AD$60-$AC$53+$Z$31+E256-F256</f>
        <v>-209.23245243128963</v>
      </c>
    </row>
    <row r="257" spans="3:7">
      <c r="C257" s="47" t="s">
        <v>29</v>
      </c>
      <c r="D257" s="132">
        <f>F257+$AN$36+$AN$41-$AQ$24</f>
        <v>440.42131782945728</v>
      </c>
      <c r="E257" s="40" cm="1">
        <f t="array" ref="E257">_xlfn.IFS('Overview and dashboard'!$X$9="No support",0,'Overview and dashboard'!$X$9="Current support schemes",IFERROR(VLOOKUP("Northern Ireland",$C$164:$H$170,6,0),""),'Overview and dashboard'!$X$9="Income foregone",D257)</f>
        <v>0</v>
      </c>
      <c r="F257" s="40">
        <f>'6 - Lists'!Z$28</f>
        <v>403.27131782945736</v>
      </c>
      <c r="G257" s="135">
        <f>$AK$60-$AJ$53+$AG$31+E257-F257</f>
        <v>-440.42131782945734</v>
      </c>
    </row>
    <row r="258" spans="3:7">
      <c r="C258" s="47" t="s">
        <v>30</v>
      </c>
      <c r="D258" s="132">
        <f>F258+$AN$36+$AN$41-$AQ$24</f>
        <v>37.149999999999977</v>
      </c>
      <c r="E258" s="40" cm="1">
        <f t="array" ref="E258">_xlfn.IFS('Overview and dashboard'!$X$9="No support",0,'Overview and dashboard'!$X$9="Current support schemes",IFERROR(VLOOKUP("Northern Ireland",$C$164:$H$170,6,0),""),'Overview and dashboard'!$X$9="Income foregone",D258)</f>
        <v>0</v>
      </c>
      <c r="F258" s="40">
        <f>'6 - Lists'!AD$28</f>
        <v>0</v>
      </c>
      <c r="G258" s="135">
        <f>$AR$60-$AQ$53+$AN$31+E258-F258</f>
        <v>-37.149999999999977</v>
      </c>
    </row>
    <row r="259" spans="3:7">
      <c r="C259" s="78" t="s">
        <v>478</v>
      </c>
      <c r="D259" s="40"/>
      <c r="E259" s="40"/>
      <c r="F259" s="40"/>
      <c r="G259" s="60"/>
    </row>
    <row r="260" spans="3:7" ht="60">
      <c r="C260" s="94" t="s">
        <v>63</v>
      </c>
      <c r="D260" s="59" t="s">
        <v>208</v>
      </c>
      <c r="E260" s="59" t="s">
        <v>209</v>
      </c>
      <c r="F260" s="59" t="s">
        <v>210</v>
      </c>
      <c r="G260" s="79" t="s">
        <v>211</v>
      </c>
    </row>
    <row r="261" spans="3:7">
      <c r="C261" s="47" t="s">
        <v>25</v>
      </c>
      <c r="D261" s="132">
        <f>F261+$F$35+$F$40-$I$23</f>
        <v>1131.5166666666667</v>
      </c>
      <c r="E261" s="40" cm="1">
        <f t="array" ref="E261">_xlfn.IFS('Overview and dashboard'!$X$9="No support",0,'Overview and dashboard'!$X$9="Current support schemes",IFERROR(VLOOKUP("Northern Ireland",$C$164:$H$170,6,0),""),'Overview and dashboard'!$X$9="Income foregone",D261)</f>
        <v>0</v>
      </c>
      <c r="F261" s="40">
        <f>'6 - Lists'!J$28</f>
        <v>903.11666666666667</v>
      </c>
      <c r="G261" s="135">
        <f>$I$61-$I$54+$F$31+E261-F261</f>
        <v>-1131.5166666666667</v>
      </c>
    </row>
    <row r="262" spans="3:7">
      <c r="C262" s="47" t="s">
        <v>26</v>
      </c>
      <c r="D262" s="132">
        <f>F262+$M$35+$M$40-$P$23</f>
        <v>228.40000000000003</v>
      </c>
      <c r="E262" s="40" cm="1">
        <f t="array" ref="E262">_xlfn.IFS('Overview and dashboard'!$X$9="No support",0,'Overview and dashboard'!$X$9="Current support schemes",IFERROR(VLOOKUP("Northern Ireland",$C$164:$H$170,6,0),""),'Overview and dashboard'!$X$9="Income foregone",D262)</f>
        <v>0</v>
      </c>
      <c r="F262" s="40">
        <f>'6 - Lists'!N$28</f>
        <v>0</v>
      </c>
      <c r="G262" s="135">
        <f>$P$61-$P$54+$M$31+E262-F262</f>
        <v>-228.40000000000003</v>
      </c>
    </row>
    <row r="263" spans="3:7">
      <c r="C263" s="47" t="s">
        <v>27</v>
      </c>
      <c r="D263" s="132">
        <f>F263+$T$35+$T$40-$W$23</f>
        <v>1546.6653061224488</v>
      </c>
      <c r="E263" s="40" cm="1">
        <f t="array" ref="E263">_xlfn.IFS('Overview and dashboard'!$X$9="No support",0,'Overview and dashboard'!$X$9="Current support schemes",IFERROR(VLOOKUP("Northern Ireland",$C$164:$H$170,6,0),""),'Overview and dashboard'!$X$9="Income foregone",D263)</f>
        <v>0</v>
      </c>
      <c r="F263" s="40">
        <f>'6 - Lists'!R$28</f>
        <v>1318.2653061224489</v>
      </c>
      <c r="G263" s="135">
        <f>$W$61-$W$54+$T$31+E263-F263</f>
        <v>-1546.665306122449</v>
      </c>
    </row>
    <row r="264" spans="3:7">
      <c r="C264" s="47" t="s">
        <v>28</v>
      </c>
      <c r="D264" s="132">
        <f>F264+$AA$35+$AA$40-$AD$23</f>
        <v>400.48245243128969</v>
      </c>
      <c r="E264" s="40" cm="1">
        <f t="array" ref="E264">_xlfn.IFS('Overview and dashboard'!$X$9="No support",0,'Overview and dashboard'!$X$9="Current support schemes",IFERROR(VLOOKUP("Northern Ireland",$C$164:$H$170,6,0),""),'Overview and dashboard'!$X$9="Income foregone",D264)</f>
        <v>0</v>
      </c>
      <c r="F264" s="40">
        <f>'6 - Lists'!V$28</f>
        <v>172.08245243128965</v>
      </c>
      <c r="G264" s="135">
        <f>$AD$61-$AD$54+$AA$31+E264-F264</f>
        <v>-400.48245243128969</v>
      </c>
    </row>
    <row r="265" spans="3:7">
      <c r="C265" s="47" t="s">
        <v>29</v>
      </c>
      <c r="D265" s="132">
        <f>F265+$AO$35+$AO$40-$AR$23</f>
        <v>631.67131782945728</v>
      </c>
      <c r="E265" s="40" cm="1">
        <f t="array" ref="E265">_xlfn.IFS('Overview and dashboard'!$X$9="No support",0,'Overview and dashboard'!$X$9="Current support schemes",IFERROR(VLOOKUP("Northern Ireland",$C$164:$H$170,6,0),""),'Overview and dashboard'!$X$9="Income foregone",D265)</f>
        <v>0</v>
      </c>
      <c r="F265" s="40">
        <f>'6 - Lists'!Z$28</f>
        <v>403.27131782945736</v>
      </c>
      <c r="G265" s="135">
        <f>$AK$61-$AK$54+$AH$31+E265-F265</f>
        <v>-631.67131782945739</v>
      </c>
    </row>
    <row r="266" spans="3:7">
      <c r="C266" s="47" t="s">
        <v>30</v>
      </c>
      <c r="D266" s="132">
        <f>F266+$AP$37+$AP$42-$AS$25</f>
        <v>256.64875000000001</v>
      </c>
      <c r="E266" s="40" cm="1">
        <f t="array" ref="E266">_xlfn.IFS('Overview and dashboard'!$X$9="No support",0,'Overview and dashboard'!$X$9="Current support schemes",IFERROR(VLOOKUP("Northern Ireland",$C$164:$H$170,6,0),""),'Overview and dashboard'!$X$9="Income foregone",D266)</f>
        <v>0</v>
      </c>
      <c r="F266" s="40">
        <f>'6 - Lists'!AD$28</f>
        <v>0</v>
      </c>
      <c r="G266" s="135">
        <f>$AR$61-$AR$54+$AO$31+E266-F266</f>
        <v>-228.40000000000003</v>
      </c>
    </row>
    <row r="267" spans="3:7">
      <c r="C267" s="78" t="s">
        <v>479</v>
      </c>
      <c r="D267" s="40"/>
      <c r="E267" s="40"/>
      <c r="F267" s="40"/>
      <c r="G267" s="60"/>
    </row>
    <row r="268" spans="3:7" ht="60">
      <c r="C268" s="94" t="s">
        <v>63</v>
      </c>
      <c r="D268" s="59" t="s">
        <v>208</v>
      </c>
      <c r="E268" s="59" t="s">
        <v>209</v>
      </c>
      <c r="F268" s="59" t="s">
        <v>210</v>
      </c>
      <c r="G268" s="79" t="s">
        <v>211</v>
      </c>
    </row>
    <row r="269" spans="3:7">
      <c r="C269" s="47" t="s">
        <v>25</v>
      </c>
      <c r="D269" s="132">
        <f>F269+$G$37+$G$42-$J$25</f>
        <v>1159.7654166666666</v>
      </c>
      <c r="E269" s="40" cm="1">
        <f t="array" ref="E269">_xlfn.IFS('Overview and dashboard'!$X$9="No support",0,'Overview and dashboard'!$X$9="Current support schemes",IFERROR(VLOOKUP("Northern Ireland",$C$164:$H$170,6,0),""),'Overview and dashboard'!$X$9="Income foregone",D269)</f>
        <v>0</v>
      </c>
      <c r="F269" s="40">
        <f>'6 - Lists'!J$28</f>
        <v>903.11666666666667</v>
      </c>
      <c r="G269" s="135">
        <f>$I$62-$J$55+$G$31+E269-F269</f>
        <v>-1159.7654166666666</v>
      </c>
    </row>
    <row r="270" spans="3:7">
      <c r="C270" s="47" t="s">
        <v>26</v>
      </c>
      <c r="D270" s="132">
        <f>F270+$N$37+$N$42-$Q$25</f>
        <v>256.64875000000001</v>
      </c>
      <c r="E270" s="40" cm="1">
        <f t="array" ref="E270">_xlfn.IFS('Overview and dashboard'!$X$9="No support",0,'Overview and dashboard'!$X$9="Current support schemes",IFERROR(VLOOKUP("Northern Ireland",$C$164:$H$170,6,0),""),'Overview and dashboard'!$X$9="Income foregone",$N$44-$Q$25)</f>
        <v>0</v>
      </c>
      <c r="F270" s="40">
        <f>'6 - Lists'!N$28</f>
        <v>0</v>
      </c>
      <c r="G270" s="135">
        <f>$P$62-$Q$55+$N$31+E270-F270</f>
        <v>-256.64875000000001</v>
      </c>
    </row>
    <row r="271" spans="3:7">
      <c r="C271" s="47" t="s">
        <v>27</v>
      </c>
      <c r="D271" s="132">
        <f>F271+$U$37+$U$42-$X$25</f>
        <v>1574.9140561224488</v>
      </c>
      <c r="E271" s="40" cm="1">
        <f t="array" ref="E271">_xlfn.IFS('Overview and dashboard'!$X$9="No support",0,'Overview and dashboard'!$X$9="Current support schemes",IFERROR(VLOOKUP("Northern Ireland",$C$164:$H$170,6,0),""),'Overview and dashboard'!$X$9="Income foregone",D271)</f>
        <v>0</v>
      </c>
      <c r="F271" s="40">
        <f>'6 - Lists'!R$28</f>
        <v>1318.2653061224489</v>
      </c>
      <c r="G271" s="135">
        <f>$W$62-$X$55+$U$31+E271-F271</f>
        <v>-1574.914056122449</v>
      </c>
    </row>
    <row r="272" spans="3:7">
      <c r="C272" s="47" t="s">
        <v>28</v>
      </c>
      <c r="D272" s="132">
        <f>F272+$AB$37+$AB$42-$AE$25</f>
        <v>428.73120243128966</v>
      </c>
      <c r="E272" s="40" cm="1">
        <f t="array" ref="E272">_xlfn.IFS('Overview and dashboard'!$X$9="No support",0,'Overview and dashboard'!$X$9="Current support schemes",IFERROR(VLOOKUP("Northern Ireland",$C$164:$H$170,6,0),""),'Overview and dashboard'!$X$9="Income foregone",D272)</f>
        <v>0</v>
      </c>
      <c r="F272" s="40">
        <f>'6 - Lists'!V$28</f>
        <v>172.08245243128965</v>
      </c>
      <c r="G272" s="135">
        <f>$AD$62-$AE$55+$AB$31+E272-F272</f>
        <v>-428.73120243128966</v>
      </c>
    </row>
    <row r="273" spans="3:7">
      <c r="C273" s="47" t="s">
        <v>29</v>
      </c>
      <c r="D273" s="132">
        <f>F273+$AP$37+$AP$42-$AS$25</f>
        <v>659.92006782945737</v>
      </c>
      <c r="E273" s="40" cm="1">
        <f t="array" ref="E273">_xlfn.IFS('Overview and dashboard'!$X$9="No support",0,'Overview and dashboard'!$X$9="Current support schemes",IFERROR(VLOOKUP("Northern Ireland",$C$164:$H$170,6,0),""),'Overview and dashboard'!$X$9="Income foregone",D273)</f>
        <v>0</v>
      </c>
      <c r="F273" s="40">
        <f>'6 - Lists'!Z$28</f>
        <v>403.27131782945736</v>
      </c>
      <c r="G273" s="135">
        <f>$AK$62-$AL$55+$AI$31+E273-F273</f>
        <v>-659.92006782945737</v>
      </c>
    </row>
    <row r="274" spans="3:7" ht="15.75" thickBot="1">
      <c r="C274" s="65" t="s">
        <v>30</v>
      </c>
      <c r="D274" s="280">
        <f>F274+$AP$37+$AP$42-$AS$25</f>
        <v>256.64875000000001</v>
      </c>
      <c r="E274" s="66" cm="1">
        <f t="array" ref="E274">_xlfn.IFS('Overview and dashboard'!$X$9="No support",0,'Overview and dashboard'!$X$9="Current support schemes",IFERROR(VLOOKUP("Northern Ireland",$C$164:$H$170,6,0),""),'Overview and dashboard'!$X$9="Income foregone",D274)</f>
        <v>0</v>
      </c>
      <c r="F274" s="66">
        <f>'6 - Lists'!AD$28</f>
        <v>0</v>
      </c>
      <c r="G274" s="276">
        <f>$AR$62-$AS$55+$AP$31+E274-F274</f>
        <v>-256.64875000000001</v>
      </c>
    </row>
    <row r="275" spans="3:7">
      <c r="F275" s="248"/>
    </row>
    <row r="276" spans="3:7">
      <c r="F276" s="248"/>
    </row>
    <row r="277" spans="3:7">
      <c r="F277" s="248"/>
    </row>
  </sheetData>
  <sheetProtection algorithmName="SHA-512" hashValue="TFTk4iGe6Ai3WUeiNm8T7nnBF7IhwBTSi9Z6l5j76ykME2iQuXuTX+tr60sPxx+juvGlB/0DNYXpB8PICmzP1w==" saltValue="omlL2xZBG/oaZ3U5RVUqEg==" spinCount="100000" sheet="1" objects="1" scenarios="1"/>
  <mergeCells count="42">
    <mergeCell ref="C250:G250"/>
    <mergeCell ref="C224:G224"/>
    <mergeCell ref="C198:G198"/>
    <mergeCell ref="C172:G172"/>
    <mergeCell ref="C161:H161"/>
    <mergeCell ref="C164:F164"/>
    <mergeCell ref="C166:F166"/>
    <mergeCell ref="C168:F168"/>
    <mergeCell ref="C169:F169"/>
    <mergeCell ref="C162:H162"/>
    <mergeCell ref="S17:X17"/>
    <mergeCell ref="L17:Q17"/>
    <mergeCell ref="E17:J17"/>
    <mergeCell ref="E16:AS16"/>
    <mergeCell ref="AN18:AP18"/>
    <mergeCell ref="AQ18:AS18"/>
    <mergeCell ref="AN17:AS17"/>
    <mergeCell ref="AG17:AL17"/>
    <mergeCell ref="Z17:AE17"/>
    <mergeCell ref="L18:N18"/>
    <mergeCell ref="O18:Q18"/>
    <mergeCell ref="S18:U18"/>
    <mergeCell ref="V18:X18"/>
    <mergeCell ref="Z18:AB18"/>
    <mergeCell ref="AG18:AI18"/>
    <mergeCell ref="AJ18:AL18"/>
    <mergeCell ref="C152:F152"/>
    <mergeCell ref="C154:F154"/>
    <mergeCell ref="C156:F156"/>
    <mergeCell ref="C158:F158"/>
    <mergeCell ref="AC18:AE18"/>
    <mergeCell ref="C115:E115"/>
    <mergeCell ref="C100:E100"/>
    <mergeCell ref="C76:E76"/>
    <mergeCell ref="C66:E66"/>
    <mergeCell ref="C91:F91"/>
    <mergeCell ref="E18:G18"/>
    <mergeCell ref="H18:J18"/>
    <mergeCell ref="C126:E126"/>
    <mergeCell ref="C149:H149"/>
    <mergeCell ref="C142:F142"/>
    <mergeCell ref="C135:F135"/>
  </mergeCells>
  <hyperlinks>
    <hyperlink ref="F144" r:id="rId1" xr:uid="{E86519C2-77EE-47B9-B3E7-F6C348746A23}"/>
    <hyperlink ref="E128" r:id="rId2" xr:uid="{9357F2B1-F491-4045-AFBE-6F4D16F9F5DD}"/>
    <hyperlink ref="F137" r:id="rId3" xr:uid="{DA45B522-D411-497A-8045-49E0A1DBBB2B}"/>
  </hyperlinks>
  <pageMargins left="0.7" right="0.7" top="0.75" bottom="0.75" header="0.3" footer="0.3"/>
  <pageSetup paperSize="9" orientation="portrait"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96492-644E-4D9A-8F82-A0288FF3964F}">
  <sheetPr codeName="Sheet8"/>
  <dimension ref="D1:AF224"/>
  <sheetViews>
    <sheetView topLeftCell="A21" workbookViewId="0"/>
    <sheetView topLeftCell="A21" workbookViewId="1"/>
  </sheetViews>
  <sheetFormatPr defaultRowHeight="15"/>
  <cols>
    <col min="2" max="2" width="12.85546875" bestFit="1" customWidth="1"/>
    <col min="4" max="4" width="17.28515625" customWidth="1"/>
    <col min="5" max="7" width="12.5703125" customWidth="1"/>
    <col min="8" max="8" width="15.5703125" customWidth="1"/>
    <col min="9" max="10" width="13.42578125" customWidth="1"/>
    <col min="11" max="11" width="12.5703125" customWidth="1"/>
    <col min="12" max="12" width="15.28515625" customWidth="1"/>
    <col min="13" max="13" width="14.5703125" customWidth="1"/>
    <col min="14" max="14" width="13.5703125" customWidth="1"/>
    <col min="15" max="15" width="15.140625" customWidth="1"/>
    <col min="16" max="16" width="16.5703125" customWidth="1"/>
    <col min="17" max="18" width="12.5703125" customWidth="1"/>
    <col min="19" max="19" width="18.42578125" customWidth="1"/>
    <col min="20" max="21" width="12.5703125" customWidth="1"/>
    <col min="22" max="22" width="28.5703125" customWidth="1"/>
    <col min="23" max="23" width="22.5703125" customWidth="1"/>
    <col min="24" max="24" width="15.85546875" customWidth="1"/>
    <col min="25" max="25" width="12.42578125" customWidth="1"/>
    <col min="26" max="26" width="11.42578125" customWidth="1"/>
    <col min="27" max="27" width="14" customWidth="1"/>
    <col min="28" max="30" width="11.42578125" customWidth="1"/>
    <col min="31" max="31" width="14.85546875" customWidth="1"/>
    <col min="32" max="32" width="14.42578125" customWidth="1"/>
  </cols>
  <sheetData>
    <row r="1" spans="4:15" hidden="1">
      <c r="D1" s="114"/>
      <c r="E1" s="497" t="s">
        <v>480</v>
      </c>
      <c r="F1" s="497"/>
      <c r="G1" s="497"/>
      <c r="H1" s="497"/>
      <c r="I1" s="497"/>
      <c r="J1" s="497" t="s">
        <v>481</v>
      </c>
      <c r="K1" s="497"/>
      <c r="L1" s="497"/>
      <c r="M1" s="497"/>
      <c r="N1" s="115"/>
      <c r="O1" s="40"/>
    </row>
    <row r="2" spans="4:15" hidden="1">
      <c r="D2" s="116" t="s">
        <v>335</v>
      </c>
      <c r="E2" s="116" t="s">
        <v>24</v>
      </c>
      <c r="F2" s="116" t="s">
        <v>25</v>
      </c>
      <c r="G2" s="116" t="s">
        <v>482</v>
      </c>
      <c r="H2" s="116" t="s">
        <v>483</v>
      </c>
      <c r="I2" s="116" t="s">
        <v>26</v>
      </c>
      <c r="J2" s="116" t="s">
        <v>484</v>
      </c>
      <c r="K2" s="116" t="s">
        <v>485</v>
      </c>
      <c r="L2" s="116" t="s">
        <v>30</v>
      </c>
      <c r="M2" s="116" t="s">
        <v>486</v>
      </c>
      <c r="N2" s="116" t="s">
        <v>487</v>
      </c>
      <c r="O2" s="63" t="s">
        <v>488</v>
      </c>
    </row>
    <row r="3" spans="4:15" hidden="1">
      <c r="D3" s="40" t="s">
        <v>1</v>
      </c>
      <c r="E3" s="117">
        <v>8900000</v>
      </c>
      <c r="F3" s="117">
        <v>2500000</v>
      </c>
      <c r="G3" s="117">
        <v>1300000</v>
      </c>
      <c r="H3" s="117">
        <f>253000+792000</f>
        <v>1045000</v>
      </c>
      <c r="I3" s="117">
        <v>96000</v>
      </c>
      <c r="J3" s="118">
        <v>5200000</v>
      </c>
      <c r="K3" s="117">
        <v>15000000</v>
      </c>
      <c r="L3" s="117">
        <f>33000000+92000000</f>
        <v>125000000</v>
      </c>
      <c r="M3" s="117">
        <v>4000000</v>
      </c>
      <c r="N3" s="117">
        <v>385000</v>
      </c>
      <c r="O3" s="40" t="s">
        <v>489</v>
      </c>
    </row>
    <row r="4" spans="4:15" hidden="1">
      <c r="D4" s="40" t="s">
        <v>195</v>
      </c>
      <c r="E4" s="117">
        <v>5640000</v>
      </c>
      <c r="F4" s="117">
        <v>465900</v>
      </c>
      <c r="G4" s="117">
        <v>93500</v>
      </c>
      <c r="H4" s="117">
        <v>301800</v>
      </c>
      <c r="I4" s="117">
        <v>21000</v>
      </c>
      <c r="J4" s="118">
        <v>1710000</v>
      </c>
      <c r="K4" s="117">
        <v>6720000</v>
      </c>
      <c r="L4" s="117">
        <v>14400000</v>
      </c>
      <c r="M4" s="117">
        <v>338000</v>
      </c>
      <c r="N4" s="117"/>
      <c r="O4" s="40" t="s">
        <v>490</v>
      </c>
    </row>
    <row r="5" spans="4:15" hidden="1">
      <c r="D5" s="40" t="s">
        <v>199</v>
      </c>
      <c r="E5" s="117">
        <v>1697000</v>
      </c>
      <c r="F5" s="483">
        <v>82700</v>
      </c>
      <c r="G5" s="483"/>
      <c r="H5" s="483"/>
      <c r="I5" s="483"/>
      <c r="J5" s="118">
        <v>1122400</v>
      </c>
      <c r="K5" s="117">
        <v>8990000</v>
      </c>
      <c r="L5" s="117">
        <v>9840200</v>
      </c>
      <c r="M5" s="117">
        <v>28400</v>
      </c>
      <c r="N5" s="117"/>
      <c r="O5" s="40" t="s">
        <v>491</v>
      </c>
    </row>
    <row r="6" spans="4:15" hidden="1">
      <c r="D6" s="40" t="s">
        <v>203</v>
      </c>
      <c r="E6" s="117">
        <v>1029822</v>
      </c>
      <c r="F6" s="117">
        <v>29460</v>
      </c>
      <c r="G6" s="117">
        <v>7132</v>
      </c>
      <c r="H6" s="117">
        <f>7772+12564</f>
        <v>20336</v>
      </c>
      <c r="I6" s="117">
        <v>1178</v>
      </c>
      <c r="J6" s="118">
        <v>1610000</v>
      </c>
      <c r="K6" s="117">
        <v>2000000</v>
      </c>
      <c r="L6" s="117">
        <v>24400000</v>
      </c>
      <c r="M6" s="117">
        <v>681467</v>
      </c>
      <c r="N6" s="117">
        <v>17276</v>
      </c>
      <c r="O6" s="40" t="s">
        <v>492</v>
      </c>
    </row>
    <row r="7" spans="4:15" hidden="1">
      <c r="D7" s="40" t="s">
        <v>493</v>
      </c>
      <c r="E7" s="117">
        <f>SUM(E3:E6)</f>
        <v>17266822</v>
      </c>
      <c r="F7" s="117">
        <f>SUM(F3:F4,F6)</f>
        <v>2995360</v>
      </c>
      <c r="G7" s="117">
        <f>SUM(G3:G4,G6)</f>
        <v>1400632</v>
      </c>
      <c r="H7" s="117">
        <f t="shared" ref="H7" si="0">SUM(H3:H4,H6)</f>
        <v>1367136</v>
      </c>
      <c r="I7" s="117">
        <f>SUM(I3:I4,I6)</f>
        <v>118178</v>
      </c>
      <c r="J7" s="118">
        <f t="shared" ref="J7:M7" si="1">SUM(J3:J6)</f>
        <v>9642400</v>
      </c>
      <c r="K7" s="117">
        <f t="shared" si="1"/>
        <v>32710000</v>
      </c>
      <c r="L7" s="117">
        <f>SUM(L3:L6)</f>
        <v>173640200</v>
      </c>
      <c r="M7" s="117">
        <f t="shared" si="1"/>
        <v>5047867</v>
      </c>
      <c r="N7" s="117"/>
      <c r="O7" s="40"/>
    </row>
    <row r="8" spans="4:15" hidden="1">
      <c r="D8" s="63" t="s">
        <v>494</v>
      </c>
      <c r="E8" s="125">
        <v>17300000</v>
      </c>
      <c r="F8" s="125">
        <f>SUM(G8:H8)</f>
        <v>3112000</v>
      </c>
      <c r="G8" s="125">
        <v>1400000</v>
      </c>
      <c r="H8" s="125">
        <f>312000+1400000</f>
        <v>1712000</v>
      </c>
      <c r="I8" s="125">
        <v>166000</v>
      </c>
      <c r="J8" s="126">
        <v>9600000</v>
      </c>
      <c r="K8" s="125">
        <v>32700000</v>
      </c>
      <c r="L8" s="125">
        <v>182000000</v>
      </c>
      <c r="M8" s="125">
        <v>5000000</v>
      </c>
      <c r="N8" s="125">
        <v>1065000</v>
      </c>
      <c r="O8" s="123" t="s">
        <v>495</v>
      </c>
    </row>
    <row r="9" spans="4:15" hidden="1"/>
    <row r="10" spans="4:15" hidden="1">
      <c r="D10" s="114"/>
      <c r="E10" s="497" t="s">
        <v>496</v>
      </c>
      <c r="F10" s="497"/>
      <c r="G10" s="497"/>
      <c r="H10" s="497"/>
      <c r="I10" s="497"/>
      <c r="J10" s="497" t="s">
        <v>497</v>
      </c>
      <c r="K10" s="497"/>
      <c r="L10" s="497"/>
      <c r="M10" s="497"/>
      <c r="N10" s="115"/>
      <c r="O10" s="40"/>
    </row>
    <row r="11" spans="4:15" hidden="1">
      <c r="D11" s="116" t="s">
        <v>335</v>
      </c>
      <c r="E11" s="116" t="s">
        <v>24</v>
      </c>
      <c r="F11" s="116" t="s">
        <v>25</v>
      </c>
      <c r="G11" s="116" t="s">
        <v>482</v>
      </c>
      <c r="H11" s="116" t="s">
        <v>483</v>
      </c>
      <c r="I11" s="116" t="s">
        <v>26</v>
      </c>
      <c r="J11" s="116" t="s">
        <v>498</v>
      </c>
      <c r="K11" s="116" t="s">
        <v>485</v>
      </c>
      <c r="L11" s="116" t="s">
        <v>30</v>
      </c>
      <c r="M11" s="116" t="s">
        <v>486</v>
      </c>
      <c r="N11" s="116" t="s">
        <v>487</v>
      </c>
      <c r="O11" s="63" t="s">
        <v>488</v>
      </c>
    </row>
    <row r="12" spans="4:15" hidden="1">
      <c r="D12" s="40" t="s">
        <v>1</v>
      </c>
      <c r="E12" s="117">
        <f>E3/1000</f>
        <v>8900</v>
      </c>
      <c r="F12" s="117">
        <f t="shared" ref="F12:J17" si="2">F3/1000</f>
        <v>2500</v>
      </c>
      <c r="G12" s="117">
        <f t="shared" si="2"/>
        <v>1300</v>
      </c>
      <c r="H12" s="117">
        <f t="shared" si="2"/>
        <v>1045</v>
      </c>
      <c r="I12" s="117">
        <f t="shared" si="2"/>
        <v>96</v>
      </c>
      <c r="J12" s="118">
        <f>J3/1000</f>
        <v>5200</v>
      </c>
      <c r="K12" s="117">
        <f>K3*0.12/1000</f>
        <v>1800</v>
      </c>
      <c r="L12" s="117">
        <f>L3*0.0105/1000</f>
        <v>1312.5</v>
      </c>
      <c r="M12" s="117">
        <f>M3*0.3/1000</f>
        <v>1200</v>
      </c>
      <c r="N12" s="117">
        <f>N3/1000</f>
        <v>385</v>
      </c>
      <c r="O12" s="123" t="s">
        <v>489</v>
      </c>
    </row>
    <row r="13" spans="4:15" hidden="1">
      <c r="D13" s="40" t="s">
        <v>195</v>
      </c>
      <c r="E13" s="117">
        <f t="shared" ref="E13:E17" si="3">E4/1000</f>
        <v>5640</v>
      </c>
      <c r="F13" s="117">
        <f t="shared" si="2"/>
        <v>465.9</v>
      </c>
      <c r="G13" s="117">
        <f t="shared" si="2"/>
        <v>93.5</v>
      </c>
      <c r="H13" s="117">
        <f t="shared" si="2"/>
        <v>301.8</v>
      </c>
      <c r="I13" s="117">
        <f t="shared" si="2"/>
        <v>21</v>
      </c>
      <c r="J13" s="118">
        <f t="shared" si="2"/>
        <v>1710</v>
      </c>
      <c r="K13" s="117">
        <f t="shared" ref="K13:K17" si="4">K4*0.12/1000</f>
        <v>806.4</v>
      </c>
      <c r="L13" s="117">
        <f t="shared" ref="L13:L17" si="5">L4*0.0105/1000</f>
        <v>151.19999999999999</v>
      </c>
      <c r="M13" s="117">
        <f t="shared" ref="M13:M14" si="6">M4*0.3/1000</f>
        <v>101.4</v>
      </c>
      <c r="N13" s="117">
        <f t="shared" ref="N13:N16" si="7">N4/1000</f>
        <v>0</v>
      </c>
      <c r="O13" s="40" t="s">
        <v>490</v>
      </c>
    </row>
    <row r="14" spans="4:15" hidden="1">
      <c r="D14" s="40" t="s">
        <v>199</v>
      </c>
      <c r="E14" s="117">
        <f t="shared" si="3"/>
        <v>1697</v>
      </c>
      <c r="F14" s="483">
        <v>82700</v>
      </c>
      <c r="G14" s="483"/>
      <c r="H14" s="483"/>
      <c r="I14" s="483"/>
      <c r="J14" s="118">
        <f t="shared" si="2"/>
        <v>1122.4000000000001</v>
      </c>
      <c r="K14" s="117">
        <f t="shared" si="4"/>
        <v>1078.8</v>
      </c>
      <c r="L14" s="117">
        <f t="shared" si="5"/>
        <v>103.32210000000001</v>
      </c>
      <c r="M14" s="117">
        <f t="shared" si="6"/>
        <v>8.52</v>
      </c>
      <c r="N14" s="117">
        <f t="shared" si="7"/>
        <v>0</v>
      </c>
      <c r="O14" s="40" t="s">
        <v>491</v>
      </c>
    </row>
    <row r="15" spans="4:15" hidden="1">
      <c r="D15" s="40" t="s">
        <v>203</v>
      </c>
      <c r="E15" s="117">
        <f t="shared" si="3"/>
        <v>1029.8219999999999</v>
      </c>
      <c r="F15" s="117">
        <f>F6/1000</f>
        <v>29.46</v>
      </c>
      <c r="G15" s="117">
        <f t="shared" ref="G15:I17" si="8">G6/1000</f>
        <v>7.1319999999999997</v>
      </c>
      <c r="H15" s="117">
        <f t="shared" si="8"/>
        <v>20.335999999999999</v>
      </c>
      <c r="I15" s="117">
        <f t="shared" si="8"/>
        <v>1.1779999999999999</v>
      </c>
      <c r="J15" s="118">
        <f t="shared" si="2"/>
        <v>1610</v>
      </c>
      <c r="K15" s="117">
        <f t="shared" si="4"/>
        <v>240</v>
      </c>
      <c r="L15" s="117">
        <f t="shared" si="5"/>
        <v>256.20000000000005</v>
      </c>
      <c r="M15" s="117">
        <f>M6*0.3/1000</f>
        <v>204.4401</v>
      </c>
      <c r="N15" s="117">
        <f t="shared" si="7"/>
        <v>17.276</v>
      </c>
      <c r="O15" s="40" t="s">
        <v>492</v>
      </c>
    </row>
    <row r="16" spans="4:15" hidden="1">
      <c r="D16" s="40" t="s">
        <v>493</v>
      </c>
      <c r="E16" s="117">
        <f t="shared" si="3"/>
        <v>17266.822</v>
      </c>
      <c r="F16" s="117">
        <f>F7/1000</f>
        <v>2995.36</v>
      </c>
      <c r="G16" s="117">
        <f t="shared" si="8"/>
        <v>1400.6320000000001</v>
      </c>
      <c r="H16" s="117">
        <f t="shared" si="8"/>
        <v>1367.136</v>
      </c>
      <c r="I16" s="117">
        <f t="shared" si="8"/>
        <v>118.178</v>
      </c>
      <c r="J16" s="118">
        <f t="shared" si="2"/>
        <v>9642.4</v>
      </c>
      <c r="K16" s="117">
        <f t="shared" si="4"/>
        <v>3925.2</v>
      </c>
      <c r="L16" s="117">
        <f t="shared" si="5"/>
        <v>1823.2221000000002</v>
      </c>
      <c r="M16" s="117">
        <f>M7*0.3/1000</f>
        <v>1514.3600999999999</v>
      </c>
      <c r="N16" s="117">
        <f t="shared" si="7"/>
        <v>0</v>
      </c>
      <c r="O16" s="40"/>
    </row>
    <row r="17" spans="4:32" hidden="1">
      <c r="D17" s="119" t="s">
        <v>494</v>
      </c>
      <c r="E17" s="120">
        <f t="shared" si="3"/>
        <v>17300</v>
      </c>
      <c r="F17" s="120">
        <f>SUM(G17:H17)</f>
        <v>3112</v>
      </c>
      <c r="G17" s="120">
        <f t="shared" si="8"/>
        <v>1400</v>
      </c>
      <c r="H17" s="120">
        <f t="shared" si="8"/>
        <v>1712</v>
      </c>
      <c r="I17" s="120">
        <f t="shared" si="8"/>
        <v>166</v>
      </c>
      <c r="J17" s="121">
        <f t="shared" si="2"/>
        <v>9600</v>
      </c>
      <c r="K17" s="120">
        <f t="shared" si="4"/>
        <v>3924</v>
      </c>
      <c r="L17" s="120">
        <f t="shared" si="5"/>
        <v>1911.0000000000002</v>
      </c>
      <c r="M17" s="122">
        <f>M8*0.3/1000</f>
        <v>1500</v>
      </c>
      <c r="N17" s="120">
        <f>N8/1000</f>
        <v>1065</v>
      </c>
      <c r="O17" s="123" t="s">
        <v>495</v>
      </c>
    </row>
    <row r="18" spans="4:32" hidden="1">
      <c r="D18" s="119" t="s">
        <v>499</v>
      </c>
      <c r="E18" s="124">
        <f>E17/$E17</f>
        <v>1</v>
      </c>
      <c r="F18" s="124">
        <f t="shared" ref="F18:N18" si="9">F17/$E17</f>
        <v>0.17988439306358381</v>
      </c>
      <c r="G18" s="124">
        <f t="shared" si="9"/>
        <v>8.0924855491329481E-2</v>
      </c>
      <c r="H18" s="124">
        <f t="shared" si="9"/>
        <v>9.8959537572254341E-2</v>
      </c>
      <c r="I18" s="124">
        <f t="shared" si="9"/>
        <v>9.595375722543353E-3</v>
      </c>
      <c r="J18" s="124">
        <f t="shared" si="9"/>
        <v>0.55491329479768781</v>
      </c>
      <c r="K18" s="124">
        <f t="shared" si="9"/>
        <v>0.22682080924855491</v>
      </c>
      <c r="L18" s="124">
        <f t="shared" si="9"/>
        <v>0.11046242774566475</v>
      </c>
      <c r="M18" s="124">
        <f t="shared" si="9"/>
        <v>8.6705202312138727E-2</v>
      </c>
      <c r="N18" s="124">
        <f t="shared" si="9"/>
        <v>6.1560693641618494E-2</v>
      </c>
      <c r="O18" t="s">
        <v>500</v>
      </c>
    </row>
    <row r="19" spans="4:32" hidden="1"/>
    <row r="20" spans="4:32" hidden="1"/>
    <row r="22" spans="4:32" ht="15.75" thickBot="1">
      <c r="D22" s="491" t="s">
        <v>501</v>
      </c>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2"/>
      <c r="AE22" s="492"/>
    </row>
    <row r="23" spans="4:32" ht="29.1" customHeight="1">
      <c r="D23" s="489" t="s">
        <v>335</v>
      </c>
      <c r="E23" s="150" t="s">
        <v>24</v>
      </c>
      <c r="F23" s="151"/>
      <c r="G23" s="152"/>
      <c r="H23" s="150" t="s">
        <v>25</v>
      </c>
      <c r="I23" s="151"/>
      <c r="J23" s="151"/>
      <c r="K23" s="152"/>
      <c r="L23" s="150" t="s">
        <v>42</v>
      </c>
      <c r="M23" s="151"/>
      <c r="N23" s="151"/>
      <c r="O23" s="152"/>
      <c r="P23" s="150" t="s">
        <v>27</v>
      </c>
      <c r="Q23" s="151"/>
      <c r="R23" s="151"/>
      <c r="S23" s="152"/>
      <c r="T23" s="150" t="s">
        <v>28</v>
      </c>
      <c r="U23" s="151"/>
      <c r="V23" s="151"/>
      <c r="W23" s="152"/>
      <c r="X23" s="150" t="s">
        <v>29</v>
      </c>
      <c r="Y23" s="151"/>
      <c r="Z23" s="151"/>
      <c r="AA23" s="152"/>
      <c r="AB23" s="150" t="s">
        <v>30</v>
      </c>
      <c r="AC23" s="151"/>
      <c r="AD23" s="151"/>
      <c r="AE23" s="152"/>
    </row>
    <row r="24" spans="4:32" s="28" customFormat="1" ht="56.1" customHeight="1">
      <c r="D24" s="490"/>
      <c r="E24" s="127" t="s">
        <v>502</v>
      </c>
      <c r="F24" s="58" t="s">
        <v>503</v>
      </c>
      <c r="G24" s="128" t="s">
        <v>3</v>
      </c>
      <c r="H24" s="127" t="s">
        <v>504</v>
      </c>
      <c r="I24" s="58" t="s">
        <v>505</v>
      </c>
      <c r="J24" s="58" t="s">
        <v>506</v>
      </c>
      <c r="K24" s="128" t="str">
        <f>S56</f>
        <v>Net Income of farm type £</v>
      </c>
      <c r="L24" s="127" t="s">
        <v>504</v>
      </c>
      <c r="M24" s="58" t="s">
        <v>505</v>
      </c>
      <c r="N24" s="58" t="s">
        <v>506</v>
      </c>
      <c r="O24" s="128" t="str">
        <f>S56</f>
        <v>Net Income of farm type £</v>
      </c>
      <c r="P24" s="127" t="s">
        <v>504</v>
      </c>
      <c r="Q24" s="58" t="s">
        <v>507</v>
      </c>
      <c r="R24" s="58" t="s">
        <v>506</v>
      </c>
      <c r="S24" s="128" t="str">
        <f>S56</f>
        <v>Net Income of farm type £</v>
      </c>
      <c r="T24" s="127" t="s">
        <v>504</v>
      </c>
      <c r="U24" s="58" t="s">
        <v>507</v>
      </c>
      <c r="V24" s="58" t="s">
        <v>506</v>
      </c>
      <c r="W24" s="128" t="str">
        <f>S56</f>
        <v>Net Income of farm type £</v>
      </c>
      <c r="X24" s="127" t="s">
        <v>504</v>
      </c>
      <c r="Y24" s="58" t="s">
        <v>507</v>
      </c>
      <c r="Z24" s="58" t="s">
        <v>506</v>
      </c>
      <c r="AA24" s="128" t="str">
        <f>S56</f>
        <v>Net Income of farm type £</v>
      </c>
      <c r="AB24" s="127" t="s">
        <v>504</v>
      </c>
      <c r="AC24" s="58" t="s">
        <v>507</v>
      </c>
      <c r="AD24" s="58" t="s">
        <v>506</v>
      </c>
      <c r="AE24" s="128" t="str">
        <f>S56</f>
        <v>Net Income of farm type £</v>
      </c>
      <c r="AF24"/>
    </row>
    <row r="25" spans="4:32">
      <c r="D25" s="129" t="s">
        <v>1</v>
      </c>
      <c r="E25" s="131">
        <f>SUM(H25,L25,P25,T25,X25,AB25)</f>
        <v>6184496.2983403476</v>
      </c>
      <c r="F25" s="40">
        <v>371700</v>
      </c>
      <c r="G25" s="60"/>
      <c r="H25" s="131">
        <f>E46</f>
        <v>2629636.5232839999</v>
      </c>
      <c r="I25" s="41">
        <f>J46</f>
        <v>932.86851808875304</v>
      </c>
      <c r="J25" s="87">
        <f>N46</f>
        <v>664.06481483414257</v>
      </c>
      <c r="K25" s="135">
        <f>P46</f>
        <v>926817252.28349602</v>
      </c>
      <c r="L25" s="209">
        <v>70010.814225999886</v>
      </c>
      <c r="M25" s="87">
        <f>J47</f>
        <v>14011.459897194043</v>
      </c>
      <c r="N25" s="132">
        <f>N47</f>
        <v>8094.0504195007334</v>
      </c>
      <c r="O25" s="135">
        <f>P47</f>
        <v>141382277.57780161</v>
      </c>
      <c r="P25" s="131">
        <f>E48</f>
        <v>983541.73816034943</v>
      </c>
      <c r="Q25" s="87">
        <f>J48</f>
        <v>3293.4841011451044</v>
      </c>
      <c r="R25" s="132">
        <v>1551.0963516870345</v>
      </c>
      <c r="S25" s="135">
        <f>P48</f>
        <v>458472618.87177402</v>
      </c>
      <c r="T25" s="131">
        <f>E49</f>
        <v>1190402.464953</v>
      </c>
      <c r="U25" s="87">
        <f>J49</f>
        <v>371.45961739079399</v>
      </c>
      <c r="V25" s="41">
        <f>N49</f>
        <v>132.61780228316516</v>
      </c>
      <c r="W25" s="135">
        <f>P49</f>
        <v>107378741.66719955</v>
      </c>
      <c r="X25" s="131">
        <f>E50</f>
        <v>1208771.4111229985</v>
      </c>
      <c r="Y25" s="87">
        <f>J50</f>
        <v>732.66330494962688</v>
      </c>
      <c r="Z25" s="41">
        <f>N50</f>
        <v>337.95173866571457</v>
      </c>
      <c r="AA25" s="135">
        <f>P50</f>
        <v>152189784.37710053</v>
      </c>
      <c r="AB25" s="131">
        <f>E51</f>
        <v>102133.34659399996</v>
      </c>
      <c r="AC25" s="87">
        <f>J51</f>
        <v>14076.791204382824</v>
      </c>
      <c r="AD25" s="132">
        <f>N51</f>
        <v>5059.4366559686814</v>
      </c>
      <c r="AE25" s="135">
        <f>P51</f>
        <v>117294256.76349877</v>
      </c>
    </row>
    <row r="26" spans="4:32">
      <c r="D26" s="129" t="s">
        <v>195</v>
      </c>
      <c r="E26" s="131">
        <f>SUM(H26,L26,P26,T26,X26,AB26)</f>
        <v>4975229</v>
      </c>
      <c r="F26" s="40">
        <v>531500</v>
      </c>
      <c r="G26" s="60"/>
      <c r="H26" s="111">
        <f>E57</f>
        <v>469100</v>
      </c>
      <c r="I26" s="41">
        <f>L57</f>
        <v>1390.4533333333334</v>
      </c>
      <c r="J26" s="41">
        <f>Q57</f>
        <v>1012</v>
      </c>
      <c r="K26" s="135">
        <f>S57</f>
        <v>151430492</v>
      </c>
      <c r="L26" s="47"/>
      <c r="M26" s="41"/>
      <c r="N26" s="132"/>
      <c r="O26" s="135"/>
      <c r="P26" s="47">
        <f>E59</f>
        <v>104722</v>
      </c>
      <c r="Q26" s="41">
        <f>L59</f>
        <v>3142.0160427807486</v>
      </c>
      <c r="R26" s="41">
        <f>Q59</f>
        <v>1535.192513368984</v>
      </c>
      <c r="S26" s="135">
        <f>S59</f>
        <v>42962094</v>
      </c>
      <c r="T26" s="47">
        <f>E60</f>
        <v>3192072</v>
      </c>
      <c r="U26" s="41">
        <f>L60</f>
        <v>163.04694167852062</v>
      </c>
      <c r="V26" s="41">
        <f>Q60</f>
        <v>62.133712660028451</v>
      </c>
      <c r="W26" s="135">
        <f>S60</f>
        <v>369395910</v>
      </c>
      <c r="X26" s="47">
        <f>E61</f>
        <v>1209335</v>
      </c>
      <c r="Y26" s="41">
        <f>L61</f>
        <v>991.92307692307691</v>
      </c>
      <c r="Z26" s="41">
        <f>Q61</f>
        <v>429.1</v>
      </c>
      <c r="AA26" s="135">
        <f>S61</f>
        <v>32963830</v>
      </c>
      <c r="AB26" s="47"/>
      <c r="AC26" s="41"/>
      <c r="AD26" s="132"/>
      <c r="AE26" s="135"/>
    </row>
    <row r="27" spans="4:32">
      <c r="D27" s="129" t="s">
        <v>199</v>
      </c>
      <c r="E27" s="131">
        <f t="shared" ref="E27:E28" si="10">SUM(H27,L27,P27,T27,X27,AB27)</f>
        <v>1043000</v>
      </c>
      <c r="F27" s="40">
        <v>96800</v>
      </c>
      <c r="G27" s="60"/>
      <c r="H27" s="47"/>
      <c r="I27" s="41"/>
      <c r="J27" s="41"/>
      <c r="K27" s="60"/>
      <c r="L27" s="47"/>
      <c r="M27" s="41"/>
      <c r="N27" s="40"/>
      <c r="O27" s="60"/>
      <c r="P27" s="40">
        <f>E70</f>
        <v>185000</v>
      </c>
      <c r="Q27" s="41">
        <f>H70</f>
        <v>3196.7672241337923</v>
      </c>
      <c r="R27" s="41">
        <f>L70</f>
        <v>1338.7212931103466</v>
      </c>
      <c r="S27" s="135">
        <f>O70</f>
        <v>68984556.293510437</v>
      </c>
      <c r="T27" s="40">
        <f>E71</f>
        <v>769000</v>
      </c>
      <c r="U27" s="41">
        <f>H71</f>
        <v>560.920560920561</v>
      </c>
      <c r="V27" s="41">
        <f>L71</f>
        <v>227.92022792022794</v>
      </c>
      <c r="W27" s="135">
        <f>O71</f>
        <v>107552447.55244756</v>
      </c>
      <c r="X27" s="40">
        <f>E72</f>
        <v>89000</v>
      </c>
      <c r="Y27" s="41">
        <f>H72</f>
        <v>736.71965878247386</v>
      </c>
      <c r="Z27" s="41">
        <f>L72</f>
        <v>399.37960449786738</v>
      </c>
      <c r="AA27" s="135">
        <f>O72</f>
        <v>14752811.167119037</v>
      </c>
      <c r="AB27" s="47"/>
      <c r="AC27" s="41"/>
      <c r="AD27" s="40"/>
      <c r="AE27" s="60"/>
    </row>
    <row r="28" spans="4:32">
      <c r="D28" s="129" t="s">
        <v>203</v>
      </c>
      <c r="E28" s="131">
        <f t="shared" si="10"/>
        <v>845359</v>
      </c>
      <c r="F28" s="40">
        <v>16300</v>
      </c>
      <c r="G28" s="60"/>
      <c r="H28" s="174">
        <f>P79</f>
        <v>29662</v>
      </c>
      <c r="I28" s="41">
        <f>I79</f>
        <v>1339.3916666666667</v>
      </c>
      <c r="J28" s="41">
        <f>M79</f>
        <v>903.11666666666667</v>
      </c>
      <c r="K28" s="135">
        <f>Q79</f>
        <v>15841485.466666669</v>
      </c>
      <c r="L28" s="47"/>
      <c r="M28" s="41"/>
      <c r="N28" s="40"/>
      <c r="O28" s="60"/>
      <c r="P28" s="47">
        <f>P81</f>
        <v>145372</v>
      </c>
      <c r="Q28" s="41">
        <f>I81</f>
        <v>3170.5895691609976</v>
      </c>
      <c r="R28" s="41">
        <f>M81</f>
        <v>1318.2653061224489</v>
      </c>
      <c r="S28" s="135">
        <f>Q81</f>
        <v>95263161.632653058</v>
      </c>
      <c r="T28" s="47">
        <f>P82</f>
        <v>597639</v>
      </c>
      <c r="U28" s="41">
        <f>I82</f>
        <v>496.33192389006348</v>
      </c>
      <c r="V28" s="41">
        <f>M82</f>
        <v>172.08245243128965</v>
      </c>
      <c r="W28" s="135">
        <f>Q82</f>
        <v>90770371.585623696</v>
      </c>
      <c r="X28" s="47">
        <f>P83</f>
        <v>72686</v>
      </c>
      <c r="Y28" s="41">
        <f>I83</f>
        <v>949.8604651162791</v>
      </c>
      <c r="Z28" s="41">
        <f>M83</f>
        <v>403.27131782945736</v>
      </c>
      <c r="AA28" s="135">
        <f>Q83</f>
        <v>13831751.37984496</v>
      </c>
      <c r="AB28" s="47"/>
      <c r="AC28" s="41"/>
      <c r="AD28" s="40"/>
      <c r="AE28" s="60"/>
    </row>
    <row r="29" spans="4:32" ht="15.75" thickBot="1">
      <c r="D29" s="130" t="s">
        <v>508</v>
      </c>
      <c r="E29" s="294">
        <f>SUM(E25:E28)</f>
        <v>13048084.298340347</v>
      </c>
      <c r="F29" s="294">
        <f>SUM(F25:F28)</f>
        <v>1016300</v>
      </c>
      <c r="G29" s="67"/>
      <c r="H29" s="294">
        <f>SUM(H25:H28)</f>
        <v>3128398.5232839999</v>
      </c>
      <c r="I29" s="66"/>
      <c r="J29" s="66"/>
      <c r="K29" s="294">
        <f>SUM(K25:K28)</f>
        <v>1094089229.7501626</v>
      </c>
      <c r="L29" s="294">
        <f>SUM(L25:L28)</f>
        <v>70010.814225999886</v>
      </c>
      <c r="M29" s="66"/>
      <c r="N29" s="66"/>
      <c r="O29" s="294">
        <f>SUM(O25:O28)</f>
        <v>141382277.57780161</v>
      </c>
      <c r="P29" s="294">
        <f>SUM(P25:P28)</f>
        <v>1418635.7381603494</v>
      </c>
      <c r="Q29" s="66"/>
      <c r="R29" s="66"/>
      <c r="S29" s="294">
        <f>SUM(S25:S28)</f>
        <v>665682430.79793739</v>
      </c>
      <c r="T29" s="294">
        <f>SUM(T25:T28)</f>
        <v>5749113.4649529997</v>
      </c>
      <c r="U29" s="66"/>
      <c r="V29" s="66"/>
      <c r="W29" s="294">
        <f>SUM(W25:W28)</f>
        <v>675097470.80527091</v>
      </c>
      <c r="X29" s="294">
        <f>SUM(X25:X28)</f>
        <v>2579792.4111229982</v>
      </c>
      <c r="Y29" s="66"/>
      <c r="Z29" s="66"/>
      <c r="AA29" s="294">
        <f>SUM(AA25:AA28)</f>
        <v>213738176.92406452</v>
      </c>
      <c r="AB29" s="294">
        <f>SUM(AB25:AB28)</f>
        <v>102133.34659399996</v>
      </c>
      <c r="AC29" s="66"/>
      <c r="AD29" s="66"/>
      <c r="AE29" s="294">
        <f>SUM(AE25:AE28)</f>
        <v>117294256.76349877</v>
      </c>
      <c r="AF29" s="141" t="s">
        <v>495</v>
      </c>
    </row>
    <row r="31" spans="4:32" hidden="1"/>
    <row r="32" spans="4:32" hidden="1"/>
    <row r="33" spans="4:26" hidden="1"/>
    <row r="34" spans="4:26" ht="50.1" hidden="1" customHeight="1">
      <c r="D34" s="484" t="s">
        <v>509</v>
      </c>
      <c r="E34" s="485"/>
      <c r="F34" s="485"/>
      <c r="G34" s="485"/>
      <c r="H34" s="485"/>
      <c r="I34" s="485"/>
      <c r="J34" s="485"/>
      <c r="K34" s="485"/>
      <c r="L34" s="485"/>
      <c r="M34" s="485"/>
      <c r="N34" s="485"/>
      <c r="O34" s="485"/>
      <c r="P34" s="485"/>
      <c r="Q34" s="485"/>
      <c r="R34" s="485"/>
    </row>
    <row r="35" spans="4:26" ht="56.1" hidden="1" customHeight="1">
      <c r="D35" s="58" t="s">
        <v>63</v>
      </c>
      <c r="E35" s="58" t="s">
        <v>510</v>
      </c>
      <c r="F35" s="58" t="s">
        <v>511</v>
      </c>
      <c r="G35" s="58" t="s">
        <v>512</v>
      </c>
      <c r="H35" s="58" t="s">
        <v>513</v>
      </c>
      <c r="I35" s="58" t="s">
        <v>514</v>
      </c>
      <c r="J35" s="58" t="s">
        <v>515</v>
      </c>
      <c r="K35" s="58" t="s">
        <v>516</v>
      </c>
      <c r="L35" s="58" t="s">
        <v>517</v>
      </c>
      <c r="M35" s="58" t="s">
        <v>518</v>
      </c>
      <c r="N35" s="58" t="s">
        <v>519</v>
      </c>
      <c r="O35" s="58" t="s">
        <v>520</v>
      </c>
      <c r="P35" s="58" t="s">
        <v>521</v>
      </c>
      <c r="Q35" s="58" t="s">
        <v>522</v>
      </c>
      <c r="R35" s="58" t="s">
        <v>523</v>
      </c>
    </row>
    <row r="36" spans="4:26" s="28" customFormat="1" hidden="1">
      <c r="D36" s="40" t="s">
        <v>25</v>
      </c>
      <c r="E36" s="40"/>
      <c r="F36" s="111"/>
      <c r="G36" s="111">
        <v>3038000</v>
      </c>
      <c r="H36" s="118"/>
      <c r="I36" s="118"/>
      <c r="J36" s="41"/>
      <c r="K36" s="41"/>
      <c r="L36" s="41"/>
      <c r="M36" s="41"/>
      <c r="N36" s="41"/>
      <c r="O36" s="132"/>
      <c r="P36" s="88"/>
      <c r="Q36" s="138"/>
      <c r="R36" s="139"/>
      <c r="V36"/>
      <c r="W36"/>
      <c r="X36"/>
      <c r="Y36"/>
      <c r="Z36"/>
    </row>
    <row r="37" spans="4:26" hidden="1">
      <c r="D37" s="40" t="s">
        <v>524</v>
      </c>
      <c r="E37" s="40"/>
      <c r="F37" s="40"/>
      <c r="G37" s="40">
        <v>166000</v>
      </c>
      <c r="H37" s="118"/>
      <c r="I37" s="118"/>
      <c r="J37" s="133"/>
      <c r="K37" s="133"/>
      <c r="L37" s="133"/>
      <c r="M37" s="133"/>
      <c r="N37" s="133"/>
      <c r="O37" s="134"/>
      <c r="P37" s="136"/>
      <c r="Q37" s="134"/>
      <c r="R37" s="136"/>
      <c r="U37" t="s">
        <v>525</v>
      </c>
      <c r="X37" t="s">
        <v>526</v>
      </c>
      <c r="Y37" t="s">
        <v>527</v>
      </c>
    </row>
    <row r="38" spans="4:26" hidden="1">
      <c r="D38" s="40" t="s">
        <v>27</v>
      </c>
      <c r="E38" s="40">
        <f>X41</f>
        <v>2919000</v>
      </c>
      <c r="F38" s="40">
        <v>2.2000000000000002</v>
      </c>
      <c r="G38" s="126"/>
      <c r="H38" s="118"/>
      <c r="I38" s="118"/>
      <c r="J38" s="41"/>
      <c r="K38" s="41"/>
      <c r="L38" s="41"/>
      <c r="M38" s="41"/>
      <c r="N38" s="41"/>
      <c r="O38" s="132"/>
      <c r="P38" s="88"/>
      <c r="Q38" s="41"/>
      <c r="R38" s="139"/>
      <c r="T38" t="s">
        <v>528</v>
      </c>
      <c r="U38">
        <v>6118000</v>
      </c>
      <c r="W38" t="s">
        <v>529</v>
      </c>
      <c r="X38">
        <v>1850000</v>
      </c>
      <c r="Y38" s="73">
        <v>1509000</v>
      </c>
    </row>
    <row r="39" spans="4:26" hidden="1">
      <c r="D39" s="40" t="s">
        <v>28</v>
      </c>
      <c r="E39" s="111">
        <v>32697000</v>
      </c>
      <c r="F39" s="40">
        <v>7.5</v>
      </c>
      <c r="G39" s="126"/>
      <c r="H39" s="118"/>
      <c r="I39" s="118"/>
      <c r="J39" s="41"/>
      <c r="K39" s="41"/>
      <c r="L39" s="41"/>
      <c r="M39" s="41"/>
      <c r="N39" s="41"/>
      <c r="O39" s="132"/>
      <c r="P39" s="88"/>
      <c r="Q39" s="41"/>
      <c r="R39" s="139"/>
      <c r="T39" t="s">
        <v>530</v>
      </c>
      <c r="U39">
        <v>3924000</v>
      </c>
      <c r="W39" t="s">
        <v>531</v>
      </c>
      <c r="X39">
        <v>518000</v>
      </c>
      <c r="Y39">
        <v>906000</v>
      </c>
    </row>
    <row r="40" spans="4:26" hidden="1">
      <c r="D40" s="40" t="s">
        <v>29</v>
      </c>
      <c r="E40" s="40">
        <f>Y41</f>
        <v>3455000</v>
      </c>
      <c r="F40" s="40">
        <v>3.3</v>
      </c>
      <c r="G40" s="126"/>
      <c r="H40" s="118"/>
      <c r="I40" s="118"/>
      <c r="J40" s="41"/>
      <c r="K40" s="41"/>
      <c r="L40" s="41"/>
      <c r="M40" s="41"/>
      <c r="N40" s="41"/>
      <c r="O40" s="132"/>
      <c r="P40" s="88"/>
      <c r="Q40" s="41"/>
      <c r="R40" s="139"/>
      <c r="T40" t="s">
        <v>532</v>
      </c>
      <c r="U40">
        <f>SUM(U38:U39)</f>
        <v>10042000</v>
      </c>
      <c r="W40" t="s">
        <v>533</v>
      </c>
      <c r="X40">
        <v>551000</v>
      </c>
      <c r="Y40" s="73">
        <v>1040000</v>
      </c>
    </row>
    <row r="41" spans="4:26" hidden="1">
      <c r="D41" s="40" t="s">
        <v>30</v>
      </c>
      <c r="E41" s="40"/>
      <c r="F41" s="40"/>
      <c r="G41" s="126"/>
      <c r="H41" s="142"/>
      <c r="I41" s="118"/>
      <c r="J41" s="133"/>
      <c r="K41" s="133"/>
      <c r="L41" s="133"/>
      <c r="M41" s="133"/>
      <c r="N41" s="133"/>
      <c r="O41" s="134"/>
      <c r="P41" s="136"/>
      <c r="Q41" s="134"/>
      <c r="R41" s="136"/>
      <c r="W41" t="s">
        <v>534</v>
      </c>
      <c r="X41">
        <f>SUM(X38:X40)</f>
        <v>2919000</v>
      </c>
      <c r="Y41">
        <f>SUM(Y38:Y40)</f>
        <v>3455000</v>
      </c>
    </row>
    <row r="42" spans="4:26" hidden="1">
      <c r="D42" s="40" t="s">
        <v>24</v>
      </c>
      <c r="E42" s="40"/>
      <c r="F42" s="40"/>
      <c r="G42" s="126"/>
      <c r="H42" s="40"/>
      <c r="I42" s="40"/>
      <c r="J42" s="41"/>
      <c r="K42" s="41"/>
      <c r="L42" s="41"/>
      <c r="M42" s="41"/>
      <c r="N42" s="40"/>
      <c r="O42" s="40"/>
      <c r="P42" s="63"/>
      <c r="Q42" s="41"/>
      <c r="R42" s="88"/>
    </row>
    <row r="43" spans="4:26">
      <c r="D43" s="494" t="s">
        <v>535</v>
      </c>
      <c r="E43" s="495"/>
      <c r="F43" s="495"/>
      <c r="G43" s="495"/>
      <c r="H43" s="495"/>
      <c r="I43" s="495"/>
      <c r="J43" s="495"/>
      <c r="K43" s="495"/>
      <c r="L43" s="495"/>
      <c r="M43" s="495"/>
      <c r="N43" s="495"/>
      <c r="O43" s="495"/>
      <c r="P43" s="495"/>
      <c r="Q43" s="495"/>
      <c r="R43" s="495"/>
    </row>
    <row r="44" spans="4:26" ht="53.1" customHeight="1">
      <c r="D44" s="493" t="s">
        <v>536</v>
      </c>
      <c r="E44" s="493"/>
      <c r="F44" s="493"/>
      <c r="G44" s="493"/>
      <c r="H44" s="493"/>
      <c r="I44" s="493"/>
      <c r="J44" s="493"/>
      <c r="K44" s="493"/>
      <c r="L44" s="493"/>
      <c r="M44" s="493"/>
      <c r="N44" s="493"/>
      <c r="O44" s="493"/>
      <c r="P44" s="493"/>
      <c r="Q44" s="493"/>
      <c r="R44" s="493"/>
    </row>
    <row r="45" spans="4:26" ht="75">
      <c r="D45" s="58" t="s">
        <v>63</v>
      </c>
      <c r="E45" s="58" t="s">
        <v>512</v>
      </c>
      <c r="F45" s="58" t="s">
        <v>513</v>
      </c>
      <c r="G45" s="58" t="s">
        <v>514</v>
      </c>
      <c r="H45" s="58" t="s">
        <v>537</v>
      </c>
      <c r="I45" s="58" t="s">
        <v>516</v>
      </c>
      <c r="J45" s="58" t="s">
        <v>538</v>
      </c>
      <c r="K45" s="58" t="s">
        <v>518</v>
      </c>
      <c r="L45" s="58" t="s">
        <v>519</v>
      </c>
      <c r="M45" s="58" t="s">
        <v>520</v>
      </c>
      <c r="N45" s="58" t="s">
        <v>521</v>
      </c>
      <c r="O45" s="58" t="s">
        <v>522</v>
      </c>
      <c r="P45" s="58" t="s">
        <v>523</v>
      </c>
      <c r="Q45" s="58" t="s">
        <v>539</v>
      </c>
      <c r="R45" s="58" t="s">
        <v>540</v>
      </c>
    </row>
    <row r="46" spans="4:26">
      <c r="D46" s="40" t="s">
        <v>25</v>
      </c>
      <c r="E46" s="126">
        <v>2629636.5232839999</v>
      </c>
      <c r="F46" s="118">
        <v>13989.000499999998</v>
      </c>
      <c r="G46" s="118">
        <f>E46/F46</f>
        <v>187.97887120555899</v>
      </c>
      <c r="H46" s="153">
        <v>168838.22675650101</v>
      </c>
      <c r="I46" s="153">
        <v>6521.3442570253701</v>
      </c>
      <c r="J46" s="41">
        <f>SUM(H46:I46)/G46</f>
        <v>932.86851808875304</v>
      </c>
      <c r="K46" s="41"/>
      <c r="L46" s="41">
        <v>119672.559237888</v>
      </c>
      <c r="M46" s="132"/>
      <c r="N46" s="88">
        <v>664.06481483414257</v>
      </c>
      <c r="O46" s="138">
        <v>66253.286093134142</v>
      </c>
      <c r="P46" s="139">
        <v>926817252.28349602</v>
      </c>
      <c r="Q46" s="138">
        <f t="shared" ref="Q46:Q51" si="11">O46/G46</f>
        <v>352.45070718977098</v>
      </c>
      <c r="R46" s="138">
        <f t="shared" ref="R46:R51" si="12">N46-Q46</f>
        <v>311.61410764437159</v>
      </c>
    </row>
    <row r="47" spans="4:26">
      <c r="D47" s="40" t="s">
        <v>524</v>
      </c>
      <c r="E47" s="126">
        <v>20986</v>
      </c>
      <c r="F47" s="118">
        <v>2752.0004000000004</v>
      </c>
      <c r="G47" s="118">
        <v>25.439972401893499</v>
      </c>
      <c r="H47" s="153">
        <v>356451.15309485397</v>
      </c>
      <c r="I47" s="133"/>
      <c r="J47" s="41">
        <f t="shared" ref="J47:J51" si="13">SUM(H47:I47)/G47</f>
        <v>14011.459897194043</v>
      </c>
      <c r="K47" s="133"/>
      <c r="L47" s="133">
        <v>193082.20688638001</v>
      </c>
      <c r="M47" s="134"/>
      <c r="N47" s="136">
        <v>8094.0504195007334</v>
      </c>
      <c r="O47" s="134">
        <v>51374.366652636236</v>
      </c>
      <c r="P47" s="136">
        <v>141382277.57780161</v>
      </c>
      <c r="Q47" s="138">
        <f t="shared" si="11"/>
        <v>2019.4348421860882</v>
      </c>
      <c r="R47" s="138">
        <f t="shared" si="12"/>
        <v>6074.6155773146456</v>
      </c>
    </row>
    <row r="48" spans="4:26">
      <c r="D48" s="40" t="s">
        <v>27</v>
      </c>
      <c r="E48" s="126">
        <v>983541.73816034943</v>
      </c>
      <c r="F48" s="118">
        <v>5839.0001770000008</v>
      </c>
      <c r="G48" s="118">
        <f t="shared" ref="G48:G51" si="14">E48/F48</f>
        <v>168.443519154966</v>
      </c>
      <c r="H48" s="153">
        <v>31830.0258959723</v>
      </c>
      <c r="I48" s="153">
        <v>522936.02638183901</v>
      </c>
      <c r="J48" s="41">
        <f t="shared" si="13"/>
        <v>3293.4841011451044</v>
      </c>
      <c r="K48" s="41"/>
      <c r="L48" s="41">
        <v>255007.45135248901</v>
      </c>
      <c r="M48" s="132"/>
      <c r="N48" s="88">
        <v>1551.0963516870345</v>
      </c>
      <c r="O48" s="41">
        <v>78519.028082532299</v>
      </c>
      <c r="P48" s="139">
        <v>458472618.87177402</v>
      </c>
      <c r="Q48" s="138">
        <f t="shared" si="11"/>
        <v>466.14454789617486</v>
      </c>
      <c r="R48" s="138">
        <f t="shared" si="12"/>
        <v>1084.9518037908597</v>
      </c>
    </row>
    <row r="49" spans="4:22">
      <c r="D49" s="40" t="s">
        <v>28</v>
      </c>
      <c r="E49" s="126">
        <v>1190402.464953</v>
      </c>
      <c r="F49" s="118">
        <v>6928.0000999999993</v>
      </c>
      <c r="G49" s="118">
        <f t="shared" si="14"/>
        <v>171.82483368512078</v>
      </c>
      <c r="H49" s="153">
        <v>3627.0299831981802</v>
      </c>
      <c r="I49" s="153">
        <v>60198.956995713597</v>
      </c>
      <c r="J49" s="41">
        <f t="shared" si="13"/>
        <v>371.45961739079399</v>
      </c>
      <c r="K49" s="41"/>
      <c r="L49" s="41">
        <v>21838.893711130298</v>
      </c>
      <c r="M49" s="132"/>
      <c r="N49" s="88">
        <v>132.61780228316516</v>
      </c>
      <c r="O49" s="41">
        <v>15499.240779052467</v>
      </c>
      <c r="P49" s="139">
        <v>107378741.66719955</v>
      </c>
      <c r="Q49" s="138">
        <f t="shared" si="11"/>
        <v>90.203729266840128</v>
      </c>
      <c r="R49" s="138">
        <f t="shared" si="12"/>
        <v>42.414073016325034</v>
      </c>
    </row>
    <row r="50" spans="4:22">
      <c r="D50" s="40" t="s">
        <v>29</v>
      </c>
      <c r="E50" s="126">
        <v>1208771.4111229985</v>
      </c>
      <c r="F50" s="118">
        <v>12791.000599999999</v>
      </c>
      <c r="G50" s="118">
        <f t="shared" si="14"/>
        <v>94.501708578060615</v>
      </c>
      <c r="H50" s="153">
        <v>11011.4733328447</v>
      </c>
      <c r="I50" s="153">
        <v>58226.460797343701</v>
      </c>
      <c r="J50" s="41">
        <f t="shared" si="13"/>
        <v>732.66330494962688</v>
      </c>
      <c r="K50" s="41"/>
      <c r="L50" s="41">
        <v>30597.6724952933</v>
      </c>
      <c r="M50" s="132"/>
      <c r="N50" s="88">
        <v>337.95173866571457</v>
      </c>
      <c r="O50" s="41">
        <v>11898.192263168257</v>
      </c>
      <c r="P50" s="139">
        <v>152189784.37710053</v>
      </c>
      <c r="Q50" s="138">
        <f t="shared" si="11"/>
        <v>125.90452005785771</v>
      </c>
      <c r="R50" s="138">
        <f t="shared" si="12"/>
        <v>212.04721860785685</v>
      </c>
    </row>
    <row r="51" spans="4:22">
      <c r="D51" s="40" t="s">
        <v>30</v>
      </c>
      <c r="E51" s="126">
        <v>102133.34659399996</v>
      </c>
      <c r="F51" s="142">
        <v>1572.9999000000003</v>
      </c>
      <c r="G51" s="118">
        <f t="shared" si="14"/>
        <v>64.929022941450881</v>
      </c>
      <c r="H51" s="153">
        <v>40572.244371471403</v>
      </c>
      <c r="I51" s="153">
        <v>873420.05467991496</v>
      </c>
      <c r="J51" s="41">
        <f t="shared" si="13"/>
        <v>14076.791204382824</v>
      </c>
      <c r="K51" s="133"/>
      <c r="L51" s="133">
        <v>305028.34054992598</v>
      </c>
      <c r="M51" s="134"/>
      <c r="N51" s="136">
        <v>5059.4366559686814</v>
      </c>
      <c r="O51" s="134">
        <v>74567.237266511424</v>
      </c>
      <c r="P51" s="136">
        <v>117294256.76349877</v>
      </c>
      <c r="Q51" s="138">
        <f t="shared" si="11"/>
        <v>1148.4423126735128</v>
      </c>
      <c r="R51" s="138">
        <f t="shared" si="12"/>
        <v>3910.9943432951686</v>
      </c>
    </row>
    <row r="52" spans="4:22">
      <c r="D52" s="40" t="s">
        <v>24</v>
      </c>
      <c r="E52" s="126"/>
      <c r="F52" s="40"/>
      <c r="G52" s="40"/>
      <c r="H52" s="40"/>
      <c r="I52" s="41"/>
      <c r="J52" s="41"/>
      <c r="K52" s="41"/>
      <c r="L52" s="40"/>
      <c r="M52" s="40"/>
      <c r="N52" s="63"/>
      <c r="O52" s="41"/>
      <c r="P52" s="164">
        <f>SUM(P46:P51)</f>
        <v>1903534931.5408704</v>
      </c>
      <c r="Q52" s="40"/>
      <c r="R52" s="40"/>
    </row>
    <row r="54" spans="4:22">
      <c r="D54" s="496" t="s">
        <v>535</v>
      </c>
      <c r="E54" s="496"/>
      <c r="F54" s="496"/>
      <c r="G54" s="496"/>
      <c r="H54" s="496"/>
      <c r="I54" s="496"/>
      <c r="J54" s="496"/>
      <c r="K54" s="496"/>
      <c r="L54" s="496"/>
      <c r="M54" s="496"/>
      <c r="N54" s="496"/>
      <c r="O54" s="496"/>
      <c r="P54" s="496"/>
      <c r="Q54" s="496"/>
      <c r="R54" s="496"/>
      <c r="S54" s="496"/>
    </row>
    <row r="55" spans="4:22" ht="68.45" customHeight="1">
      <c r="D55" s="488" t="s">
        <v>541</v>
      </c>
      <c r="E55" s="488"/>
      <c r="F55" s="488"/>
      <c r="G55" s="488"/>
      <c r="H55" s="488"/>
      <c r="I55" s="488"/>
      <c r="J55" s="488"/>
      <c r="K55" s="488"/>
      <c r="L55" s="488"/>
      <c r="M55" s="488"/>
      <c r="N55" s="488"/>
      <c r="O55" s="488"/>
      <c r="P55" s="488"/>
      <c r="Q55" s="488"/>
      <c r="R55" s="488"/>
      <c r="S55" s="488"/>
    </row>
    <row r="56" spans="4:22" ht="60">
      <c r="D56" s="58" t="s">
        <v>63</v>
      </c>
      <c r="E56" s="58" t="s">
        <v>512</v>
      </c>
      <c r="F56" s="58" t="s">
        <v>513</v>
      </c>
      <c r="G56" s="58" t="s">
        <v>514</v>
      </c>
      <c r="H56" s="58" t="s">
        <v>515</v>
      </c>
      <c r="I56" s="58" t="s">
        <v>516</v>
      </c>
      <c r="J56" s="58" t="s">
        <v>517</v>
      </c>
      <c r="K56" s="162" t="s">
        <v>542</v>
      </c>
      <c r="L56" s="58" t="s">
        <v>543</v>
      </c>
      <c r="M56" s="330" t="s">
        <v>544</v>
      </c>
      <c r="N56" s="330" t="s">
        <v>545</v>
      </c>
      <c r="O56" s="58" t="s">
        <v>546</v>
      </c>
      <c r="P56" s="58" t="s">
        <v>519</v>
      </c>
      <c r="Q56" s="58" t="s">
        <v>521</v>
      </c>
      <c r="R56" s="58" t="s">
        <v>522</v>
      </c>
      <c r="S56" s="58" t="s">
        <v>523</v>
      </c>
      <c r="V56" s="87"/>
    </row>
    <row r="57" spans="4:22">
      <c r="D57" s="40" t="s">
        <v>25</v>
      </c>
      <c r="E57" s="137">
        <v>469100</v>
      </c>
      <c r="F57" s="40">
        <v>2363</v>
      </c>
      <c r="G57" s="118">
        <v>150</v>
      </c>
      <c r="H57" s="41">
        <v>157060</v>
      </c>
      <c r="I57" s="41">
        <v>10422</v>
      </c>
      <c r="J57" s="41">
        <v>41086</v>
      </c>
      <c r="K57" s="88">
        <f>H57+I57+J57</f>
        <v>208568</v>
      </c>
      <c r="L57" s="41">
        <f t="shared" ref="L57:L63" si="15">K57/G57</f>
        <v>1390.4533333333334</v>
      </c>
      <c r="M57" s="41">
        <v>188325</v>
      </c>
      <c r="N57" s="41">
        <v>131557</v>
      </c>
      <c r="O57" s="88">
        <f>M57-N57</f>
        <v>56768</v>
      </c>
      <c r="P57" s="41">
        <f>H57+I57+J57-O57</f>
        <v>151800</v>
      </c>
      <c r="Q57" s="88">
        <f>P57/G57</f>
        <v>1012</v>
      </c>
      <c r="R57" s="138">
        <v>64084</v>
      </c>
      <c r="S57" s="139">
        <f>R57*F57</f>
        <v>151430492</v>
      </c>
    </row>
    <row r="58" spans="4:22">
      <c r="D58" s="40" t="s">
        <v>524</v>
      </c>
      <c r="E58" s="63">
        <v>20986</v>
      </c>
      <c r="F58" s="40">
        <v>713</v>
      </c>
      <c r="G58" s="118">
        <f t="shared" ref="G58:G62" si="16">E58/F58</f>
        <v>29.433380084151473</v>
      </c>
      <c r="H58" s="133"/>
      <c r="I58" s="133"/>
      <c r="J58" s="133"/>
      <c r="K58" s="88">
        <f t="shared" ref="K58:K63" si="17">H58+I58+J58</f>
        <v>0</v>
      </c>
      <c r="L58" s="41">
        <f t="shared" si="15"/>
        <v>0</v>
      </c>
      <c r="M58" s="41"/>
      <c r="N58" s="41"/>
      <c r="O58" s="163"/>
      <c r="P58" s="133"/>
      <c r="Q58" s="136"/>
      <c r="R58" s="134"/>
      <c r="S58" s="136"/>
    </row>
    <row r="59" spans="4:22">
      <c r="D59" s="40" t="s">
        <v>27</v>
      </c>
      <c r="E59" s="63">
        <v>104722</v>
      </c>
      <c r="F59" s="40">
        <v>651</v>
      </c>
      <c r="G59" s="118">
        <v>187</v>
      </c>
      <c r="H59" s="41">
        <v>13307</v>
      </c>
      <c r="I59" s="41">
        <v>563838</v>
      </c>
      <c r="J59" s="41">
        <v>10412</v>
      </c>
      <c r="K59" s="88">
        <f>H59+I59+J59</f>
        <v>587557</v>
      </c>
      <c r="L59" s="41">
        <f t="shared" si="15"/>
        <v>3142.0160427807486</v>
      </c>
      <c r="M59" s="41">
        <v>563932</v>
      </c>
      <c r="N59" s="41">
        <v>263456</v>
      </c>
      <c r="O59" s="88">
        <f>M59-N59</f>
        <v>300476</v>
      </c>
      <c r="P59" s="41">
        <f>H59+I59+J59-O59</f>
        <v>287081</v>
      </c>
      <c r="Q59" s="88">
        <f>P59/G59</f>
        <v>1535.192513368984</v>
      </c>
      <c r="R59" s="41">
        <v>65994</v>
      </c>
      <c r="S59" s="139">
        <f>R59*F59</f>
        <v>42962094</v>
      </c>
    </row>
    <row r="60" spans="4:22">
      <c r="D60" s="40" t="s">
        <v>28</v>
      </c>
      <c r="E60" s="63">
        <v>3192072</v>
      </c>
      <c r="F60" s="40">
        <v>14898</v>
      </c>
      <c r="G60" s="118">
        <v>703</v>
      </c>
      <c r="H60" s="41">
        <v>2210</v>
      </c>
      <c r="I60" s="41">
        <v>104180</v>
      </c>
      <c r="J60" s="41">
        <v>8232</v>
      </c>
      <c r="K60" s="88">
        <f t="shared" si="17"/>
        <v>114622</v>
      </c>
      <c r="L60" s="41">
        <f t="shared" si="15"/>
        <v>163.04694167852062</v>
      </c>
      <c r="M60" s="41">
        <v>163485</v>
      </c>
      <c r="N60" s="41">
        <v>92543</v>
      </c>
      <c r="O60" s="88">
        <f>M60-N60</f>
        <v>70942</v>
      </c>
      <c r="P60" s="41">
        <f>H60+I60+J60-O60</f>
        <v>43680</v>
      </c>
      <c r="Q60" s="88">
        <f>P60/G60</f>
        <v>62.133712660028451</v>
      </c>
      <c r="R60" s="41">
        <v>24795</v>
      </c>
      <c r="S60" s="139">
        <f>R60*F60</f>
        <v>369395910</v>
      </c>
    </row>
    <row r="61" spans="4:22">
      <c r="D61" s="40" t="s">
        <v>29</v>
      </c>
      <c r="E61" s="63">
        <v>1209335</v>
      </c>
      <c r="F61" s="40">
        <v>2855</v>
      </c>
      <c r="G61" s="118">
        <v>130</v>
      </c>
      <c r="H61" s="41">
        <v>25918</v>
      </c>
      <c r="I61" s="41">
        <v>95426</v>
      </c>
      <c r="J61" s="41">
        <v>7606</v>
      </c>
      <c r="K61" s="88">
        <f t="shared" si="17"/>
        <v>128950</v>
      </c>
      <c r="L61" s="41">
        <f t="shared" si="15"/>
        <v>991.92307692307691</v>
      </c>
      <c r="M61" s="41">
        <v>153183</v>
      </c>
      <c r="N61" s="41">
        <v>80016</v>
      </c>
      <c r="O61" s="88">
        <f>M61-N61</f>
        <v>73167</v>
      </c>
      <c r="P61" s="41">
        <f>H61+I61+J61-O61</f>
        <v>55783</v>
      </c>
      <c r="Q61" s="88">
        <f>P61/G61</f>
        <v>429.1</v>
      </c>
      <c r="R61" s="41">
        <v>11546</v>
      </c>
      <c r="S61" s="139">
        <f>R61*F61</f>
        <v>32963830</v>
      </c>
    </row>
    <row r="62" spans="4:22">
      <c r="D62" s="40" t="s">
        <v>30</v>
      </c>
      <c r="E62" s="63">
        <v>14564</v>
      </c>
      <c r="F62" s="40">
        <v>867</v>
      </c>
      <c r="G62" s="118">
        <f t="shared" si="16"/>
        <v>16.798154555940023</v>
      </c>
      <c r="H62" s="133"/>
      <c r="I62" s="133"/>
      <c r="J62" s="133"/>
      <c r="K62" s="88">
        <f t="shared" si="17"/>
        <v>0</v>
      </c>
      <c r="L62" s="41">
        <f t="shared" si="15"/>
        <v>0</v>
      </c>
      <c r="M62" s="41"/>
      <c r="N62" s="41"/>
      <c r="O62" s="163"/>
      <c r="P62" s="133"/>
      <c r="Q62" s="136"/>
      <c r="R62" s="134"/>
      <c r="S62" s="136"/>
    </row>
    <row r="63" spans="4:22">
      <c r="D63" s="40" t="s">
        <v>24</v>
      </c>
      <c r="E63" s="137">
        <f>SUM(E57:E62)</f>
        <v>5010779</v>
      </c>
      <c r="F63" s="40"/>
      <c r="G63" s="40"/>
      <c r="H63" s="41"/>
      <c r="I63" s="41"/>
      <c r="J63" s="41"/>
      <c r="K63" s="88">
        <f t="shared" si="17"/>
        <v>0</v>
      </c>
      <c r="L63" s="41" t="e">
        <f t="shared" si="15"/>
        <v>#DIV/0!</v>
      </c>
      <c r="M63" s="41"/>
      <c r="N63" s="41"/>
      <c r="O63" s="88"/>
      <c r="P63" s="40"/>
      <c r="Q63" s="63"/>
      <c r="R63" s="41"/>
      <c r="S63" s="88"/>
    </row>
    <row r="65" spans="4:17">
      <c r="D65" s="496" t="s">
        <v>547</v>
      </c>
      <c r="E65" s="496"/>
      <c r="F65" s="496"/>
      <c r="G65" s="496"/>
      <c r="H65" s="496"/>
      <c r="I65" s="496"/>
      <c r="J65" s="496"/>
      <c r="K65" s="496"/>
      <c r="L65" s="496"/>
      <c r="M65" s="496"/>
      <c r="N65" s="496"/>
      <c r="O65" s="496"/>
    </row>
    <row r="66" spans="4:17" ht="78" customHeight="1">
      <c r="D66" s="484" t="s">
        <v>548</v>
      </c>
      <c r="E66" s="485"/>
      <c r="F66" s="485"/>
      <c r="G66" s="485"/>
      <c r="H66" s="485"/>
      <c r="I66" s="485"/>
      <c r="J66" s="485"/>
      <c r="K66" s="485"/>
      <c r="L66" s="485"/>
      <c r="M66" s="485"/>
      <c r="N66" s="485"/>
      <c r="O66" s="485"/>
    </row>
    <row r="67" spans="4:17" ht="60">
      <c r="D67" s="58" t="s">
        <v>63</v>
      </c>
      <c r="E67" s="58" t="s">
        <v>549</v>
      </c>
      <c r="F67" s="58" t="s">
        <v>514</v>
      </c>
      <c r="G67" s="58" t="s">
        <v>550</v>
      </c>
      <c r="H67" s="58" t="s">
        <v>507</v>
      </c>
      <c r="I67" s="58" t="s">
        <v>551</v>
      </c>
      <c r="J67" s="58" t="s">
        <v>552</v>
      </c>
      <c r="K67" s="58" t="s">
        <v>519</v>
      </c>
      <c r="L67" s="58" t="s">
        <v>506</v>
      </c>
      <c r="M67" s="58" t="s">
        <v>522</v>
      </c>
      <c r="N67" s="58" t="s">
        <v>539</v>
      </c>
      <c r="O67" s="58" t="s">
        <v>553</v>
      </c>
    </row>
    <row r="68" spans="4:17">
      <c r="D68" s="40" t="s">
        <v>25</v>
      </c>
      <c r="E68" s="132"/>
      <c r="F68" s="132"/>
      <c r="G68" s="132"/>
      <c r="H68" s="132"/>
      <c r="I68" s="132"/>
      <c r="J68" s="164"/>
      <c r="K68" s="132"/>
      <c r="L68" s="132"/>
      <c r="M68" s="165"/>
      <c r="N68" s="132"/>
      <c r="O68" s="164"/>
    </row>
    <row r="69" spans="4:17">
      <c r="D69" s="40" t="s">
        <v>524</v>
      </c>
      <c r="E69" s="132"/>
      <c r="F69" s="132"/>
      <c r="G69" s="132"/>
      <c r="H69" s="132"/>
      <c r="I69" s="132"/>
      <c r="J69" s="164"/>
      <c r="K69" s="132"/>
      <c r="L69" s="132"/>
      <c r="M69" s="134" t="s">
        <v>271</v>
      </c>
      <c r="N69" s="132"/>
      <c r="O69" s="164"/>
    </row>
    <row r="70" spans="4:17">
      <c r="D70" s="40" t="s">
        <v>27</v>
      </c>
      <c r="E70" s="40">
        <v>185000</v>
      </c>
      <c r="F70" s="132">
        <v>124.97</v>
      </c>
      <c r="G70" s="132">
        <v>399500</v>
      </c>
      <c r="H70" s="132">
        <f>G70/F70</f>
        <v>3196.7672241337923</v>
      </c>
      <c r="I70" s="132">
        <v>232200</v>
      </c>
      <c r="J70" s="164">
        <f>I70/F70</f>
        <v>1858.0459310234457</v>
      </c>
      <c r="K70" s="132">
        <f>G70-I70</f>
        <v>167300</v>
      </c>
      <c r="L70" s="132">
        <f>K70/F70</f>
        <v>1338.7212931103466</v>
      </c>
      <c r="M70" s="132">
        <v>46600</v>
      </c>
      <c r="N70" s="132">
        <f>M70/F70</f>
        <v>372.88949347843482</v>
      </c>
      <c r="O70" s="164">
        <f>N70*E70</f>
        <v>68984556.293510437</v>
      </c>
    </row>
    <row r="71" spans="4:17">
      <c r="D71" s="40" t="s">
        <v>28</v>
      </c>
      <c r="E71" s="40">
        <v>769000</v>
      </c>
      <c r="F71" s="132">
        <f>AVERAGE(163.36,106.91)</f>
        <v>135.13499999999999</v>
      </c>
      <c r="G71" s="132">
        <v>75800</v>
      </c>
      <c r="H71" s="132">
        <f t="shared" ref="H71:H72" si="18">G71/F71</f>
        <v>560.920560920561</v>
      </c>
      <c r="I71" s="132">
        <v>45000</v>
      </c>
      <c r="J71" s="164">
        <f>I71/F71</f>
        <v>333.000333000333</v>
      </c>
      <c r="K71" s="132">
        <f>G71-I71</f>
        <v>30800</v>
      </c>
      <c r="L71" s="132">
        <f>K71/F71</f>
        <v>227.92022792022794</v>
      </c>
      <c r="M71" s="132">
        <v>18900</v>
      </c>
      <c r="N71" s="132">
        <f t="shared" ref="N71:N72" si="19">M71/F71</f>
        <v>139.86013986013987</v>
      </c>
      <c r="O71" s="164">
        <f>N71*E71</f>
        <v>107552447.55244756</v>
      </c>
    </row>
    <row r="72" spans="4:17">
      <c r="D72" s="40" t="s">
        <v>29</v>
      </c>
      <c r="E72" s="40">
        <v>89000</v>
      </c>
      <c r="F72" s="132">
        <v>103.16</v>
      </c>
      <c r="G72" s="132">
        <v>76000</v>
      </c>
      <c r="H72" s="132">
        <f t="shared" si="18"/>
        <v>736.71965878247386</v>
      </c>
      <c r="I72" s="132">
        <v>34800</v>
      </c>
      <c r="J72" s="164">
        <f>I72/F72</f>
        <v>337.34005428460642</v>
      </c>
      <c r="K72" s="132">
        <f>G72-I72</f>
        <v>41200</v>
      </c>
      <c r="L72" s="132">
        <f>K72/F72</f>
        <v>399.37960449786738</v>
      </c>
      <c r="M72" s="132">
        <v>17100</v>
      </c>
      <c r="N72" s="132">
        <f t="shared" si="19"/>
        <v>165.76192322605661</v>
      </c>
      <c r="O72" s="164">
        <f>N72*E72</f>
        <v>14752811.167119037</v>
      </c>
    </row>
    <row r="73" spans="4:17">
      <c r="D73" s="40" t="s">
        <v>30</v>
      </c>
      <c r="E73" s="132"/>
      <c r="F73" s="132"/>
      <c r="G73" s="132"/>
      <c r="H73" s="132"/>
      <c r="I73" s="132"/>
      <c r="J73" s="164"/>
      <c r="K73" s="132"/>
      <c r="L73" s="132"/>
      <c r="M73" s="134" t="s">
        <v>271</v>
      </c>
      <c r="N73" s="132"/>
      <c r="O73" s="164"/>
    </row>
    <row r="74" spans="4:17">
      <c r="D74" s="40" t="s">
        <v>24</v>
      </c>
      <c r="E74" s="132"/>
      <c r="F74" s="132"/>
      <c r="G74" s="132"/>
      <c r="H74" s="132"/>
      <c r="I74" s="132"/>
      <c r="J74" s="164"/>
      <c r="K74" s="132"/>
      <c r="L74" s="132"/>
      <c r="M74" s="132"/>
      <c r="N74" s="132"/>
      <c r="O74" s="164"/>
    </row>
    <row r="76" spans="4:17">
      <c r="D76" s="496" t="s">
        <v>554</v>
      </c>
      <c r="E76" s="496"/>
      <c r="F76" s="496"/>
      <c r="G76" s="496"/>
      <c r="H76" s="496"/>
      <c r="I76" s="496"/>
      <c r="J76" s="496"/>
      <c r="K76" s="496"/>
      <c r="L76" s="496"/>
      <c r="M76" s="496"/>
      <c r="N76" s="496"/>
      <c r="O76" s="496"/>
      <c r="P76" s="496"/>
      <c r="Q76" s="496"/>
    </row>
    <row r="77" spans="4:17" ht="39.6" customHeight="1">
      <c r="D77" s="486" t="s">
        <v>555</v>
      </c>
      <c r="E77" s="487"/>
      <c r="F77" s="487"/>
      <c r="G77" s="487"/>
      <c r="H77" s="487"/>
      <c r="I77" s="487"/>
      <c r="J77" s="487"/>
      <c r="K77" s="487"/>
      <c r="L77" s="487"/>
      <c r="M77" s="487"/>
      <c r="N77" s="487"/>
      <c r="O77" s="487"/>
      <c r="P77" s="487"/>
      <c r="Q77" s="487"/>
    </row>
    <row r="78" spans="4:17" ht="60">
      <c r="D78" s="58" t="s">
        <v>63</v>
      </c>
      <c r="E78" s="58" t="s">
        <v>514</v>
      </c>
      <c r="F78" s="58" t="s">
        <v>515</v>
      </c>
      <c r="G78" s="58" t="s">
        <v>516</v>
      </c>
      <c r="H78" s="58" t="s">
        <v>550</v>
      </c>
      <c r="I78" s="58" t="s">
        <v>556</v>
      </c>
      <c r="J78" s="58" t="s">
        <v>551</v>
      </c>
      <c r="K78" s="58" t="s">
        <v>557</v>
      </c>
      <c r="L78" s="58" t="s">
        <v>519</v>
      </c>
      <c r="M78" s="58" t="s">
        <v>506</v>
      </c>
      <c r="N78" s="58" t="s">
        <v>522</v>
      </c>
      <c r="O78" s="58" t="s">
        <v>539</v>
      </c>
      <c r="P78" s="58" t="s">
        <v>558</v>
      </c>
      <c r="Q78" s="58" t="s">
        <v>553</v>
      </c>
    </row>
    <row r="79" spans="4:17">
      <c r="D79" s="40" t="s">
        <v>25</v>
      </c>
      <c r="E79" s="170">
        <v>120</v>
      </c>
      <c r="F79" s="171">
        <v>153579</v>
      </c>
      <c r="G79" s="171">
        <v>7148</v>
      </c>
      <c r="H79" s="171">
        <f>SUM(F79:G79)</f>
        <v>160727</v>
      </c>
      <c r="I79" s="171">
        <f>H79/E79</f>
        <v>1339.3916666666667</v>
      </c>
      <c r="J79" s="171">
        <v>52353</v>
      </c>
      <c r="K79" s="171">
        <v>95322</v>
      </c>
      <c r="L79" s="171">
        <f>H79-J79</f>
        <v>108374</v>
      </c>
      <c r="M79" s="166">
        <f>L79/E79</f>
        <v>903.11666666666667</v>
      </c>
      <c r="N79" s="172">
        <v>64088</v>
      </c>
      <c r="O79" s="166">
        <f>N79/E79</f>
        <v>534.06666666666672</v>
      </c>
      <c r="P79" s="167">
        <v>29662</v>
      </c>
      <c r="Q79" s="169">
        <f>O79*P79</f>
        <v>15841485.466666669</v>
      </c>
    </row>
    <row r="80" spans="4:17">
      <c r="D80" s="40" t="s">
        <v>524</v>
      </c>
      <c r="E80" s="40"/>
      <c r="F80" s="41"/>
      <c r="G80" s="41"/>
      <c r="H80" s="41"/>
      <c r="I80" s="171"/>
      <c r="J80" s="41"/>
      <c r="K80" s="41"/>
      <c r="L80" s="41"/>
      <c r="M80" s="41"/>
      <c r="N80" s="41"/>
      <c r="O80" s="41"/>
      <c r="P80" s="41"/>
      <c r="Q80" s="41"/>
    </row>
    <row r="81" spans="4:27">
      <c r="D81" s="40" t="s">
        <v>27</v>
      </c>
      <c r="E81" s="40">
        <v>88.2</v>
      </c>
      <c r="F81" s="41">
        <v>4092</v>
      </c>
      <c r="G81" s="41">
        <v>275554</v>
      </c>
      <c r="H81" s="41">
        <f t="shared" ref="H81:H82" si="20">SUM(F81:G81)</f>
        <v>279646</v>
      </c>
      <c r="I81" s="171">
        <f t="shared" ref="I81:I83" si="21">H81/E81</f>
        <v>3170.5895691609976</v>
      </c>
      <c r="J81" s="41">
        <v>163375</v>
      </c>
      <c r="K81" s="41">
        <v>88265</v>
      </c>
      <c r="L81" s="41">
        <f>H81-J81</f>
        <v>116271</v>
      </c>
      <c r="M81" s="88">
        <f>L81/E81</f>
        <v>1318.2653061224489</v>
      </c>
      <c r="N81" s="41">
        <v>57798</v>
      </c>
      <c r="O81" s="166">
        <f>N81/E81</f>
        <v>655.30612244897952</v>
      </c>
      <c r="P81" s="168">
        <v>145372</v>
      </c>
      <c r="Q81" s="169">
        <f t="shared" ref="Q81:Q83" si="22">O81*P81</f>
        <v>95263161.632653058</v>
      </c>
    </row>
    <row r="82" spans="4:27">
      <c r="D82" s="40" t="s">
        <v>28</v>
      </c>
      <c r="E82" s="40">
        <v>94.6</v>
      </c>
      <c r="F82" s="41">
        <v>2219</v>
      </c>
      <c r="G82" s="41">
        <v>44734</v>
      </c>
      <c r="H82" s="41">
        <f t="shared" si="20"/>
        <v>46953</v>
      </c>
      <c r="I82" s="171">
        <f t="shared" si="21"/>
        <v>496.33192389006348</v>
      </c>
      <c r="J82" s="41">
        <v>30674</v>
      </c>
      <c r="K82" s="41">
        <v>33209</v>
      </c>
      <c r="L82" s="41">
        <f>H82-J82</f>
        <v>16279</v>
      </c>
      <c r="M82" s="88">
        <f>L82/E82</f>
        <v>172.08245243128965</v>
      </c>
      <c r="N82" s="41">
        <v>14368</v>
      </c>
      <c r="O82" s="166">
        <f>N82/E82</f>
        <v>151.88160676532772</v>
      </c>
      <c r="P82" s="168">
        <v>597639</v>
      </c>
      <c r="Q82" s="169">
        <f t="shared" si="22"/>
        <v>90770371.585623696</v>
      </c>
    </row>
    <row r="83" spans="4:27">
      <c r="D83" s="40" t="s">
        <v>29</v>
      </c>
      <c r="E83" s="40">
        <v>64.5</v>
      </c>
      <c r="F83" s="41">
        <v>5993</v>
      </c>
      <c r="G83" s="41">
        <v>55273</v>
      </c>
      <c r="H83" s="41">
        <f>SUM(F83:G83)</f>
        <v>61266</v>
      </c>
      <c r="I83" s="171">
        <f t="shared" si="21"/>
        <v>949.8604651162791</v>
      </c>
      <c r="J83" s="41">
        <v>35255</v>
      </c>
      <c r="K83" s="41">
        <v>39483</v>
      </c>
      <c r="L83" s="41">
        <f>H83-J83</f>
        <v>26011</v>
      </c>
      <c r="M83" s="88">
        <f>L83/E83</f>
        <v>403.27131782945736</v>
      </c>
      <c r="N83" s="41">
        <v>12274</v>
      </c>
      <c r="O83" s="166">
        <f>N83/E83</f>
        <v>190.29457364341084</v>
      </c>
      <c r="P83" s="168">
        <v>72686</v>
      </c>
      <c r="Q83" s="169">
        <f t="shared" si="22"/>
        <v>13831751.37984496</v>
      </c>
    </row>
    <row r="84" spans="4:27">
      <c r="D84" s="40" t="s">
        <v>30</v>
      </c>
      <c r="E84" s="40"/>
      <c r="F84" s="40"/>
      <c r="G84" s="40"/>
      <c r="H84" s="40"/>
      <c r="I84" s="40"/>
      <c r="J84" s="40"/>
      <c r="K84" s="40"/>
      <c r="L84" s="40"/>
      <c r="M84" s="40"/>
      <c r="N84" s="40"/>
      <c r="O84" s="40"/>
      <c r="P84" s="40"/>
      <c r="Q84" s="40"/>
    </row>
    <row r="85" spans="4:27">
      <c r="D85" s="40" t="s">
        <v>24</v>
      </c>
      <c r="E85" s="40"/>
      <c r="F85" s="137"/>
      <c r="G85" s="40"/>
      <c r="H85" s="40"/>
      <c r="I85" s="40"/>
      <c r="J85" s="40"/>
      <c r="K85" s="40"/>
      <c r="L85" s="40"/>
      <c r="M85" s="40"/>
      <c r="N85" s="41"/>
      <c r="O85" s="63"/>
      <c r="P85" s="63"/>
      <c r="Q85" s="88"/>
    </row>
    <row r="87" spans="4:27">
      <c r="D87" s="496" t="s">
        <v>559</v>
      </c>
      <c r="E87" s="496"/>
      <c r="F87" s="496"/>
      <c r="G87" s="496"/>
      <c r="H87" s="496"/>
      <c r="I87" s="496"/>
      <c r="J87" s="496"/>
      <c r="K87" s="496"/>
      <c r="L87" s="496"/>
      <c r="M87" s="496"/>
      <c r="N87" s="496"/>
      <c r="O87" s="496"/>
      <c r="P87" s="496"/>
      <c r="Q87" s="496"/>
      <c r="R87" s="496"/>
      <c r="S87" s="496"/>
      <c r="T87" s="496"/>
      <c r="U87" s="496"/>
      <c r="V87" s="496"/>
      <c r="W87" s="496"/>
      <c r="X87" s="496"/>
      <c r="Y87" s="496"/>
    </row>
    <row r="88" spans="4:27">
      <c r="D88" s="505" t="s">
        <v>560</v>
      </c>
      <c r="E88" s="506"/>
      <c r="F88" s="506"/>
      <c r="G88" s="506"/>
      <c r="H88" s="506"/>
      <c r="I88" s="506"/>
      <c r="J88" s="506"/>
      <c r="K88" s="506"/>
      <c r="L88" s="506"/>
      <c r="M88" s="506"/>
      <c r="N88" s="506"/>
      <c r="O88" s="506"/>
      <c r="P88" s="506"/>
      <c r="Q88" s="506"/>
      <c r="R88" s="506"/>
      <c r="S88" s="506"/>
      <c r="T88" s="506"/>
      <c r="U88" s="506"/>
      <c r="V88" s="506"/>
      <c r="W88" s="506"/>
      <c r="X88" s="506"/>
      <c r="Y88" s="506"/>
    </row>
    <row r="89" spans="4:27" s="28" customFormat="1" ht="36.950000000000003" customHeight="1">
      <c r="D89" s="146" t="s">
        <v>561</v>
      </c>
      <c r="E89" s="502" t="s">
        <v>562</v>
      </c>
      <c r="F89" s="502"/>
      <c r="G89" s="502"/>
      <c r="H89" s="502" t="s">
        <v>25</v>
      </c>
      <c r="I89" s="502"/>
      <c r="J89" s="502"/>
      <c r="K89" s="502" t="s">
        <v>26</v>
      </c>
      <c r="L89" s="502"/>
      <c r="M89" s="502"/>
      <c r="N89" s="502" t="s">
        <v>27</v>
      </c>
      <c r="O89" s="502"/>
      <c r="P89" s="502"/>
      <c r="Q89" s="502" t="s">
        <v>28</v>
      </c>
      <c r="R89" s="502"/>
      <c r="S89" s="502"/>
      <c r="T89" s="502" t="s">
        <v>29</v>
      </c>
      <c r="U89" s="502"/>
      <c r="V89" s="502"/>
      <c r="W89" s="502" t="s">
        <v>30</v>
      </c>
      <c r="X89" s="502"/>
      <c r="Y89" s="502"/>
    </row>
    <row r="90" spans="4:27" s="28" customFormat="1" ht="57.6" customHeight="1">
      <c r="D90" s="59"/>
      <c r="E90" s="59" t="s">
        <v>563</v>
      </c>
      <c r="F90" s="59" t="s">
        <v>564</v>
      </c>
      <c r="G90" s="59" t="s">
        <v>565</v>
      </c>
      <c r="H90" s="59" t="s">
        <v>563</v>
      </c>
      <c r="I90" s="59" t="s">
        <v>566</v>
      </c>
      <c r="J90" s="59" t="s">
        <v>567</v>
      </c>
      <c r="K90" s="59" t="s">
        <v>563</v>
      </c>
      <c r="L90" s="59" t="s">
        <v>566</v>
      </c>
      <c r="M90" s="59" t="s">
        <v>567</v>
      </c>
      <c r="N90" s="59" t="s">
        <v>563</v>
      </c>
      <c r="O90" s="59" t="s">
        <v>566</v>
      </c>
      <c r="P90" s="59" t="s">
        <v>567</v>
      </c>
      <c r="Q90" s="59" t="s">
        <v>563</v>
      </c>
      <c r="R90" s="59" t="s">
        <v>566</v>
      </c>
      <c r="S90" s="59" t="s">
        <v>567</v>
      </c>
      <c r="T90" s="59" t="s">
        <v>563</v>
      </c>
      <c r="U90" s="59" t="s">
        <v>566</v>
      </c>
      <c r="V90" s="59" t="s">
        <v>567</v>
      </c>
      <c r="W90" s="59" t="s">
        <v>563</v>
      </c>
      <c r="X90" s="59" t="s">
        <v>566</v>
      </c>
      <c r="Y90" s="59" t="s">
        <v>567</v>
      </c>
    </row>
    <row r="91" spans="4:27">
      <c r="D91" s="40" t="s">
        <v>1</v>
      </c>
      <c r="E91" s="211">
        <f>E25</f>
        <v>6184496.2983403476</v>
      </c>
      <c r="F91" s="211">
        <f>SUM(J91,M91,P91,S91,V91,Y91)</f>
        <v>243115</v>
      </c>
      <c r="G91" s="62">
        <f>F91/E91</f>
        <v>3.931039623473323E-2</v>
      </c>
      <c r="H91" s="211">
        <f>H25</f>
        <v>2629636.5232839999</v>
      </c>
      <c r="I91" s="62">
        <f>H91/$E91</f>
        <v>0.42519817240244467</v>
      </c>
      <c r="J91" s="211">
        <v>108648</v>
      </c>
      <c r="K91" s="211">
        <f>L25</f>
        <v>70010.814225999886</v>
      </c>
      <c r="L91" s="62">
        <f>K91/$E91</f>
        <v>1.132037450564693E-2</v>
      </c>
      <c r="M91" s="211">
        <v>4362</v>
      </c>
      <c r="N91" s="211">
        <f>P25</f>
        <v>983541.73816034943</v>
      </c>
      <c r="O91" s="62">
        <f>N91/$E91</f>
        <v>0.1590334427759767</v>
      </c>
      <c r="P91" s="211">
        <v>22583</v>
      </c>
      <c r="Q91" s="211">
        <f>T25</f>
        <v>1190402.464953</v>
      </c>
      <c r="R91" s="62">
        <f>Q91/$E91</f>
        <v>0.19248171678467213</v>
      </c>
      <c r="S91" s="211">
        <v>49531</v>
      </c>
      <c r="T91" s="211">
        <f>X25</f>
        <v>1208771.4111229985</v>
      </c>
      <c r="U91" s="62">
        <f>T91/$E91</f>
        <v>0.19545187721227686</v>
      </c>
      <c r="V91" s="211">
        <v>50692</v>
      </c>
      <c r="W91" s="211">
        <f>AB25</f>
        <v>102133.34659399996</v>
      </c>
      <c r="X91" s="62">
        <f>W91/$E91</f>
        <v>1.6514416318982702E-2</v>
      </c>
      <c r="Y91" s="211">
        <v>7299</v>
      </c>
    </row>
    <row r="92" spans="4:27">
      <c r="D92" s="40" t="s">
        <v>195</v>
      </c>
      <c r="E92" s="211">
        <f>E26</f>
        <v>4975229</v>
      </c>
      <c r="F92" s="212">
        <v>531500</v>
      </c>
      <c r="G92" s="62">
        <f t="shared" ref="G92:G94" si="23">F92/E92</f>
        <v>0.10682925348762841</v>
      </c>
      <c r="H92" s="211">
        <f>H26</f>
        <v>469100</v>
      </c>
      <c r="I92" s="62">
        <f t="shared" ref="I92:I94" si="24">H92/E92</f>
        <v>9.4287117236211637E-2</v>
      </c>
      <c r="J92" s="211">
        <f>$F92*I92</f>
        <v>50113.602811046483</v>
      </c>
      <c r="K92" s="211">
        <f>L26</f>
        <v>0</v>
      </c>
      <c r="L92" s="62">
        <f t="shared" ref="L92:L94" si="25">K92/$E92</f>
        <v>0</v>
      </c>
      <c r="M92" s="211">
        <f>$F92*L92</f>
        <v>0</v>
      </c>
      <c r="N92" s="211">
        <f>P26</f>
        <v>104722</v>
      </c>
      <c r="O92" s="62">
        <f t="shared" ref="O92:O94" si="26">N92/$E92</f>
        <v>2.1048679367321584E-2</v>
      </c>
      <c r="P92" s="211">
        <f>$F92*O92</f>
        <v>11187.373083731422</v>
      </c>
      <c r="Q92" s="211">
        <f>T26</f>
        <v>3192072</v>
      </c>
      <c r="R92" s="62">
        <f t="shared" ref="R92:R94" si="27">Q92/$E92</f>
        <v>0.64159297994122477</v>
      </c>
      <c r="S92" s="211">
        <f>$F92*R92</f>
        <v>341006.66883876099</v>
      </c>
      <c r="T92" s="211">
        <f>X26</f>
        <v>1209335</v>
      </c>
      <c r="U92" s="62">
        <f t="shared" ref="U92:U94" si="28">T92/$E92</f>
        <v>0.24307122345524196</v>
      </c>
      <c r="V92" s="211">
        <f>$F92*U92</f>
        <v>129192.35526646111</v>
      </c>
      <c r="W92" s="211">
        <f>AB26</f>
        <v>0</v>
      </c>
      <c r="X92" s="62">
        <f t="shared" ref="X92:X94" si="29">W92/$E92</f>
        <v>0</v>
      </c>
      <c r="Y92" s="211">
        <f>$F92*X92</f>
        <v>0</v>
      </c>
      <c r="AA92" s="210"/>
    </row>
    <row r="93" spans="4:27">
      <c r="D93" s="40" t="s">
        <v>199</v>
      </c>
      <c r="E93" s="211">
        <f>E27</f>
        <v>1043000</v>
      </c>
      <c r="F93" s="212">
        <v>96800</v>
      </c>
      <c r="G93" s="62">
        <f t="shared" si="23"/>
        <v>9.2809204218600186E-2</v>
      </c>
      <c r="H93" s="211">
        <f>H27</f>
        <v>0</v>
      </c>
      <c r="I93" s="62">
        <f t="shared" si="24"/>
        <v>0</v>
      </c>
      <c r="J93" s="211">
        <f t="shared" ref="J93" si="30">$F93*I93</f>
        <v>0</v>
      </c>
      <c r="K93" s="211">
        <f>L27</f>
        <v>0</v>
      </c>
      <c r="L93" s="62">
        <f t="shared" si="25"/>
        <v>0</v>
      </c>
      <c r="M93" s="211">
        <f t="shared" ref="M93:M94" si="31">$F93*L93</f>
        <v>0</v>
      </c>
      <c r="N93" s="211">
        <f>P27</f>
        <v>185000</v>
      </c>
      <c r="O93" s="62">
        <f t="shared" si="26"/>
        <v>0.17737296260786195</v>
      </c>
      <c r="P93" s="211">
        <f t="shared" ref="P93:P94" si="32">$F93*O93</f>
        <v>17169.702780441035</v>
      </c>
      <c r="Q93" s="211">
        <f>T27</f>
        <v>769000</v>
      </c>
      <c r="R93" s="62">
        <f t="shared" si="27"/>
        <v>0.7372962607861937</v>
      </c>
      <c r="S93" s="211">
        <f t="shared" ref="S93:S94" si="33">$F93*R93</f>
        <v>71370.278044103557</v>
      </c>
      <c r="T93" s="211">
        <f>X27</f>
        <v>89000</v>
      </c>
      <c r="U93" s="62">
        <f t="shared" si="28"/>
        <v>8.5330776605944389E-2</v>
      </c>
      <c r="V93" s="211">
        <f t="shared" ref="V93:V94" si="34">$F93*U93</f>
        <v>8260.0191754554162</v>
      </c>
      <c r="W93" s="211">
        <f>AB27</f>
        <v>0</v>
      </c>
      <c r="X93" s="62">
        <f t="shared" si="29"/>
        <v>0</v>
      </c>
      <c r="Y93" s="211">
        <f t="shared" ref="Y93:Y94" si="35">$F93*X93</f>
        <v>0</v>
      </c>
    </row>
    <row r="94" spans="4:27">
      <c r="D94" s="70" t="s">
        <v>203</v>
      </c>
      <c r="E94" s="211">
        <f>E28</f>
        <v>845359</v>
      </c>
      <c r="F94" s="212">
        <v>16300</v>
      </c>
      <c r="G94" s="62">
        <f t="shared" si="23"/>
        <v>1.9281748937433681E-2</v>
      </c>
      <c r="H94" s="211">
        <f>H28</f>
        <v>29662</v>
      </c>
      <c r="I94" s="62">
        <f t="shared" si="24"/>
        <v>3.5088051348598645E-2</v>
      </c>
      <c r="J94" s="211">
        <f>$F94*I94</f>
        <v>571.9352369821579</v>
      </c>
      <c r="K94" s="211">
        <f>L28</f>
        <v>0</v>
      </c>
      <c r="L94" s="62">
        <f t="shared" si="25"/>
        <v>0</v>
      </c>
      <c r="M94" s="211">
        <f t="shared" si="31"/>
        <v>0</v>
      </c>
      <c r="N94" s="211">
        <f>P28</f>
        <v>145372</v>
      </c>
      <c r="O94" s="62">
        <f t="shared" si="26"/>
        <v>0.1719648102167245</v>
      </c>
      <c r="P94" s="211">
        <f t="shared" si="32"/>
        <v>2803.0264065326091</v>
      </c>
      <c r="Q94" s="211">
        <f>T28</f>
        <v>597639</v>
      </c>
      <c r="R94" s="62">
        <f t="shared" si="27"/>
        <v>0.7069647333263146</v>
      </c>
      <c r="S94" s="211">
        <f t="shared" si="33"/>
        <v>11523.525153218929</v>
      </c>
      <c r="T94" s="211">
        <f>X28</f>
        <v>72686</v>
      </c>
      <c r="U94" s="62">
        <f t="shared" si="28"/>
        <v>8.5982405108362248E-2</v>
      </c>
      <c r="V94" s="211">
        <f t="shared" si="34"/>
        <v>1401.5132032663046</v>
      </c>
      <c r="W94" s="211">
        <f>AB28</f>
        <v>0</v>
      </c>
      <c r="X94" s="62">
        <f t="shared" si="29"/>
        <v>0</v>
      </c>
      <c r="Y94" s="211">
        <f t="shared" si="35"/>
        <v>0</v>
      </c>
    </row>
    <row r="95" spans="4:27">
      <c r="D95" s="70" t="s">
        <v>508</v>
      </c>
      <c r="E95" s="211">
        <f>SUM(E91:E94)</f>
        <v>13048084.298340347</v>
      </c>
      <c r="F95" s="211">
        <f>SUM(F91:F94)</f>
        <v>887715</v>
      </c>
      <c r="G95" s="62">
        <f t="shared" ref="G95" si="36">F95/E95</f>
        <v>6.8034125140723767E-2</v>
      </c>
      <c r="H95" s="211">
        <f>SUM(H91:H94)</f>
        <v>3128398.5232839999</v>
      </c>
      <c r="I95" s="62">
        <f>H95/E95</f>
        <v>0.23975922072191985</v>
      </c>
      <c r="J95" s="211">
        <f>SUM(J91:J94)</f>
        <v>159333.53804802863</v>
      </c>
      <c r="K95" s="211">
        <f>SUM(K91:K94)</f>
        <v>70010.814225999886</v>
      </c>
      <c r="L95" s="62">
        <f t="shared" ref="L95" si="37">K95/$E95</f>
        <v>5.3656010051149746E-3</v>
      </c>
      <c r="M95" s="211">
        <f>SUM(M91:M94)</f>
        <v>4362</v>
      </c>
      <c r="N95" s="211">
        <f>SUM(N91:N94)</f>
        <v>1418635.7381603494</v>
      </c>
      <c r="O95" s="62">
        <f t="shared" ref="O95" si="38">N95/$E95</f>
        <v>0.10872367971601725</v>
      </c>
      <c r="P95" s="211">
        <f>SUM(P91:P94)</f>
        <v>53743.102270705065</v>
      </c>
      <c r="Q95" s="211">
        <f>SUM(Q91:Q94)</f>
        <v>5749113.4649529997</v>
      </c>
      <c r="R95" s="62">
        <f t="shared" ref="R95" si="39">Q95/$E95</f>
        <v>0.44060977332007728</v>
      </c>
      <c r="S95" s="211">
        <f>SUM(S91:S94)</f>
        <v>473431.47203608352</v>
      </c>
      <c r="T95" s="211">
        <f>SUM(T91:T94)</f>
        <v>2579792.4111229982</v>
      </c>
      <c r="U95" s="62">
        <f t="shared" ref="U95" si="40">T95/$E95</f>
        <v>0.19771426610503545</v>
      </c>
      <c r="V95" s="211">
        <f>SUM(V91:V94)</f>
        <v>189545.88764518281</v>
      </c>
      <c r="W95" s="211">
        <f t="shared" ref="W95" si="41">AB29</f>
        <v>102133.34659399996</v>
      </c>
      <c r="X95" s="62">
        <f t="shared" ref="X95" si="42">W95/$E95</f>
        <v>7.8274591318352252E-3</v>
      </c>
      <c r="Y95" s="211">
        <f>SUM(Y91:Y94)</f>
        <v>7299</v>
      </c>
    </row>
    <row r="97" spans="4:22">
      <c r="D97" s="496" t="s">
        <v>568</v>
      </c>
      <c r="E97" s="496"/>
      <c r="F97" s="496"/>
      <c r="G97" s="496"/>
      <c r="H97" s="496"/>
      <c r="I97" s="496"/>
      <c r="J97" s="496"/>
    </row>
    <row r="98" spans="4:22">
      <c r="D98" s="480" t="s">
        <v>569</v>
      </c>
      <c r="E98" s="481"/>
      <c r="F98" s="481"/>
      <c r="G98" s="481"/>
      <c r="H98" s="481"/>
      <c r="I98" s="481"/>
      <c r="J98" s="482"/>
    </row>
    <row r="99" spans="4:22">
      <c r="D99" s="140"/>
      <c r="E99" s="507" t="s">
        <v>63</v>
      </c>
      <c r="F99" s="508"/>
      <c r="G99" s="508"/>
      <c r="H99" s="508"/>
      <c r="I99" s="508"/>
      <c r="J99" s="509"/>
    </row>
    <row r="100" spans="4:22">
      <c r="D100" s="140" t="s">
        <v>2</v>
      </c>
      <c r="E100" s="140" t="s">
        <v>25</v>
      </c>
      <c r="F100" s="140" t="s">
        <v>26</v>
      </c>
      <c r="G100" s="140" t="s">
        <v>27</v>
      </c>
      <c r="H100" s="140" t="s">
        <v>28</v>
      </c>
      <c r="I100" s="140" t="s">
        <v>29</v>
      </c>
      <c r="J100" s="140" t="s">
        <v>30</v>
      </c>
    </row>
    <row r="101" spans="4:22">
      <c r="D101" s="40" t="s">
        <v>11</v>
      </c>
      <c r="E101" s="118">
        <f>'1 - SA SP Orchards'!F66</f>
        <v>-98.575999999999993</v>
      </c>
      <c r="F101" s="118">
        <f>'1 - SA SP Orchards'!I66</f>
        <v>-98.575999999999993</v>
      </c>
      <c r="G101" s="118">
        <f>'1 - SA SP Orchards'!L66</f>
        <v>-98.575999999999993</v>
      </c>
      <c r="H101" s="118">
        <f>'1 - SA SP Orchards'!O66</f>
        <v>-98.575999999999993</v>
      </c>
      <c r="I101" s="118">
        <f>'1 - SA SP Orchards'!R66</f>
        <v>-98.575999999999993</v>
      </c>
      <c r="J101" s="118">
        <f>'1 - SA SP Orchards'!U66</f>
        <v>-98.575999999999993</v>
      </c>
    </row>
    <row r="102" spans="4:22">
      <c r="D102" s="40" t="s">
        <v>5</v>
      </c>
      <c r="E102" s="118">
        <f>'2 - SA SP Timber Production'!F62</f>
        <v>-79.762461538461523</v>
      </c>
      <c r="F102" s="118">
        <f>'2 - SA SP Timber Production'!I62</f>
        <v>-79.762461538461523</v>
      </c>
      <c r="G102" s="118">
        <f>'2 - SA SP Timber Production'!L62</f>
        <v>-79.762461538461523</v>
      </c>
      <c r="H102" s="118">
        <f>'2 - SA SP Timber Production'!O62</f>
        <v>-79.762461538461523</v>
      </c>
      <c r="I102" s="118">
        <f>'2 - SA SP Timber Production'!R62</f>
        <v>-79.762461538461523</v>
      </c>
      <c r="J102" s="118">
        <f>'2 - SA SP Timber Production'!U62</f>
        <v>-79.762461538461523</v>
      </c>
    </row>
    <row r="103" spans="4:22">
      <c r="D103" s="40" t="s">
        <v>6</v>
      </c>
      <c r="E103" s="118">
        <f>'3 - Silvopastoral'!F54</f>
        <v>0</v>
      </c>
      <c r="F103" s="118">
        <f>'3 - Silvopastoral'!I54</f>
        <v>0</v>
      </c>
      <c r="G103" s="118">
        <f>'3 - Silvopastoral'!L54</f>
        <v>-138.2432</v>
      </c>
      <c r="H103" s="118">
        <f>'3 - Silvopastoral'!O54</f>
        <v>-138.2432</v>
      </c>
      <c r="I103" s="118">
        <f>'3 - Silvopastoral'!R54</f>
        <v>-138.2432</v>
      </c>
      <c r="J103" s="118">
        <f>'3 - Silvopastoral'!U54</f>
        <v>-138.2432</v>
      </c>
    </row>
    <row r="104" spans="4:22">
      <c r="D104" s="40" t="s">
        <v>7</v>
      </c>
      <c r="E104" s="118">
        <f>'4 - Shelterbelts'!F68</f>
        <v>-52.888000000000005</v>
      </c>
      <c r="F104" s="118">
        <f>'4 - Shelterbelts'!I68</f>
        <v>-52.888000000000005</v>
      </c>
      <c r="G104" s="118">
        <f>'4 - Shelterbelts'!L68</f>
        <v>-52.888000000000005</v>
      </c>
      <c r="H104" s="118">
        <f>'4 - Shelterbelts'!O68</f>
        <v>-52.888000000000005</v>
      </c>
      <c r="I104" s="118">
        <f>'4 - Shelterbelts'!R68</f>
        <v>-52.888000000000005</v>
      </c>
      <c r="J104" s="118">
        <f>'4 - Shelterbelts'!U68</f>
        <v>-52.888000000000005</v>
      </c>
    </row>
    <row r="105" spans="4:22">
      <c r="D105" s="40" t="s">
        <v>35</v>
      </c>
      <c r="E105" s="118">
        <f>'5 - Farm woodland'!I60</f>
        <v>-37.149999999999977</v>
      </c>
      <c r="F105" s="118">
        <f>'5 - Farm woodland'!P60</f>
        <v>-37.149999999999977</v>
      </c>
      <c r="G105" s="118">
        <f>'5 - Farm woodland'!W60</f>
        <v>-37.149999999999977</v>
      </c>
      <c r="H105" s="118">
        <f>'5 - Farm woodland'!AD60</f>
        <v>-37.149999999999977</v>
      </c>
      <c r="I105" s="118">
        <f>'5 - Farm woodland'!AK60</f>
        <v>-37.149999999999977</v>
      </c>
      <c r="J105" s="118">
        <f>'5 - Farm woodland'!AR60</f>
        <v>-37.149999999999977</v>
      </c>
    </row>
    <row r="106" spans="4:22">
      <c r="D106" s="40" t="s">
        <v>37</v>
      </c>
      <c r="E106" s="118">
        <f>'5 - Farm woodland'!I61</f>
        <v>-228.40000000000003</v>
      </c>
      <c r="F106" s="118">
        <f>'5 - Farm woodland'!P61</f>
        <v>-228.40000000000003</v>
      </c>
      <c r="G106" s="118">
        <f>'5 - Farm woodland'!W61</f>
        <v>-228.40000000000003</v>
      </c>
      <c r="H106" s="118">
        <f>'5 - Farm woodland'!AD61</f>
        <v>-228.40000000000003</v>
      </c>
      <c r="I106" s="118">
        <f>'5 - Farm woodland'!AK61</f>
        <v>-228.40000000000003</v>
      </c>
      <c r="J106" s="118">
        <f>'5 - Farm woodland'!AR61</f>
        <v>-228.40000000000003</v>
      </c>
    </row>
    <row r="107" spans="4:22">
      <c r="E107" s="220"/>
      <c r="F107" s="220"/>
      <c r="G107" s="220"/>
      <c r="H107" s="220"/>
      <c r="I107" s="220"/>
      <c r="J107" s="220"/>
    </row>
    <row r="108" spans="4:22">
      <c r="D108" s="496" t="s">
        <v>570</v>
      </c>
      <c r="E108" s="496"/>
      <c r="F108" s="496"/>
      <c r="G108" s="496"/>
      <c r="H108" s="496"/>
      <c r="I108" s="496"/>
      <c r="J108" s="496"/>
      <c r="K108" s="496"/>
      <c r="L108" s="496"/>
      <c r="M108" s="496"/>
      <c r="N108" s="496"/>
      <c r="O108" s="496"/>
      <c r="P108" s="496"/>
      <c r="Q108" s="496"/>
      <c r="R108" s="496"/>
      <c r="S108" s="496"/>
      <c r="T108" s="496"/>
      <c r="U108" s="496"/>
      <c r="V108" s="496"/>
    </row>
    <row r="109" spans="4:22">
      <c r="D109" s="503" t="s">
        <v>571</v>
      </c>
      <c r="E109" s="503"/>
      <c r="F109" s="503"/>
      <c r="G109" s="503"/>
      <c r="H109" s="503"/>
      <c r="I109" s="503"/>
      <c r="J109" s="503"/>
      <c r="K109" s="503"/>
      <c r="L109" s="503"/>
      <c r="M109" s="503"/>
      <c r="N109" s="503"/>
      <c r="O109" s="503"/>
      <c r="P109" s="503"/>
      <c r="Q109" s="503"/>
      <c r="R109" s="503"/>
      <c r="S109" s="503"/>
      <c r="T109" s="503"/>
      <c r="U109" s="503"/>
      <c r="V109" s="503"/>
    </row>
    <row r="110" spans="4:22">
      <c r="D110" s="140"/>
      <c r="E110" s="450" t="s">
        <v>63</v>
      </c>
      <c r="F110" s="450"/>
      <c r="G110" s="450"/>
      <c r="H110" s="450"/>
      <c r="I110" s="450"/>
      <c r="J110" s="450"/>
      <c r="K110" s="450"/>
      <c r="L110" s="450"/>
      <c r="M110" s="450"/>
      <c r="N110" s="450"/>
      <c r="O110" s="450"/>
      <c r="P110" s="450"/>
      <c r="Q110" s="450"/>
      <c r="R110" s="450"/>
      <c r="S110" s="450"/>
      <c r="T110" s="450"/>
      <c r="U110" s="450"/>
      <c r="V110" s="450"/>
    </row>
    <row r="111" spans="4:22" ht="29.1" customHeight="1">
      <c r="D111" s="140"/>
      <c r="E111" s="450" t="s">
        <v>25</v>
      </c>
      <c r="F111" s="450"/>
      <c r="G111" s="450"/>
      <c r="H111" s="504" t="s">
        <v>26</v>
      </c>
      <c r="I111" s="504"/>
      <c r="J111" s="504"/>
      <c r="K111" s="504" t="s">
        <v>27</v>
      </c>
      <c r="L111" s="504"/>
      <c r="M111" s="504"/>
      <c r="N111" s="504" t="s">
        <v>28</v>
      </c>
      <c r="O111" s="504"/>
      <c r="P111" s="504"/>
      <c r="Q111" s="504" t="s">
        <v>29</v>
      </c>
      <c r="R111" s="504"/>
      <c r="S111" s="504"/>
      <c r="T111" s="504" t="s">
        <v>30</v>
      </c>
      <c r="U111" s="504"/>
      <c r="V111" s="504"/>
    </row>
    <row r="112" spans="4:22" s="28" customFormat="1" ht="45">
      <c r="D112" s="173" t="s">
        <v>2</v>
      </c>
      <c r="E112" s="70" t="s">
        <v>572</v>
      </c>
      <c r="F112" s="70" t="s">
        <v>573</v>
      </c>
      <c r="G112" s="70" t="s">
        <v>574</v>
      </c>
      <c r="H112" s="70" t="s">
        <v>572</v>
      </c>
      <c r="I112" s="70" t="s">
        <v>573</v>
      </c>
      <c r="J112" s="70" t="s">
        <v>574</v>
      </c>
      <c r="K112" s="70" t="s">
        <v>572</v>
      </c>
      <c r="L112" s="70" t="s">
        <v>573</v>
      </c>
      <c r="M112" s="70" t="s">
        <v>574</v>
      </c>
      <c r="N112" s="70" t="s">
        <v>572</v>
      </c>
      <c r="O112" s="70" t="s">
        <v>573</v>
      </c>
      <c r="P112" s="70" t="s">
        <v>574</v>
      </c>
      <c r="Q112" s="70" t="s">
        <v>572</v>
      </c>
      <c r="R112" s="70" t="s">
        <v>573</v>
      </c>
      <c r="S112" s="70" t="s">
        <v>574</v>
      </c>
      <c r="T112" s="70" t="s">
        <v>572</v>
      </c>
      <c r="U112" s="70" t="s">
        <v>573</v>
      </c>
      <c r="V112" s="70" t="s">
        <v>574</v>
      </c>
    </row>
    <row r="113" spans="4:24">
      <c r="D113" s="40" t="s">
        <v>11</v>
      </c>
      <c r="E113" s="40">
        <f>'Overview and dashboard'!N$28-'Overview and dashboard'!$N$20</f>
        <v>156419.92616420003</v>
      </c>
      <c r="F113" s="118"/>
      <c r="G113" s="40">
        <f>('1 - SA SP Orchards'!$E$124*'1 - SA SP Orchards'!$E$125)*E113</f>
        <v>125135.94093136003</v>
      </c>
      <c r="H113" s="40">
        <f>'Overview and dashboard'!S$28-'Overview and dashboard'!$S$20</f>
        <v>0</v>
      </c>
      <c r="I113" s="118"/>
      <c r="J113" s="40">
        <f>('1 - SA SP Orchards'!$E$124*'1 - SA SP Orchards'!$E$125)*H113</f>
        <v>0</v>
      </c>
      <c r="K113" s="40">
        <f>'Overview and dashboard'!X$28-'Overview and dashboard'!$X$20</f>
        <v>0</v>
      </c>
      <c r="L113" s="118"/>
      <c r="M113" s="40">
        <f>('1 - SA SP Orchards'!$E$124*'1 - SA SP Orchards'!$E$125)*K113</f>
        <v>0</v>
      </c>
      <c r="N113" s="40">
        <f>'Overview and dashboard'!AC$28-'Overview and dashboard'!$AC$20</f>
        <v>0</v>
      </c>
      <c r="O113" s="118"/>
      <c r="P113" s="40">
        <f>('1 - SA SP Orchards'!$E$124*'1 - SA SP Orchards'!$E$125)*N113</f>
        <v>0</v>
      </c>
      <c r="Q113" s="40">
        <f>'Overview and dashboard'!AH$28-'Overview and dashboard'!$AH$20</f>
        <v>0</v>
      </c>
      <c r="R113" s="118"/>
      <c r="S113" s="40">
        <f>('1 - SA SP Orchards'!$E$124*'1 - SA SP Orchards'!$E$125)*Q113</f>
        <v>0</v>
      </c>
      <c r="T113" s="40">
        <f>'Overview and dashboard'!AM$28-'Overview and dashboard'!$AM$20</f>
        <v>0</v>
      </c>
      <c r="U113" s="118"/>
      <c r="V113" s="40">
        <f>('1 - SA SP Orchards'!$E$124*'1 - SA SP Orchards'!$E$125)*T113</f>
        <v>0</v>
      </c>
    </row>
    <row r="114" spans="4:24">
      <c r="D114" s="40" t="s">
        <v>5</v>
      </c>
      <c r="E114" s="40">
        <f>'Overview and dashboard'!N$28-'Overview and dashboard'!$N$20</f>
        <v>156419.92616420003</v>
      </c>
      <c r="F114" s="118">
        <f>('2 - SA SP Timber Production'!$E$75/25)*(E114)</f>
        <v>693753.65652346006</v>
      </c>
      <c r="G114" s="40">
        <f>('2 - SA SP Timber Production'!$E$118*'2 - SA SP Timber Production'!$E$119)*E114</f>
        <v>223743.06238527171</v>
      </c>
      <c r="H114" s="40">
        <f>'Overview and dashboard'!S$28-'Overview and dashboard'!$S$20</f>
        <v>0</v>
      </c>
      <c r="I114" s="118">
        <f>('2 - SA SP Timber Production'!$E$75/25)*(H114)</f>
        <v>0</v>
      </c>
      <c r="J114" s="40">
        <f>('2 - SA SP Timber Production'!$E$118*'2 - SA SP Timber Production'!$E$119)*H114</f>
        <v>0</v>
      </c>
      <c r="K114" s="40">
        <f>'Overview and dashboard'!X$28-'Overview and dashboard'!$X$20</f>
        <v>0</v>
      </c>
      <c r="L114" s="118">
        <f>('2 - SA SP Timber Production'!$E$75/25)*(K114)</f>
        <v>0</v>
      </c>
      <c r="M114" s="40">
        <f>('2 - SA SP Timber Production'!$E$118*'2 - SA SP Timber Production'!$E$119)*K114</f>
        <v>0</v>
      </c>
      <c r="N114" s="40">
        <f>'Overview and dashboard'!AC$28-'Overview and dashboard'!$AC$20</f>
        <v>0</v>
      </c>
      <c r="O114" s="118">
        <f>('2 - SA SP Timber Production'!$E$75/25)*(N114)</f>
        <v>0</v>
      </c>
      <c r="P114" s="40">
        <f>('2 - SA SP Timber Production'!$E$118*'2 - SA SP Timber Production'!$E$119)*N114</f>
        <v>0</v>
      </c>
      <c r="Q114" s="40">
        <f>'Overview and dashboard'!AH$28-'Overview and dashboard'!$AH$20</f>
        <v>0</v>
      </c>
      <c r="R114" s="118">
        <f>('2 - SA SP Timber Production'!$E$75/25)*(Q114)</f>
        <v>0</v>
      </c>
      <c r="S114" s="40">
        <f>('2 - SA SP Timber Production'!$E$118*'2 - SA SP Timber Production'!$E$119)*Q114</f>
        <v>0</v>
      </c>
      <c r="T114" s="40">
        <f>'Overview and dashboard'!AM$28-'Overview and dashboard'!$AM$20</f>
        <v>0</v>
      </c>
      <c r="U114" s="118">
        <f>('2 - SA SP Timber Production'!$E$75/25)*(T114)</f>
        <v>0</v>
      </c>
      <c r="V114" s="40">
        <f>('2 - SA SP Timber Production'!$E$118*'2 - SA SP Timber Production'!$E$119)*T114</f>
        <v>0</v>
      </c>
    </row>
    <row r="115" spans="4:24">
      <c r="D115" s="40" t="s">
        <v>6</v>
      </c>
      <c r="E115" s="40">
        <f>'Overview and dashboard'!N$28-'Overview and dashboard'!$N$20</f>
        <v>156419.92616420003</v>
      </c>
      <c r="F115" s="118">
        <f>'3 - Silvopastoral'!$E$63*(E115)</f>
        <v>6381.9329874993609</v>
      </c>
      <c r="G115" s="40">
        <f>('3 - Silvopastoral'!$E$94*'3 - Silvopastoral'!$E$95)*E115</f>
        <v>78209.963082100017</v>
      </c>
      <c r="H115" s="40">
        <f>'Overview and dashboard'!S$28-'Overview and dashboard'!$S$20</f>
        <v>0</v>
      </c>
      <c r="I115" s="118">
        <f>'3 - Silvopastoral'!$E$63*(H115)</f>
        <v>0</v>
      </c>
      <c r="J115" s="40">
        <f>('3 - Silvopastoral'!$E$94*'3 - Silvopastoral'!$E$95)*H115</f>
        <v>0</v>
      </c>
      <c r="K115" s="40">
        <f>'Overview and dashboard'!X$28-'Overview and dashboard'!$X$20</f>
        <v>0</v>
      </c>
      <c r="L115" s="118">
        <f>'3 - Silvopastoral'!$E$63*(K115)</f>
        <v>0</v>
      </c>
      <c r="M115" s="40">
        <f>('3 - Silvopastoral'!$E$94*'3 - Silvopastoral'!$E$95)*K115</f>
        <v>0</v>
      </c>
      <c r="N115" s="40">
        <f>'Overview and dashboard'!AC$28-'Overview and dashboard'!$AC$20</f>
        <v>0</v>
      </c>
      <c r="O115" s="118">
        <f>'3 - Silvopastoral'!$E$63*(N115)</f>
        <v>0</v>
      </c>
      <c r="P115" s="40">
        <f>('3 - Silvopastoral'!$E$94*'3 - Silvopastoral'!$E$95)*N115</f>
        <v>0</v>
      </c>
      <c r="Q115" s="40">
        <f>'Overview and dashboard'!AH$28-'Overview and dashboard'!$AH$20</f>
        <v>0</v>
      </c>
      <c r="R115" s="118">
        <f>'3 - Silvopastoral'!$E$63*(Q115)</f>
        <v>0</v>
      </c>
      <c r="S115" s="40">
        <f>('3 - Silvopastoral'!$E$94*'3 - Silvopastoral'!$E$95)*Q115</f>
        <v>0</v>
      </c>
      <c r="T115" s="40">
        <f>'Overview and dashboard'!AM$28-'Overview and dashboard'!$AM$20</f>
        <v>0</v>
      </c>
      <c r="U115" s="118">
        <f>'3 - Silvopastoral'!$E$63*(T115)</f>
        <v>0</v>
      </c>
      <c r="V115" s="40">
        <f>('3 - Silvopastoral'!$E$94*'3 - Silvopastoral'!$E$95)*T115</f>
        <v>0</v>
      </c>
    </row>
    <row r="116" spans="4:24">
      <c r="D116" s="40" t="s">
        <v>7</v>
      </c>
      <c r="E116" s="40">
        <f>'Overview and dashboard'!N$28-'Overview and dashboard'!$N$20</f>
        <v>156419.92616420003</v>
      </c>
      <c r="F116" s="118"/>
      <c r="G116" s="40">
        <f>('4 - Shelterbelts'!$E$132*'4 - Shelterbelts'!$E$133+'4 - Shelterbelts'!$E$139*'4 - Shelterbelts'!$E$140)*E116</f>
        <v>218049.37707289486</v>
      </c>
      <c r="H116" s="40">
        <f>'Overview and dashboard'!S$28-'Overview and dashboard'!$S$20</f>
        <v>0</v>
      </c>
      <c r="I116" s="118"/>
      <c r="J116" s="40">
        <f>('4 - Shelterbelts'!$E$132*'4 - Shelterbelts'!$E$133+'4 - Shelterbelts'!$E$139*'4 - Shelterbelts'!$E$140)*H116</f>
        <v>0</v>
      </c>
      <c r="K116" s="40">
        <f>'Overview and dashboard'!X$28-'Overview and dashboard'!$X$20</f>
        <v>0</v>
      </c>
      <c r="L116" s="118"/>
      <c r="M116" s="40">
        <f>('4 - Shelterbelts'!$E$132*'4 - Shelterbelts'!$E$133+'4 - Shelterbelts'!$E$139*'4 - Shelterbelts'!$E$140)*K116</f>
        <v>0</v>
      </c>
      <c r="N116" s="40">
        <f>'Overview and dashboard'!AC$28-'Overview and dashboard'!$AC$20</f>
        <v>0</v>
      </c>
      <c r="O116" s="118"/>
      <c r="P116" s="40">
        <f>('4 - Shelterbelts'!$E$132*'4 - Shelterbelts'!$E$133+'4 - Shelterbelts'!$E$139*'4 - Shelterbelts'!$E$140)*N116</f>
        <v>0</v>
      </c>
      <c r="Q116" s="40">
        <f>'Overview and dashboard'!AH$28-'Overview and dashboard'!$AH$20</f>
        <v>0</v>
      </c>
      <c r="R116" s="118"/>
      <c r="S116" s="40">
        <f>('4 - Shelterbelts'!$E$132*'4 - Shelterbelts'!$E$133+'4 - Shelterbelts'!$E$139*'4 - Shelterbelts'!$E$140)*Q116</f>
        <v>0</v>
      </c>
      <c r="T116" s="40">
        <f>'Overview and dashboard'!AM$28-'Overview and dashboard'!$AM$20</f>
        <v>0</v>
      </c>
      <c r="U116" s="118"/>
      <c r="V116" s="40">
        <f>('4 - Shelterbelts'!$E$132*'4 - Shelterbelts'!$E$133+'4 - Shelterbelts'!$E$139*'4 - Shelterbelts'!$E$140)*T116</f>
        <v>0</v>
      </c>
    </row>
    <row r="117" spans="4:24">
      <c r="D117" s="40" t="s">
        <v>35</v>
      </c>
      <c r="E117" s="40">
        <f>'Overview and dashboard'!N$28-'Overview and dashboard'!$N$20</f>
        <v>156419.92616420003</v>
      </c>
      <c r="F117" s="118">
        <f>'5 - Farm woodland'!$E$78*(E117)</f>
        <v>2346298.8924630005</v>
      </c>
      <c r="G117" s="40">
        <f>('5 - Farm woodland'!$E$137*'5 - Farm woodland'!$E$138)*E117</f>
        <v>2796788.2798158964</v>
      </c>
      <c r="H117" s="40">
        <f>'Overview and dashboard'!S$28-'Overview and dashboard'!$S$20</f>
        <v>0</v>
      </c>
      <c r="I117" s="118">
        <f>'5 - Farm woodland'!$E$78*(H117)</f>
        <v>0</v>
      </c>
      <c r="J117" s="40">
        <f>('5 - Farm woodland'!$E$137*'5 - Farm woodland'!$E$138)*H117</f>
        <v>0</v>
      </c>
      <c r="K117" s="40">
        <f>'Overview and dashboard'!X$28-'Overview and dashboard'!$X$20</f>
        <v>0</v>
      </c>
      <c r="L117" s="118">
        <f>'5 - Farm woodland'!$E$78*(K117)</f>
        <v>0</v>
      </c>
      <c r="M117" s="40">
        <f>('5 - Farm woodland'!$E$137*'5 - Farm woodland'!$E$138)*K117</f>
        <v>0</v>
      </c>
      <c r="N117" s="40">
        <f>'Overview and dashboard'!AC$28-'Overview and dashboard'!$AC$20</f>
        <v>0</v>
      </c>
      <c r="O117" s="118">
        <f>'5 - Farm woodland'!$E$78*(N117)</f>
        <v>0</v>
      </c>
      <c r="P117" s="40">
        <f>('5 - Farm woodland'!$E$137*'5 - Farm woodland'!$E$138)*N117</f>
        <v>0</v>
      </c>
      <c r="Q117" s="40">
        <f>'Overview and dashboard'!AH$28-'Overview and dashboard'!$AH$20</f>
        <v>0</v>
      </c>
      <c r="R117" s="118">
        <f>'5 - Farm woodland'!$E$78*(Q117)</f>
        <v>0</v>
      </c>
      <c r="S117" s="40">
        <f>('5 - Farm woodland'!$E$137*'5 - Farm woodland'!$E$138)*Q117</f>
        <v>0</v>
      </c>
      <c r="T117" s="40">
        <f>'Overview and dashboard'!AM$28-'Overview and dashboard'!$AM$20</f>
        <v>0</v>
      </c>
      <c r="U117" s="118">
        <f>'5 - Farm woodland'!$E$78*(T117)</f>
        <v>0</v>
      </c>
      <c r="V117" s="40">
        <f>('5 - Farm woodland'!$E$137*'5 - Farm woodland'!$E$138)*T117</f>
        <v>0</v>
      </c>
    </row>
    <row r="118" spans="4:24">
      <c r="D118" s="40" t="s">
        <v>37</v>
      </c>
      <c r="E118" s="40">
        <f>'Overview and dashboard'!N$28-'Overview and dashboard'!$N$20</f>
        <v>156419.92616420003</v>
      </c>
      <c r="F118" s="118">
        <f>'5 - Farm woodland'!$E$69*(E118)</f>
        <v>938519.55698520015</v>
      </c>
      <c r="G118" s="40">
        <f>('5 - Farm woodland'!$E$144*'5 - Farm woodland'!$E$145)*E118</f>
        <v>1564199.2616420004</v>
      </c>
      <c r="H118" s="40">
        <f>'Overview and dashboard'!S$28-'Overview and dashboard'!$S$20</f>
        <v>0</v>
      </c>
      <c r="I118" s="118">
        <f>'5 - Farm woodland'!$E$69*(H118)</f>
        <v>0</v>
      </c>
      <c r="J118" s="40">
        <f>('5 - Farm woodland'!$E$144*'5 - Farm woodland'!$E$145)*H118</f>
        <v>0</v>
      </c>
      <c r="K118" s="40">
        <f>'Overview and dashboard'!X$28-'Overview and dashboard'!$X$20</f>
        <v>0</v>
      </c>
      <c r="L118" s="118">
        <f>'5 - Farm woodland'!$E$69*(K118)</f>
        <v>0</v>
      </c>
      <c r="M118" s="40">
        <f>('5 - Farm woodland'!$E$144*'5 - Farm woodland'!$E$145)*K118</f>
        <v>0</v>
      </c>
      <c r="N118" s="40">
        <f>'Overview and dashboard'!AC$28-'Overview and dashboard'!$AC$20</f>
        <v>0</v>
      </c>
      <c r="O118" s="118">
        <f>'5 - Farm woodland'!$E$69*(N118)</f>
        <v>0</v>
      </c>
      <c r="P118" s="40">
        <f>('5 - Farm woodland'!$E$144*'5 - Farm woodland'!$E$145)*N118</f>
        <v>0</v>
      </c>
      <c r="Q118" s="40">
        <f>'Overview and dashboard'!AH$28-'Overview and dashboard'!$AH$20</f>
        <v>0</v>
      </c>
      <c r="R118" s="118">
        <f>'5 - Farm woodland'!$E$69*(Q118)</f>
        <v>0</v>
      </c>
      <c r="S118" s="40">
        <f>('5 - Farm woodland'!$E$144*'5 - Farm woodland'!$E$145)*Q118</f>
        <v>0</v>
      </c>
      <c r="T118" s="40">
        <f>'Overview and dashboard'!AM$28-'Overview and dashboard'!$AM$20</f>
        <v>0</v>
      </c>
      <c r="U118" s="118">
        <f>'5 - Farm woodland'!$E$69*(T118)</f>
        <v>0</v>
      </c>
      <c r="V118" s="40">
        <f>('5 - Farm woodland'!$E$144*'5 - Farm woodland'!$E$145)*T118</f>
        <v>0</v>
      </c>
    </row>
    <row r="119" spans="4:24">
      <c r="F119" s="220"/>
      <c r="I119" s="220"/>
      <c r="L119" s="220"/>
      <c r="O119" s="220"/>
      <c r="R119" s="220"/>
      <c r="U119" s="220"/>
    </row>
    <row r="121" spans="4:24">
      <c r="D121" s="496" t="s">
        <v>575</v>
      </c>
      <c r="E121" s="496"/>
      <c r="F121" s="496"/>
      <c r="G121" s="496"/>
      <c r="H121" s="496"/>
      <c r="I121" s="496"/>
      <c r="J121" s="496"/>
      <c r="L121" s="496" t="s">
        <v>576</v>
      </c>
      <c r="M121" s="496"/>
      <c r="N121" s="496"/>
      <c r="O121" s="496"/>
      <c r="P121" s="496"/>
      <c r="Q121" s="496"/>
      <c r="S121" s="510" t="s">
        <v>577</v>
      </c>
      <c r="T121" s="511"/>
      <c r="U121" s="511"/>
      <c r="V121" s="511"/>
      <c r="W121" s="511"/>
      <c r="X121" s="512"/>
    </row>
    <row r="122" spans="4:24" ht="18.95" customHeight="1">
      <c r="D122" s="515" t="s">
        <v>578</v>
      </c>
      <c r="E122" s="516"/>
      <c r="F122" s="516"/>
      <c r="G122" s="516"/>
      <c r="H122" s="516"/>
      <c r="I122" s="516"/>
      <c r="J122" s="517"/>
      <c r="L122" s="502" t="s">
        <v>104</v>
      </c>
      <c r="M122" s="502"/>
      <c r="N122" s="502"/>
      <c r="O122" s="502"/>
      <c r="P122" s="502"/>
      <c r="Q122" s="502"/>
      <c r="S122" s="513" t="s">
        <v>579</v>
      </c>
      <c r="T122" s="514"/>
      <c r="U122" s="514"/>
      <c r="V122" s="514"/>
      <c r="W122" s="514"/>
      <c r="X122" s="514"/>
    </row>
    <row r="123" spans="4:24" ht="80.45" customHeight="1">
      <c r="D123" s="146" t="s">
        <v>580</v>
      </c>
      <c r="E123" s="146" t="s">
        <v>581</v>
      </c>
      <c r="F123" s="146" t="s">
        <v>582</v>
      </c>
      <c r="G123" s="146" t="s">
        <v>583</v>
      </c>
      <c r="H123" s="146" t="s">
        <v>584</v>
      </c>
      <c r="I123" s="183" t="s">
        <v>585</v>
      </c>
      <c r="J123" s="146" t="s">
        <v>586</v>
      </c>
      <c r="L123" s="146" t="s">
        <v>587</v>
      </c>
      <c r="M123" s="146" t="s">
        <v>58</v>
      </c>
      <c r="N123" s="146" t="s">
        <v>109</v>
      </c>
      <c r="O123" s="146" t="s">
        <v>270</v>
      </c>
      <c r="P123" s="146"/>
      <c r="Q123" s="146"/>
      <c r="S123" s="146" t="s">
        <v>588</v>
      </c>
      <c r="T123" s="146" t="s">
        <v>589</v>
      </c>
      <c r="U123" s="146" t="s">
        <v>590</v>
      </c>
      <c r="V123" s="146" t="s">
        <v>591</v>
      </c>
      <c r="W123" s="146" t="s">
        <v>592</v>
      </c>
      <c r="X123" s="146" t="s">
        <v>593</v>
      </c>
    </row>
    <row r="124" spans="4:24" ht="101.1" customHeight="1">
      <c r="D124" s="70" t="s">
        <v>1</v>
      </c>
      <c r="E124" s="70" t="s">
        <v>13</v>
      </c>
      <c r="F124" s="70" t="s">
        <v>11</v>
      </c>
      <c r="G124" s="100">
        <v>0</v>
      </c>
      <c r="H124" s="97">
        <v>0</v>
      </c>
      <c r="I124" s="184" t="s">
        <v>594</v>
      </c>
      <c r="J124" s="132">
        <v>0</v>
      </c>
      <c r="L124" s="498" t="s">
        <v>595</v>
      </c>
      <c r="M124" s="70" t="s">
        <v>596</v>
      </c>
      <c r="N124" s="70" t="s">
        <v>137</v>
      </c>
      <c r="O124" s="70">
        <v>1.28</v>
      </c>
      <c r="P124" s="70"/>
      <c r="Q124" s="70"/>
      <c r="S124" s="296" t="s">
        <v>597</v>
      </c>
      <c r="T124" s="70" t="s">
        <v>598</v>
      </c>
      <c r="U124" s="231">
        <v>8500</v>
      </c>
      <c r="V124" s="231">
        <v>200</v>
      </c>
      <c r="W124" s="231">
        <f>(U124+(V124*10))/10</f>
        <v>1050</v>
      </c>
      <c r="X124" s="70" t="s">
        <v>599</v>
      </c>
    </row>
    <row r="125" spans="4:24" ht="57.95" customHeight="1">
      <c r="D125" s="70" t="s">
        <v>195</v>
      </c>
      <c r="E125" s="70" t="s">
        <v>600</v>
      </c>
      <c r="F125" s="70" t="s">
        <v>5</v>
      </c>
      <c r="G125" s="100">
        <v>0.01</v>
      </c>
      <c r="H125" s="97">
        <v>0.08</v>
      </c>
      <c r="I125" s="184" t="s">
        <v>20</v>
      </c>
      <c r="J125" s="132">
        <v>1</v>
      </c>
      <c r="L125" s="499"/>
      <c r="M125" s="70" t="s">
        <v>601</v>
      </c>
      <c r="N125" s="70" t="s">
        <v>137</v>
      </c>
      <c r="O125" s="70">
        <v>4</v>
      </c>
      <c r="P125" s="70"/>
      <c r="Q125" s="70"/>
      <c r="S125" s="301" t="s">
        <v>602</v>
      </c>
      <c r="T125" s="70" t="s">
        <v>603</v>
      </c>
      <c r="U125" s="70" t="s">
        <v>604</v>
      </c>
      <c r="V125" s="70" t="s">
        <v>605</v>
      </c>
      <c r="W125" s="236" t="s">
        <v>606</v>
      </c>
      <c r="X125" s="70" t="s">
        <v>607</v>
      </c>
    </row>
    <row r="126" spans="4:24" ht="45" customHeight="1">
      <c r="D126" s="70" t="s">
        <v>199</v>
      </c>
      <c r="E126" s="70" t="s">
        <v>208</v>
      </c>
      <c r="F126" s="70" t="s">
        <v>6</v>
      </c>
      <c r="G126" s="100">
        <v>0.02</v>
      </c>
      <c r="H126" s="97">
        <v>0.11</v>
      </c>
      <c r="I126" s="184" t="s">
        <v>608</v>
      </c>
      <c r="J126" s="132">
        <v>2</v>
      </c>
      <c r="L126" s="501"/>
      <c r="M126" s="70" t="s">
        <v>609</v>
      </c>
      <c r="N126" s="70" t="s">
        <v>64</v>
      </c>
      <c r="O126" s="70">
        <v>212</v>
      </c>
      <c r="P126" s="70"/>
      <c r="Q126" s="70"/>
      <c r="S126" s="301"/>
      <c r="T126" s="70" t="s">
        <v>610</v>
      </c>
      <c r="U126" s="231">
        <v>2400</v>
      </c>
      <c r="V126" s="232">
        <v>400</v>
      </c>
      <c r="W126" s="231">
        <f>(U126+(V126*5))/5</f>
        <v>880</v>
      </c>
      <c r="X126" s="70" t="s">
        <v>611</v>
      </c>
    </row>
    <row r="127" spans="4:24" ht="75" customHeight="1">
      <c r="D127" s="70" t="s">
        <v>203</v>
      </c>
      <c r="E127" s="70"/>
      <c r="F127" s="70" t="s">
        <v>7</v>
      </c>
      <c r="G127" s="100">
        <v>0.03</v>
      </c>
      <c r="H127" s="40"/>
      <c r="I127" s="144"/>
      <c r="J127" s="132">
        <v>3</v>
      </c>
      <c r="L127" s="230" t="s">
        <v>612</v>
      </c>
      <c r="M127" s="70" t="s">
        <v>613</v>
      </c>
      <c r="N127" s="70" t="s">
        <v>137</v>
      </c>
      <c r="O127" s="70">
        <v>3</v>
      </c>
      <c r="P127" s="70"/>
      <c r="Q127" s="70"/>
      <c r="S127" s="303" t="s">
        <v>614</v>
      </c>
      <c r="T127" s="70" t="s">
        <v>615</v>
      </c>
      <c r="U127" s="231">
        <v>1600</v>
      </c>
      <c r="V127" s="232">
        <v>30</v>
      </c>
      <c r="W127" s="231">
        <f>(U127+(V127*12))/12</f>
        <v>163.33333333333334</v>
      </c>
      <c r="X127" s="70" t="s">
        <v>616</v>
      </c>
    </row>
    <row r="128" spans="4:24" ht="69.599999999999994" customHeight="1">
      <c r="D128" s="70" t="s">
        <v>508</v>
      </c>
      <c r="E128" s="70"/>
      <c r="F128" s="70" t="s">
        <v>35</v>
      </c>
      <c r="G128" s="100">
        <v>0.04</v>
      </c>
      <c r="H128" s="40"/>
      <c r="I128" s="144"/>
      <c r="J128" s="132">
        <v>4</v>
      </c>
      <c r="L128" s="498" t="s">
        <v>617</v>
      </c>
      <c r="M128" s="70" t="s">
        <v>618</v>
      </c>
      <c r="N128" s="70" t="s">
        <v>64</v>
      </c>
      <c r="O128" s="70">
        <v>345.27</v>
      </c>
      <c r="P128" s="70"/>
      <c r="Q128" s="70"/>
      <c r="S128" s="304"/>
      <c r="T128" s="70" t="s">
        <v>619</v>
      </c>
      <c r="U128" s="231">
        <v>3000</v>
      </c>
      <c r="V128" s="232">
        <v>60</v>
      </c>
      <c r="W128" s="231">
        <f>(U128+(V128*12))/12</f>
        <v>310</v>
      </c>
      <c r="X128" s="70" t="s">
        <v>620</v>
      </c>
    </row>
    <row r="129" spans="4:24" ht="90.6" customHeight="1">
      <c r="D129" s="70"/>
      <c r="E129" s="70"/>
      <c r="F129" s="70" t="s">
        <v>37</v>
      </c>
      <c r="G129" s="100">
        <v>0.05</v>
      </c>
      <c r="H129" s="40"/>
      <c r="I129" s="144"/>
      <c r="J129" s="132">
        <v>5</v>
      </c>
      <c r="L129" s="499"/>
      <c r="M129" s="70" t="s">
        <v>621</v>
      </c>
      <c r="N129" s="70" t="s">
        <v>64</v>
      </c>
      <c r="O129" s="70">
        <v>204.78</v>
      </c>
      <c r="P129" s="70"/>
      <c r="Q129" s="70"/>
      <c r="S129" s="305"/>
      <c r="T129" s="238" t="s">
        <v>382</v>
      </c>
      <c r="U129" s="231">
        <v>3600</v>
      </c>
      <c r="V129" s="232">
        <v>60</v>
      </c>
      <c r="W129" s="231">
        <f>(U129+(V129*12))/12</f>
        <v>360</v>
      </c>
      <c r="X129" s="70" t="s">
        <v>620</v>
      </c>
    </row>
    <row r="130" spans="4:24" ht="91.5" customHeight="1">
      <c r="F130" s="70" t="s">
        <v>39</v>
      </c>
      <c r="G130" s="100">
        <v>0.06</v>
      </c>
      <c r="J130" s="132">
        <v>6</v>
      </c>
      <c r="L130" s="499"/>
      <c r="M130" s="70" t="s">
        <v>622</v>
      </c>
      <c r="N130" s="70" t="s">
        <v>64</v>
      </c>
      <c r="O130" s="70">
        <v>86.22</v>
      </c>
      <c r="P130" s="70"/>
      <c r="Q130" s="70"/>
      <c r="S130" s="296" t="s">
        <v>623</v>
      </c>
      <c r="T130" s="70" t="s">
        <v>461</v>
      </c>
      <c r="U130" s="231">
        <v>2925</v>
      </c>
      <c r="V130" s="232">
        <v>350</v>
      </c>
      <c r="W130" s="231">
        <f>(U130+(V130*10))/10</f>
        <v>642.5</v>
      </c>
      <c r="X130" s="70" t="s">
        <v>624</v>
      </c>
    </row>
    <row r="131" spans="4:24" ht="30">
      <c r="G131" s="100">
        <v>7.0000000000000007E-2</v>
      </c>
      <c r="J131" s="132">
        <v>7</v>
      </c>
      <c r="L131" s="499"/>
      <c r="M131" s="233" t="s">
        <v>625</v>
      </c>
      <c r="N131" s="233" t="s">
        <v>64</v>
      </c>
      <c r="O131" s="233">
        <v>80.28</v>
      </c>
      <c r="P131" s="233"/>
      <c r="Q131" s="233"/>
    </row>
    <row r="132" spans="4:24" ht="45">
      <c r="G132" s="100">
        <v>0.08</v>
      </c>
      <c r="J132" s="132">
        <v>8</v>
      </c>
      <c r="L132" s="500" t="s">
        <v>626</v>
      </c>
      <c r="M132" s="173"/>
      <c r="N132" s="173"/>
      <c r="O132" s="173" t="s">
        <v>627</v>
      </c>
      <c r="P132" s="173" t="s">
        <v>628</v>
      </c>
      <c r="Q132" s="173" t="s">
        <v>629</v>
      </c>
    </row>
    <row r="133" spans="4:24" ht="93" customHeight="1">
      <c r="G133" s="100">
        <v>0.09</v>
      </c>
      <c r="J133" s="132">
        <v>9</v>
      </c>
      <c r="L133" s="500"/>
      <c r="M133" s="70" t="s">
        <v>630</v>
      </c>
      <c r="N133" s="70" t="s">
        <v>64</v>
      </c>
      <c r="O133" s="70">
        <v>1637</v>
      </c>
      <c r="P133" s="70">
        <v>65</v>
      </c>
      <c r="Q133" s="70">
        <f>(O133+(P133*4))/5</f>
        <v>379.4</v>
      </c>
    </row>
    <row r="134" spans="4:24" ht="45">
      <c r="G134" s="100">
        <v>0.1</v>
      </c>
      <c r="J134" s="132">
        <v>10</v>
      </c>
      <c r="L134" s="500"/>
      <c r="M134" s="70" t="s">
        <v>205</v>
      </c>
      <c r="N134" s="70" t="s">
        <v>64</v>
      </c>
      <c r="O134" s="70">
        <v>3831.68</v>
      </c>
      <c r="P134" s="70">
        <v>110</v>
      </c>
      <c r="Q134" s="70">
        <f t="shared" ref="Q134:Q136" si="43">(O134+(P134*4))/5</f>
        <v>854.33600000000001</v>
      </c>
    </row>
    <row r="135" spans="4:24" ht="60">
      <c r="G135" s="100">
        <v>0.11</v>
      </c>
      <c r="J135" s="132">
        <v>11</v>
      </c>
      <c r="L135" s="500"/>
      <c r="M135" s="70" t="s">
        <v>631</v>
      </c>
      <c r="N135" s="70" t="s">
        <v>64</v>
      </c>
      <c r="O135" s="70">
        <v>2625</v>
      </c>
      <c r="P135" s="70">
        <v>516</v>
      </c>
      <c r="Q135" s="70">
        <f t="shared" si="43"/>
        <v>937.8</v>
      </c>
    </row>
    <row r="136" spans="4:24" ht="60">
      <c r="G136" s="100">
        <v>0.12</v>
      </c>
      <c r="J136" s="132">
        <v>12</v>
      </c>
      <c r="L136" s="500"/>
      <c r="M136" s="70" t="s">
        <v>383</v>
      </c>
      <c r="N136" s="70" t="s">
        <v>64</v>
      </c>
      <c r="O136" s="70">
        <v>2146.9</v>
      </c>
      <c r="P136" s="70">
        <v>465</v>
      </c>
      <c r="Q136" s="70">
        <f t="shared" si="43"/>
        <v>801.38</v>
      </c>
    </row>
    <row r="137" spans="4:24">
      <c r="G137" s="100">
        <v>0.13</v>
      </c>
      <c r="J137" s="132">
        <v>13</v>
      </c>
    </row>
    <row r="138" spans="4:24">
      <c r="G138" s="100">
        <v>0.14000000000000001</v>
      </c>
      <c r="J138" s="132">
        <v>14</v>
      </c>
    </row>
    <row r="139" spans="4:24">
      <c r="G139" s="100">
        <v>0.15</v>
      </c>
      <c r="J139" s="132">
        <v>15</v>
      </c>
    </row>
    <row r="140" spans="4:24">
      <c r="G140" s="100">
        <v>0.16</v>
      </c>
      <c r="J140" s="132">
        <v>16</v>
      </c>
    </row>
    <row r="141" spans="4:24">
      <c r="G141" s="100">
        <v>0.17</v>
      </c>
      <c r="J141" s="132">
        <v>17</v>
      </c>
    </row>
    <row r="142" spans="4:24">
      <c r="G142" s="100">
        <v>0.18</v>
      </c>
      <c r="J142" s="132">
        <v>18</v>
      </c>
    </row>
    <row r="143" spans="4:24">
      <c r="G143" s="100">
        <v>0.19</v>
      </c>
      <c r="J143" s="132">
        <v>19</v>
      </c>
    </row>
    <row r="144" spans="4:24">
      <c r="G144" s="100">
        <v>0.2</v>
      </c>
      <c r="J144" s="132">
        <v>20</v>
      </c>
    </row>
    <row r="145" spans="7:10">
      <c r="G145" s="100">
        <v>0.21</v>
      </c>
      <c r="J145" s="132">
        <v>21</v>
      </c>
    </row>
    <row r="146" spans="7:10">
      <c r="G146" s="100">
        <v>0.22</v>
      </c>
      <c r="J146" s="132">
        <v>22</v>
      </c>
    </row>
    <row r="147" spans="7:10">
      <c r="G147" s="100">
        <v>0.23</v>
      </c>
      <c r="J147" s="132">
        <v>23</v>
      </c>
    </row>
    <row r="148" spans="7:10">
      <c r="G148" s="100">
        <v>0.24</v>
      </c>
      <c r="J148" s="132">
        <v>24</v>
      </c>
    </row>
    <row r="149" spans="7:10">
      <c r="G149" s="100">
        <v>0.25</v>
      </c>
      <c r="J149" s="132">
        <v>25</v>
      </c>
    </row>
    <row r="150" spans="7:10">
      <c r="G150" s="100">
        <v>0.26</v>
      </c>
      <c r="J150" s="132">
        <v>26</v>
      </c>
    </row>
    <row r="151" spans="7:10">
      <c r="G151" s="100">
        <v>0.27</v>
      </c>
      <c r="J151" s="132">
        <v>27</v>
      </c>
    </row>
    <row r="152" spans="7:10">
      <c r="G152" s="100">
        <v>0.28000000000000003</v>
      </c>
      <c r="J152" s="132">
        <v>28</v>
      </c>
    </row>
    <row r="153" spans="7:10">
      <c r="G153" s="100">
        <v>0.28999999999999998</v>
      </c>
      <c r="J153" s="132">
        <v>29</v>
      </c>
    </row>
    <row r="154" spans="7:10">
      <c r="G154" s="100">
        <v>0.3</v>
      </c>
      <c r="J154" s="132">
        <v>30</v>
      </c>
    </row>
    <row r="155" spans="7:10">
      <c r="G155" s="100">
        <v>0.31</v>
      </c>
      <c r="J155" s="132">
        <v>31</v>
      </c>
    </row>
    <row r="156" spans="7:10">
      <c r="G156" s="100">
        <v>0.32</v>
      </c>
      <c r="J156" s="132">
        <v>32</v>
      </c>
    </row>
    <row r="157" spans="7:10">
      <c r="G157" s="100">
        <v>0.33</v>
      </c>
      <c r="J157" s="132">
        <v>33</v>
      </c>
    </row>
    <row r="158" spans="7:10">
      <c r="G158" s="100">
        <v>0.34</v>
      </c>
      <c r="J158" s="132">
        <v>34</v>
      </c>
    </row>
    <row r="159" spans="7:10">
      <c r="G159" s="100">
        <v>0.35</v>
      </c>
      <c r="J159" s="132">
        <v>35</v>
      </c>
    </row>
    <row r="160" spans="7:10">
      <c r="G160" s="100">
        <v>0.36</v>
      </c>
      <c r="J160" s="132">
        <v>36</v>
      </c>
    </row>
    <row r="161" spans="7:10">
      <c r="G161" s="100">
        <v>0.37</v>
      </c>
      <c r="J161" s="132">
        <v>37</v>
      </c>
    </row>
    <row r="162" spans="7:10">
      <c r="G162" s="100">
        <v>0.38</v>
      </c>
      <c r="J162" s="132">
        <v>38</v>
      </c>
    </row>
    <row r="163" spans="7:10">
      <c r="G163" s="100">
        <v>0.39</v>
      </c>
      <c r="J163" s="132">
        <v>39</v>
      </c>
    </row>
    <row r="164" spans="7:10">
      <c r="G164" s="100">
        <v>0.4</v>
      </c>
      <c r="J164" s="132">
        <v>40</v>
      </c>
    </row>
    <row r="165" spans="7:10">
      <c r="G165" s="100">
        <v>0.41</v>
      </c>
      <c r="J165" s="132">
        <v>41</v>
      </c>
    </row>
    <row r="166" spans="7:10">
      <c r="G166" s="100">
        <v>0.42</v>
      </c>
      <c r="J166" s="132">
        <v>42</v>
      </c>
    </row>
    <row r="167" spans="7:10">
      <c r="G167" s="100">
        <v>0.43</v>
      </c>
      <c r="J167" s="132">
        <v>43</v>
      </c>
    </row>
    <row r="168" spans="7:10">
      <c r="G168" s="100">
        <v>0.44</v>
      </c>
      <c r="J168" s="132">
        <v>44</v>
      </c>
    </row>
    <row r="169" spans="7:10">
      <c r="G169" s="100">
        <v>0.45</v>
      </c>
      <c r="J169" s="132">
        <v>45</v>
      </c>
    </row>
    <row r="170" spans="7:10">
      <c r="G170" s="100">
        <v>0.46</v>
      </c>
      <c r="J170" s="132">
        <v>46</v>
      </c>
    </row>
    <row r="171" spans="7:10">
      <c r="G171" s="100">
        <v>0.47</v>
      </c>
      <c r="J171" s="132">
        <v>47</v>
      </c>
    </row>
    <row r="172" spans="7:10">
      <c r="G172" s="100">
        <v>0.48</v>
      </c>
      <c r="J172" s="132">
        <v>48</v>
      </c>
    </row>
    <row r="173" spans="7:10">
      <c r="G173" s="100">
        <v>0.49</v>
      </c>
      <c r="J173" s="132">
        <v>49</v>
      </c>
    </row>
    <row r="174" spans="7:10">
      <c r="G174" s="100">
        <v>0.5</v>
      </c>
      <c r="J174" s="132">
        <v>50</v>
      </c>
    </row>
    <row r="175" spans="7:10">
      <c r="G175" s="100">
        <v>0.51</v>
      </c>
      <c r="J175" s="132">
        <v>51</v>
      </c>
    </row>
    <row r="176" spans="7:10">
      <c r="G176" s="100">
        <v>0.52</v>
      </c>
      <c r="J176" s="132">
        <v>52</v>
      </c>
    </row>
    <row r="177" spans="7:10">
      <c r="G177" s="100">
        <v>0.53</v>
      </c>
      <c r="J177" s="132">
        <v>53</v>
      </c>
    </row>
    <row r="178" spans="7:10">
      <c r="G178" s="100">
        <v>0.54</v>
      </c>
      <c r="J178" s="132">
        <v>54</v>
      </c>
    </row>
    <row r="179" spans="7:10">
      <c r="G179" s="100">
        <v>0.55000000000000004</v>
      </c>
      <c r="J179" s="132">
        <v>55</v>
      </c>
    </row>
    <row r="180" spans="7:10">
      <c r="G180" s="100">
        <v>0.56000000000000005</v>
      </c>
      <c r="J180" s="132">
        <v>56</v>
      </c>
    </row>
    <row r="181" spans="7:10">
      <c r="G181" s="100">
        <v>0.56999999999999995</v>
      </c>
      <c r="J181" s="132">
        <v>57</v>
      </c>
    </row>
    <row r="182" spans="7:10">
      <c r="G182" s="100">
        <v>0.57999999999999996</v>
      </c>
      <c r="J182" s="132">
        <v>58</v>
      </c>
    </row>
    <row r="183" spans="7:10">
      <c r="G183" s="100">
        <v>0.59</v>
      </c>
      <c r="J183" s="132">
        <v>59</v>
      </c>
    </row>
    <row r="184" spans="7:10">
      <c r="G184" s="100">
        <v>0.6</v>
      </c>
      <c r="J184" s="132">
        <v>60</v>
      </c>
    </row>
    <row r="185" spans="7:10">
      <c r="G185" s="100">
        <v>0.61</v>
      </c>
      <c r="J185" s="132">
        <v>61</v>
      </c>
    </row>
    <row r="186" spans="7:10">
      <c r="G186" s="100">
        <v>0.62</v>
      </c>
      <c r="J186" s="132">
        <v>62</v>
      </c>
    </row>
    <row r="187" spans="7:10">
      <c r="G187" s="100">
        <v>0.63</v>
      </c>
      <c r="J187" s="132">
        <v>63</v>
      </c>
    </row>
    <row r="188" spans="7:10">
      <c r="G188" s="100">
        <v>0.64</v>
      </c>
      <c r="J188" s="132">
        <v>64</v>
      </c>
    </row>
    <row r="189" spans="7:10">
      <c r="G189" s="100">
        <v>0.65</v>
      </c>
      <c r="J189" s="132">
        <v>65</v>
      </c>
    </row>
    <row r="190" spans="7:10">
      <c r="G190" s="100">
        <v>0.66</v>
      </c>
      <c r="J190" s="132">
        <v>66</v>
      </c>
    </row>
    <row r="191" spans="7:10">
      <c r="G191" s="100">
        <v>0.67</v>
      </c>
      <c r="J191" s="132">
        <v>67</v>
      </c>
    </row>
    <row r="192" spans="7:10">
      <c r="G192" s="100">
        <v>0.68</v>
      </c>
      <c r="J192" s="132">
        <v>68</v>
      </c>
    </row>
    <row r="193" spans="7:10">
      <c r="G193" s="100">
        <v>0.69</v>
      </c>
      <c r="J193" s="132">
        <v>69</v>
      </c>
    </row>
    <row r="194" spans="7:10">
      <c r="G194" s="100">
        <v>0.7</v>
      </c>
      <c r="J194" s="132">
        <v>70</v>
      </c>
    </row>
    <row r="195" spans="7:10">
      <c r="G195" s="100">
        <v>0.71</v>
      </c>
      <c r="J195" s="132">
        <v>71</v>
      </c>
    </row>
    <row r="196" spans="7:10">
      <c r="G196" s="100">
        <v>0.72</v>
      </c>
      <c r="J196" s="132">
        <v>72</v>
      </c>
    </row>
    <row r="197" spans="7:10">
      <c r="G197" s="100">
        <v>0.73</v>
      </c>
      <c r="J197" s="132">
        <v>73</v>
      </c>
    </row>
    <row r="198" spans="7:10">
      <c r="G198" s="100">
        <v>0.74</v>
      </c>
      <c r="J198" s="132">
        <v>74</v>
      </c>
    </row>
    <row r="199" spans="7:10">
      <c r="G199" s="100">
        <v>0.75</v>
      </c>
      <c r="J199" s="132">
        <v>75</v>
      </c>
    </row>
    <row r="200" spans="7:10">
      <c r="G200" s="100">
        <v>0.76</v>
      </c>
      <c r="J200" s="132">
        <v>76</v>
      </c>
    </row>
    <row r="201" spans="7:10">
      <c r="G201" s="100">
        <v>0.77</v>
      </c>
      <c r="J201" s="132">
        <v>77</v>
      </c>
    </row>
    <row r="202" spans="7:10">
      <c r="G202" s="100">
        <v>0.78</v>
      </c>
      <c r="J202" s="132">
        <v>78</v>
      </c>
    </row>
    <row r="203" spans="7:10">
      <c r="G203" s="100">
        <v>0.79</v>
      </c>
      <c r="J203" s="132">
        <v>79</v>
      </c>
    </row>
    <row r="204" spans="7:10">
      <c r="G204" s="100">
        <v>0.8</v>
      </c>
      <c r="J204" s="132">
        <v>80</v>
      </c>
    </row>
    <row r="205" spans="7:10">
      <c r="G205" s="100">
        <v>0.81</v>
      </c>
    </row>
    <row r="206" spans="7:10">
      <c r="G206" s="100">
        <v>0.82</v>
      </c>
    </row>
    <row r="207" spans="7:10">
      <c r="G207" s="100">
        <v>0.83</v>
      </c>
    </row>
    <row r="208" spans="7:10">
      <c r="G208" s="100">
        <v>0.84</v>
      </c>
    </row>
    <row r="209" spans="7:7">
      <c r="G209" s="100">
        <v>0.85</v>
      </c>
    </row>
    <row r="210" spans="7:7">
      <c r="G210" s="100">
        <v>0.86</v>
      </c>
    </row>
    <row r="211" spans="7:7">
      <c r="G211" s="100">
        <v>0.87</v>
      </c>
    </row>
    <row r="212" spans="7:7">
      <c r="G212" s="100">
        <v>0.88</v>
      </c>
    </row>
    <row r="213" spans="7:7">
      <c r="G213" s="100">
        <v>0.89</v>
      </c>
    </row>
    <row r="214" spans="7:7">
      <c r="G214" s="100">
        <v>0.9</v>
      </c>
    </row>
    <row r="215" spans="7:7">
      <c r="G215" s="100">
        <v>0.91</v>
      </c>
    </row>
    <row r="216" spans="7:7">
      <c r="G216" s="100">
        <v>0.92</v>
      </c>
    </row>
    <row r="217" spans="7:7">
      <c r="G217" s="100">
        <v>0.93</v>
      </c>
    </row>
    <row r="218" spans="7:7">
      <c r="G218" s="100">
        <v>0.94</v>
      </c>
    </row>
    <row r="219" spans="7:7">
      <c r="G219" s="100">
        <v>0.95</v>
      </c>
    </row>
    <row r="220" spans="7:7">
      <c r="G220" s="100">
        <v>0.96</v>
      </c>
    </row>
    <row r="221" spans="7:7">
      <c r="G221" s="100">
        <v>0.97</v>
      </c>
    </row>
    <row r="222" spans="7:7">
      <c r="G222" s="100">
        <v>0.98</v>
      </c>
    </row>
    <row r="223" spans="7:7">
      <c r="G223" s="100">
        <v>0.99</v>
      </c>
    </row>
    <row r="224" spans="7:7">
      <c r="G224" s="100">
        <v>1</v>
      </c>
    </row>
  </sheetData>
  <mergeCells count="47">
    <mergeCell ref="S121:X121"/>
    <mergeCell ref="S122:X122"/>
    <mergeCell ref="L122:Q122"/>
    <mergeCell ref="L121:Q121"/>
    <mergeCell ref="D122:J122"/>
    <mergeCell ref="D121:J121"/>
    <mergeCell ref="D87:Y87"/>
    <mergeCell ref="D97:J97"/>
    <mergeCell ref="D108:V108"/>
    <mergeCell ref="D88:Y88"/>
    <mergeCell ref="E89:G89"/>
    <mergeCell ref="H89:J89"/>
    <mergeCell ref="D98:J98"/>
    <mergeCell ref="E99:J99"/>
    <mergeCell ref="L128:L131"/>
    <mergeCell ref="L132:L136"/>
    <mergeCell ref="L124:L126"/>
    <mergeCell ref="T89:V89"/>
    <mergeCell ref="W89:Y89"/>
    <mergeCell ref="N89:P89"/>
    <mergeCell ref="K89:M89"/>
    <mergeCell ref="Q89:S89"/>
    <mergeCell ref="D109:V109"/>
    <mergeCell ref="E110:V110"/>
    <mergeCell ref="T111:V111"/>
    <mergeCell ref="Q111:S111"/>
    <mergeCell ref="N111:P111"/>
    <mergeCell ref="K111:M111"/>
    <mergeCell ref="H111:J111"/>
    <mergeCell ref="E111:G111"/>
    <mergeCell ref="E1:I1"/>
    <mergeCell ref="J1:M1"/>
    <mergeCell ref="F5:I5"/>
    <mergeCell ref="E10:I10"/>
    <mergeCell ref="J10:M10"/>
    <mergeCell ref="F14:I14"/>
    <mergeCell ref="D34:R34"/>
    <mergeCell ref="D77:Q77"/>
    <mergeCell ref="D66:O66"/>
    <mergeCell ref="D55:S55"/>
    <mergeCell ref="D23:D24"/>
    <mergeCell ref="D22:AE22"/>
    <mergeCell ref="D44:R44"/>
    <mergeCell ref="D43:R43"/>
    <mergeCell ref="D54:S54"/>
    <mergeCell ref="D65:O65"/>
    <mergeCell ref="D76:Q76"/>
  </mergeCells>
  <phoneticPr fontId="25" type="noConversion"/>
  <hyperlinks>
    <hyperlink ref="O8" r:id="rId1" xr:uid="{5AD5A1DA-6CE3-43E5-905E-076ABB58A042}"/>
    <hyperlink ref="O17" r:id="rId2" xr:uid="{BE3246AF-9F76-4337-8CAC-8B370C39C7A6}"/>
    <hyperlink ref="O12" r:id="rId3" xr:uid="{68191DB7-62EF-4053-B25E-024A9BD82A1B}"/>
    <hyperlink ref="AF29" r:id="rId4" xr:uid="{47F802B7-A1F3-4D8C-A0DD-96321BE67F27}"/>
  </hyperlinks>
  <pageMargins left="0.7" right="0.7" top="0.75" bottom="0.75" header="0.3" footer="0.3"/>
  <legacy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CD316-89F9-4530-BFB8-D69AD612853F}">
  <dimension ref="B2:E29"/>
  <sheetViews>
    <sheetView showGridLines="0" showRowColHeaders="0" zoomScaleNormal="100" workbookViewId="0"/>
    <sheetView workbookViewId="1"/>
  </sheetViews>
  <sheetFormatPr defaultColWidth="8.7109375" defaultRowHeight="15"/>
  <cols>
    <col min="1" max="1" width="5.5703125" style="28" customWidth="1"/>
    <col min="2" max="2" width="6.42578125" style="28" customWidth="1"/>
    <col min="3" max="3" width="29.85546875" style="28" customWidth="1"/>
    <col min="4" max="4" width="142.5703125" style="28" customWidth="1"/>
    <col min="5" max="5" width="7.140625" style="28" customWidth="1"/>
    <col min="6" max="16384" width="8.7109375" style="28"/>
  </cols>
  <sheetData>
    <row r="2" spans="2:5">
      <c r="B2" s="365"/>
      <c r="C2" s="365"/>
      <c r="D2" s="365"/>
      <c r="E2" s="365"/>
    </row>
    <row r="3" spans="2:5" ht="21">
      <c r="B3" s="365"/>
      <c r="C3" s="367" t="s">
        <v>666</v>
      </c>
      <c r="D3" s="365"/>
      <c r="E3" s="365"/>
    </row>
    <row r="4" spans="2:5" ht="19.5" customHeight="1">
      <c r="B4" s="365"/>
      <c r="C4" s="366" t="s">
        <v>667</v>
      </c>
      <c r="D4" s="365"/>
      <c r="E4" s="365"/>
    </row>
    <row r="5" spans="2:5" ht="24.95" customHeight="1">
      <c r="B5" s="365"/>
      <c r="C5" s="389" t="s">
        <v>688</v>
      </c>
      <c r="D5" s="389"/>
      <c r="E5" s="365"/>
    </row>
    <row r="6" spans="2:5" ht="39.6" customHeight="1">
      <c r="B6" s="365"/>
      <c r="C6" s="388" t="s">
        <v>725</v>
      </c>
      <c r="D6" s="388"/>
      <c r="E6" s="365"/>
    </row>
    <row r="7" spans="2:5" ht="27" customHeight="1">
      <c r="B7" s="365"/>
      <c r="C7" s="388" t="s">
        <v>726</v>
      </c>
      <c r="D7" s="388"/>
      <c r="E7" s="365"/>
    </row>
    <row r="8" spans="2:5" ht="286.5" customHeight="1">
      <c r="B8" s="365"/>
      <c r="C8" s="387" t="s">
        <v>727</v>
      </c>
      <c r="D8" s="387"/>
      <c r="E8" s="365"/>
    </row>
    <row r="9" spans="2:5">
      <c r="B9" s="365"/>
      <c r="C9" s="366"/>
      <c r="D9" s="365"/>
      <c r="E9" s="365"/>
    </row>
    <row r="10" spans="2:5" ht="21.95" customHeight="1">
      <c r="B10" s="365"/>
      <c r="C10" s="389" t="s">
        <v>689</v>
      </c>
      <c r="D10" s="389"/>
      <c r="E10" s="365"/>
    </row>
    <row r="11" spans="2:5" ht="37.5" customHeight="1">
      <c r="B11" s="365"/>
      <c r="C11" s="388" t="s">
        <v>686</v>
      </c>
      <c r="D11" s="388"/>
      <c r="E11" s="365"/>
    </row>
    <row r="12" spans="2:5" ht="48" customHeight="1">
      <c r="B12" s="365"/>
      <c r="C12" s="388" t="s">
        <v>728</v>
      </c>
      <c r="D12" s="388"/>
      <c r="E12" s="365"/>
    </row>
    <row r="13" spans="2:5" ht="315.95" customHeight="1">
      <c r="B13" s="365"/>
      <c r="C13" s="387"/>
      <c r="D13" s="387"/>
      <c r="E13" s="365"/>
    </row>
    <row r="14" spans="2:5">
      <c r="B14" s="365"/>
      <c r="C14" s="365"/>
      <c r="D14" s="365"/>
      <c r="E14" s="365"/>
    </row>
    <row r="15" spans="2:5" ht="23.1" customHeight="1">
      <c r="B15" s="365"/>
      <c r="C15" s="389" t="s">
        <v>690</v>
      </c>
      <c r="D15" s="389"/>
      <c r="E15" s="365"/>
    </row>
    <row r="16" spans="2:5" ht="51.95" customHeight="1">
      <c r="B16" s="365"/>
      <c r="C16" s="387" t="s">
        <v>687</v>
      </c>
      <c r="D16" s="387"/>
      <c r="E16" s="365"/>
    </row>
    <row r="17" spans="2:5" ht="264.95" customHeight="1">
      <c r="B17" s="365"/>
      <c r="C17" s="391"/>
      <c r="D17" s="391"/>
      <c r="E17" s="365"/>
    </row>
    <row r="18" spans="2:5">
      <c r="B18" s="365"/>
      <c r="C18" s="365"/>
      <c r="D18" s="365"/>
      <c r="E18" s="365"/>
    </row>
    <row r="19" spans="2:5" ht="18.75" customHeight="1">
      <c r="B19" s="365"/>
      <c r="C19" s="389" t="s">
        <v>692</v>
      </c>
      <c r="D19" s="389"/>
      <c r="E19" s="365"/>
    </row>
    <row r="20" spans="2:5" ht="57.6" customHeight="1">
      <c r="B20" s="365"/>
      <c r="C20" s="387" t="s">
        <v>693</v>
      </c>
      <c r="D20" s="387"/>
      <c r="E20" s="365"/>
    </row>
    <row r="21" spans="2:5" ht="315.95" customHeight="1">
      <c r="B21" s="365"/>
      <c r="C21" s="391"/>
      <c r="D21" s="391"/>
      <c r="E21" s="365"/>
    </row>
    <row r="22" spans="2:5">
      <c r="B22" s="365"/>
      <c r="C22" s="390"/>
      <c r="D22" s="390"/>
      <c r="E22" s="365"/>
    </row>
    <row r="23" spans="2:5" ht="24" customHeight="1">
      <c r="B23" s="365"/>
      <c r="C23" s="389" t="s">
        <v>694</v>
      </c>
      <c r="D23" s="387"/>
      <c r="E23" s="365"/>
    </row>
    <row r="24" spans="2:5" ht="57.6" customHeight="1">
      <c r="B24" s="365"/>
      <c r="C24" s="387" t="s">
        <v>729</v>
      </c>
      <c r="D24" s="387"/>
      <c r="E24" s="365"/>
    </row>
    <row r="25" spans="2:5" ht="103.5" customHeight="1">
      <c r="B25" s="365"/>
      <c r="C25" s="387" t="s">
        <v>696</v>
      </c>
      <c r="D25" s="387"/>
      <c r="E25" s="365"/>
    </row>
    <row r="26" spans="2:5" ht="67.5" customHeight="1">
      <c r="B26" s="365"/>
      <c r="C26" s="387"/>
      <c r="D26" s="387"/>
      <c r="E26" s="365"/>
    </row>
    <row r="27" spans="2:5" ht="409.5" customHeight="1">
      <c r="B27" s="365"/>
      <c r="C27" s="387"/>
      <c r="D27" s="387"/>
      <c r="E27" s="365"/>
    </row>
    <row r="28" spans="2:5">
      <c r="B28" s="365"/>
      <c r="C28" s="390"/>
      <c r="D28" s="390"/>
      <c r="E28" s="365"/>
    </row>
    <row r="29" spans="2:5" ht="14.1" customHeight="1"/>
  </sheetData>
  <sheetProtection algorithmName="SHA-512" hashValue="bQhZXZEtQ5aaF9U9FFbR85PGeCobKlhi6mHUluabb9lApiOvEhigLT+gxtIqZdqWeu3pJoKX2uFljA3WUUn9jA==" saltValue="3W5wC3S8utWP7HM1LAomDQ==" spinCount="100000" sheet="1" objects="1" scenarios="1"/>
  <mergeCells count="21">
    <mergeCell ref="C19:D19"/>
    <mergeCell ref="C21:D21"/>
    <mergeCell ref="C25:D25"/>
    <mergeCell ref="C15:D15"/>
    <mergeCell ref="C17:D17"/>
    <mergeCell ref="C22:D22"/>
    <mergeCell ref="C20:D20"/>
    <mergeCell ref="C28:D28"/>
    <mergeCell ref="C27:D27"/>
    <mergeCell ref="C26:D26"/>
    <mergeCell ref="C24:D24"/>
    <mergeCell ref="C23:D23"/>
    <mergeCell ref="C8:D8"/>
    <mergeCell ref="C13:D13"/>
    <mergeCell ref="C16:D16"/>
    <mergeCell ref="C11:D11"/>
    <mergeCell ref="C5:D5"/>
    <mergeCell ref="C6:D6"/>
    <mergeCell ref="C7:D7"/>
    <mergeCell ref="C12:D12"/>
    <mergeCell ref="C10:D10"/>
  </mergeCells>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85DC6-9D88-4FA5-B7FF-5297547D219B}">
  <dimension ref="A2:E28"/>
  <sheetViews>
    <sheetView showGridLines="0" showRowColHeaders="0" zoomScale="115" zoomScaleNormal="115" workbookViewId="0"/>
    <sheetView workbookViewId="1"/>
  </sheetViews>
  <sheetFormatPr defaultRowHeight="15"/>
  <cols>
    <col min="1" max="1" width="5.5703125" style="28" customWidth="1"/>
    <col min="2" max="2" width="6.42578125" style="28" customWidth="1"/>
    <col min="3" max="3" width="29.85546875" style="28" customWidth="1"/>
    <col min="4" max="4" width="142.5703125" style="28" customWidth="1"/>
    <col min="5" max="5" width="7.140625" style="28" customWidth="1"/>
  </cols>
  <sheetData>
    <row r="2" spans="2:5">
      <c r="B2" s="365"/>
      <c r="C2" s="365"/>
      <c r="D2" s="365"/>
      <c r="E2" s="365"/>
    </row>
    <row r="3" spans="2:5" ht="21">
      <c r="B3" s="365"/>
      <c r="C3" s="367" t="s">
        <v>666</v>
      </c>
      <c r="D3" s="365"/>
      <c r="E3" s="365"/>
    </row>
    <row r="4" spans="2:5">
      <c r="B4" s="365"/>
      <c r="C4" s="366" t="s">
        <v>668</v>
      </c>
      <c r="D4" s="365"/>
      <c r="E4" s="365"/>
    </row>
    <row r="5" spans="2:5" ht="21.95" customHeight="1">
      <c r="B5" s="365"/>
      <c r="C5" s="389" t="s">
        <v>704</v>
      </c>
      <c r="D5" s="389"/>
      <c r="E5" s="365"/>
    </row>
    <row r="6" spans="2:5" ht="48" customHeight="1">
      <c r="B6" s="365"/>
      <c r="C6" s="388" t="s">
        <v>730</v>
      </c>
      <c r="D6" s="388"/>
      <c r="E6" s="365"/>
    </row>
    <row r="7" spans="2:5">
      <c r="B7" s="365"/>
      <c r="C7" s="388" t="s">
        <v>703</v>
      </c>
      <c r="D7" s="388"/>
      <c r="E7" s="365"/>
    </row>
    <row r="8" spans="2:5" ht="162.6" customHeight="1">
      <c r="B8" s="365"/>
      <c r="C8" s="387"/>
      <c r="D8" s="387"/>
      <c r="E8" s="365"/>
    </row>
    <row r="9" spans="2:5">
      <c r="B9" s="365"/>
      <c r="C9" s="366"/>
      <c r="D9" s="365"/>
      <c r="E9" s="365"/>
    </row>
    <row r="10" spans="2:5" ht="23.1" customHeight="1">
      <c r="B10" s="365"/>
      <c r="C10" s="389" t="s">
        <v>705</v>
      </c>
      <c r="D10" s="389"/>
      <c r="E10" s="365"/>
    </row>
    <row r="11" spans="2:5" ht="34.5" customHeight="1">
      <c r="B11" s="365"/>
      <c r="C11" s="388" t="s">
        <v>731</v>
      </c>
      <c r="D11" s="388"/>
      <c r="E11" s="365"/>
    </row>
    <row r="12" spans="2:5" ht="54" customHeight="1">
      <c r="B12" s="365"/>
      <c r="C12" s="388" t="s">
        <v>710</v>
      </c>
      <c r="D12" s="388"/>
      <c r="E12" s="365"/>
    </row>
    <row r="13" spans="2:5" ht="41.45" customHeight="1">
      <c r="B13" s="365"/>
      <c r="C13" s="388" t="s">
        <v>732</v>
      </c>
      <c r="D13" s="388"/>
      <c r="E13" s="365"/>
    </row>
    <row r="14" spans="2:5" ht="278.10000000000002" customHeight="1">
      <c r="B14" s="365"/>
      <c r="C14" s="388"/>
      <c r="D14" s="388"/>
      <c r="E14" s="365"/>
    </row>
    <row r="15" spans="2:5">
      <c r="B15" s="365"/>
      <c r="C15" s="387"/>
      <c r="D15" s="387"/>
      <c r="E15" s="365"/>
    </row>
    <row r="16" spans="2:5">
      <c r="B16" s="365"/>
      <c r="C16" s="365"/>
      <c r="D16" s="365"/>
      <c r="E16" s="365"/>
    </row>
    <row r="17" spans="2:5">
      <c r="B17" s="365"/>
      <c r="C17" s="389" t="s">
        <v>711</v>
      </c>
      <c r="D17" s="389"/>
      <c r="E17" s="365"/>
    </row>
    <row r="18" spans="2:5" ht="41.45" customHeight="1">
      <c r="B18" s="365"/>
      <c r="C18" s="387" t="s">
        <v>733</v>
      </c>
      <c r="D18" s="387"/>
      <c r="E18" s="365"/>
    </row>
    <row r="19" spans="2:5" ht="54.6" customHeight="1">
      <c r="B19" s="365"/>
      <c r="C19" s="387" t="s">
        <v>737</v>
      </c>
      <c r="D19" s="387"/>
      <c r="E19" s="365"/>
    </row>
    <row r="20" spans="2:5" ht="24.95" customHeight="1">
      <c r="B20" s="365"/>
      <c r="C20" s="387" t="s">
        <v>736</v>
      </c>
      <c r="D20" s="387"/>
      <c r="E20" s="365"/>
    </row>
    <row r="21" spans="2:5" ht="287.45" customHeight="1">
      <c r="B21" s="365"/>
      <c r="C21" s="368"/>
      <c r="D21" s="368"/>
      <c r="E21" s="365"/>
    </row>
    <row r="22" spans="2:5" ht="54.6" customHeight="1">
      <c r="B22" s="365"/>
      <c r="C22" s="387" t="s">
        <v>734</v>
      </c>
      <c r="D22" s="387"/>
      <c r="E22" s="365"/>
    </row>
    <row r="23" spans="2:5" ht="278.45" customHeight="1">
      <c r="B23" s="365"/>
      <c r="C23" s="368"/>
      <c r="D23" s="368"/>
      <c r="E23" s="365"/>
    </row>
    <row r="24" spans="2:5" ht="73.5" customHeight="1">
      <c r="B24" s="365"/>
      <c r="C24" s="387" t="s">
        <v>735</v>
      </c>
      <c r="D24" s="387"/>
      <c r="E24" s="365"/>
    </row>
    <row r="25" spans="2:5" ht="53.45" customHeight="1">
      <c r="B25" s="365"/>
      <c r="C25" s="387" t="s">
        <v>715</v>
      </c>
      <c r="D25" s="387"/>
      <c r="E25" s="365"/>
    </row>
    <row r="26" spans="2:5" ht="293.10000000000002" customHeight="1">
      <c r="B26" s="365"/>
      <c r="C26" s="368"/>
      <c r="D26" s="368"/>
      <c r="E26" s="365"/>
    </row>
    <row r="27" spans="2:5">
      <c r="B27" s="365"/>
      <c r="C27" s="391"/>
      <c r="D27" s="391"/>
      <c r="E27" s="365"/>
    </row>
    <row r="28" spans="2:5">
      <c r="B28" s="365"/>
      <c r="C28" s="365"/>
      <c r="D28" s="365"/>
      <c r="E28" s="365"/>
    </row>
  </sheetData>
  <sheetProtection algorithmName="SHA-512" hashValue="d/AJ1QurG2QuSKdYnJNIU40NcbajbeaHZFPU8/ZhoHgZIKq/fFQT+KK9CxvnnsYYEu2b0ke4HlznmTWmFmjGxg==" saltValue="4ie++gOAawLQBoHD5e3DfA==" spinCount="100000" sheet="1" objects="1" scenarios="1"/>
  <mergeCells count="18">
    <mergeCell ref="C24:D24"/>
    <mergeCell ref="C25:D25"/>
    <mergeCell ref="C5:D5"/>
    <mergeCell ref="C6:D6"/>
    <mergeCell ref="C7:D7"/>
    <mergeCell ref="C8:D8"/>
    <mergeCell ref="C27:D27"/>
    <mergeCell ref="C10:D10"/>
    <mergeCell ref="C11:D11"/>
    <mergeCell ref="C14:D14"/>
    <mergeCell ref="C15:D15"/>
    <mergeCell ref="C17:D17"/>
    <mergeCell ref="C18:D18"/>
    <mergeCell ref="C12:D12"/>
    <mergeCell ref="C13:D13"/>
    <mergeCell ref="C19:D19"/>
    <mergeCell ref="C20:D20"/>
    <mergeCell ref="C22:D2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D5C08-D0AD-4D0E-83D4-808636B88057}">
  <sheetPr codeName="Sheet1"/>
  <dimension ref="B2:AP83"/>
  <sheetViews>
    <sheetView showGridLines="0" showRowColHeaders="0" zoomScaleNormal="100" workbookViewId="0"/>
    <sheetView topLeftCell="U4" zoomScale="115" zoomScaleNormal="115" workbookViewId="1">
      <selection activeCell="AG13" sqref="AG13"/>
    </sheetView>
  </sheetViews>
  <sheetFormatPr defaultRowHeight="15"/>
  <cols>
    <col min="1" max="1" width="8.7109375" customWidth="1"/>
    <col min="2" max="2" width="3.85546875" customWidth="1"/>
    <col min="4" max="4" width="21.42578125" customWidth="1"/>
    <col min="5" max="5" width="27.28515625" customWidth="1"/>
    <col min="6" max="6" width="14.42578125" customWidth="1"/>
    <col min="7" max="7" width="17.5703125" customWidth="1"/>
    <col min="8" max="8" width="3.28515625" customWidth="1"/>
    <col min="9" max="9" width="16" bestFit="1" customWidth="1"/>
    <col min="10" max="10" width="7.42578125" customWidth="1"/>
    <col min="11" max="11" width="26.28515625" customWidth="1"/>
    <col min="12" max="12" width="1" customWidth="1"/>
    <col min="13" max="13" width="14.7109375" customWidth="1"/>
    <col min="14" max="14" width="13.28515625" customWidth="1"/>
    <col min="15" max="15" width="19" customWidth="1"/>
    <col min="16" max="16" width="20.85546875" customWidth="1"/>
    <col min="17" max="17" width="1" customWidth="1"/>
    <col min="18" max="18" width="23.42578125" customWidth="1"/>
    <col min="19" max="19" width="13.5703125" customWidth="1"/>
    <col min="20" max="20" width="20.85546875" customWidth="1"/>
    <col min="21" max="21" width="24.42578125" customWidth="1"/>
    <col min="22" max="22" width="1" customWidth="1"/>
    <col min="23" max="24" width="14.140625" customWidth="1"/>
    <col min="25" max="25" width="18.28515625" customWidth="1"/>
    <col min="26" max="26" width="23.5703125" customWidth="1"/>
    <col min="27" max="27" width="1" customWidth="1"/>
    <col min="28" max="29" width="15.5703125" customWidth="1"/>
    <col min="30" max="30" width="20.85546875" customWidth="1"/>
    <col min="31" max="31" width="29.7109375" customWidth="1"/>
    <col min="32" max="32" width="1" customWidth="1"/>
    <col min="33" max="33" width="15.5703125" customWidth="1"/>
    <col min="34" max="34" width="17.5703125" customWidth="1"/>
    <col min="35" max="35" width="21.140625" customWidth="1"/>
    <col min="36" max="36" width="28.85546875" customWidth="1"/>
    <col min="37" max="37" width="1" customWidth="1"/>
    <col min="38" max="39" width="15.140625" customWidth="1"/>
    <col min="40" max="40" width="18.85546875" customWidth="1"/>
    <col min="41" max="41" width="27.28515625" customWidth="1"/>
    <col min="42" max="42" width="3.28515625" customWidth="1"/>
  </cols>
  <sheetData>
    <row r="2" spans="2:42">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row>
    <row r="3" spans="2:42">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row>
    <row r="4" spans="2:42">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row>
    <row r="5" spans="2:42" ht="30" customHeight="1" thickBot="1">
      <c r="B5" s="14"/>
      <c r="C5" s="155"/>
      <c r="D5" s="376" t="s">
        <v>695</v>
      </c>
      <c r="E5" s="306"/>
      <c r="F5" s="306"/>
      <c r="G5" s="307"/>
      <c r="H5" s="14"/>
      <c r="I5" s="379" t="s">
        <v>706</v>
      </c>
      <c r="J5" s="306"/>
      <c r="K5" s="429" t="s">
        <v>707</v>
      </c>
      <c r="L5" s="380"/>
      <c r="M5" s="429" t="s">
        <v>708</v>
      </c>
      <c r="N5" s="429" t="s">
        <v>709</v>
      </c>
      <c r="O5" s="307"/>
      <c r="P5" s="14"/>
      <c r="Q5" s="14"/>
      <c r="R5" s="155"/>
      <c r="S5" s="306"/>
      <c r="T5" s="306"/>
      <c r="U5" s="306"/>
      <c r="V5" s="306"/>
      <c r="W5" s="306"/>
      <c r="X5" s="306"/>
      <c r="Y5" s="307"/>
      <c r="Z5" s="14"/>
      <c r="AA5" s="14"/>
      <c r="AB5" s="14"/>
      <c r="AC5" s="427" t="s">
        <v>691</v>
      </c>
      <c r="AD5" s="428"/>
      <c r="AE5" s="428"/>
      <c r="AF5" s="222"/>
      <c r="AG5" s="222"/>
      <c r="AH5" s="222"/>
      <c r="AI5" s="223"/>
      <c r="AJ5" s="14"/>
      <c r="AK5" s="14"/>
      <c r="AL5" s="14"/>
      <c r="AM5" s="14"/>
      <c r="AN5" s="14"/>
      <c r="AO5" s="14"/>
      <c r="AP5" s="14"/>
    </row>
    <row r="6" spans="2:42" ht="21" customHeight="1" thickTop="1" thickBot="1">
      <c r="B6" s="14"/>
      <c r="C6" s="216"/>
      <c r="D6" s="375" t="s">
        <v>0</v>
      </c>
      <c r="E6" s="154"/>
      <c r="F6" s="242" t="s">
        <v>508</v>
      </c>
      <c r="G6" s="156"/>
      <c r="H6" s="14"/>
      <c r="I6" s="308"/>
      <c r="J6" s="154"/>
      <c r="K6" s="430"/>
      <c r="L6" s="381"/>
      <c r="M6" s="432"/>
      <c r="N6" s="432"/>
      <c r="O6" s="156"/>
      <c r="P6" s="14"/>
      <c r="Q6" s="14"/>
      <c r="R6" s="308" t="s">
        <v>712</v>
      </c>
      <c r="S6" s="154"/>
      <c r="T6" s="154"/>
      <c r="U6" s="154"/>
      <c r="V6" s="154"/>
      <c r="W6" s="154"/>
      <c r="X6" s="154"/>
      <c r="Y6" s="156"/>
      <c r="Z6" s="14"/>
      <c r="AA6" s="14"/>
      <c r="AB6" s="14"/>
      <c r="AC6" s="348"/>
      <c r="AD6" s="352" t="s">
        <v>647</v>
      </c>
      <c r="AE6" s="353" t="s">
        <v>644</v>
      </c>
      <c r="AF6" s="154"/>
      <c r="AG6" s="434" t="s">
        <v>645</v>
      </c>
      <c r="AH6" s="436" t="s">
        <v>646</v>
      </c>
      <c r="AI6" s="156"/>
      <c r="AJ6" s="14"/>
      <c r="AK6" s="14"/>
      <c r="AL6" s="14"/>
      <c r="AM6" s="14"/>
      <c r="AN6" s="14"/>
      <c r="AO6" s="14"/>
      <c r="AP6" s="14"/>
    </row>
    <row r="7" spans="2:42" s="28" customFormat="1" ht="66.95" customHeight="1" thickTop="1" thickBot="1">
      <c r="B7" s="27"/>
      <c r="C7" s="309"/>
      <c r="D7" s="310"/>
      <c r="E7" s="310"/>
      <c r="F7" s="310"/>
      <c r="G7" s="311"/>
      <c r="H7" s="27"/>
      <c r="I7" s="215"/>
      <c r="J7" s="158"/>
      <c r="K7" s="431"/>
      <c r="L7" s="160"/>
      <c r="M7" s="431"/>
      <c r="N7" s="433"/>
      <c r="O7" s="159"/>
      <c r="P7" s="27"/>
      <c r="Q7" s="27"/>
      <c r="R7" s="215"/>
      <c r="S7" s="158" t="s">
        <v>4</v>
      </c>
      <c r="T7" s="158" t="s">
        <v>5</v>
      </c>
      <c r="U7" s="158" t="s">
        <v>6</v>
      </c>
      <c r="V7" s="158"/>
      <c r="W7" s="158" t="s">
        <v>7</v>
      </c>
      <c r="X7" s="158" t="s">
        <v>8</v>
      </c>
      <c r="Y7" s="159"/>
      <c r="Z7" s="27"/>
      <c r="AA7" s="27"/>
      <c r="AB7" s="27"/>
      <c r="AC7" s="216"/>
      <c r="AD7" s="354" t="s">
        <v>9</v>
      </c>
      <c r="AE7" s="355">
        <f t="shared" ref="AE7:AE13" si="0">K20</f>
        <v>2907283842.6187358</v>
      </c>
      <c r="AF7" s="158"/>
      <c r="AG7" s="435"/>
      <c r="AH7" s="437"/>
      <c r="AI7" s="159"/>
      <c r="AJ7" s="27"/>
      <c r="AK7" s="27"/>
      <c r="AL7" s="27"/>
      <c r="AM7" s="27"/>
      <c r="AN7" s="27"/>
      <c r="AO7" s="27"/>
      <c r="AP7" s="27"/>
    </row>
    <row r="8" spans="2:42" ht="16.5" thickTop="1" thickBot="1">
      <c r="B8" s="14"/>
      <c r="C8" s="14"/>
      <c r="D8" s="14"/>
      <c r="E8" s="14"/>
      <c r="F8" s="14"/>
      <c r="G8" s="14"/>
      <c r="H8" s="14"/>
      <c r="I8" s="216" t="s">
        <v>10</v>
      </c>
      <c r="J8" s="154"/>
      <c r="K8" s="243" t="s">
        <v>7</v>
      </c>
      <c r="L8" s="157"/>
      <c r="M8" s="382">
        <v>0.05</v>
      </c>
      <c r="N8" s="191">
        <f>IFERROR(VLOOKUP($K$8,'Aggregate UK performance'!$A$81:$G$87,2,0),"")</f>
        <v>9.5883837050486953</v>
      </c>
      <c r="O8" s="159"/>
      <c r="P8" s="14"/>
      <c r="Q8" s="14"/>
      <c r="R8" s="216"/>
      <c r="S8" s="154"/>
      <c r="T8" s="154"/>
      <c r="U8" s="154"/>
      <c r="V8" s="154"/>
      <c r="W8" s="154"/>
      <c r="X8" s="154"/>
      <c r="Y8" s="159"/>
      <c r="Z8" s="14"/>
      <c r="AA8" s="14"/>
      <c r="AB8" s="14"/>
      <c r="AC8" s="216"/>
      <c r="AD8" s="354" t="s">
        <v>11</v>
      </c>
      <c r="AE8" s="356">
        <f t="shared" si="0"/>
        <v>2238414464.012104</v>
      </c>
      <c r="AF8" s="154"/>
      <c r="AG8" s="359" t="s">
        <v>61</v>
      </c>
      <c r="AH8" s="360">
        <f>('1 - SA SP Orchards'!E124*'1 - SA SP Orchards'!E125)*(G21-G20)</f>
        <v>710172</v>
      </c>
      <c r="AI8" s="156"/>
      <c r="AJ8" s="14"/>
      <c r="AK8" s="14"/>
      <c r="AL8" s="14"/>
      <c r="AM8" s="14"/>
      <c r="AN8" s="14"/>
      <c r="AO8" s="14"/>
      <c r="AP8" s="14"/>
    </row>
    <row r="9" spans="2:42" ht="42.95" customHeight="1" thickTop="1" thickBot="1">
      <c r="B9" s="14"/>
      <c r="C9" s="14"/>
      <c r="D9" s="14"/>
      <c r="E9" s="14"/>
      <c r="F9" s="14"/>
      <c r="G9" s="14"/>
      <c r="H9" s="14"/>
      <c r="I9" s="216" t="s">
        <v>12</v>
      </c>
      <c r="J9" s="154"/>
      <c r="K9" s="243" t="s">
        <v>11</v>
      </c>
      <c r="L9" s="157"/>
      <c r="M9" s="382">
        <v>0</v>
      </c>
      <c r="N9" s="191">
        <f>IFERROR(VLOOKUP($K$9,'Aggregate UK performance'!$A$81:$G$87,3,0),"")</f>
        <v>-649.51656722887901</v>
      </c>
      <c r="O9" s="156"/>
      <c r="P9" s="14"/>
      <c r="Q9" s="14"/>
      <c r="R9" s="216" t="s">
        <v>209</v>
      </c>
      <c r="S9" s="244" t="s">
        <v>13</v>
      </c>
      <c r="T9" s="342" t="s">
        <v>13</v>
      </c>
      <c r="U9" s="342" t="s">
        <v>13</v>
      </c>
      <c r="V9" s="438" t="s">
        <v>13</v>
      </c>
      <c r="W9" s="438"/>
      <c r="X9" s="342" t="s">
        <v>13</v>
      </c>
      <c r="Y9" s="159"/>
      <c r="Z9" s="14"/>
      <c r="AA9" s="14"/>
      <c r="AB9" s="14"/>
      <c r="AC9" s="216"/>
      <c r="AD9" s="354" t="s">
        <v>5</v>
      </c>
      <c r="AE9" s="356">
        <f t="shared" si="0"/>
        <v>2822221438.8704996</v>
      </c>
      <c r="AF9" s="154"/>
      <c r="AG9" s="361">
        <f>('2 - SA SP Timber Production'!$E$75/25)*(G22-G20)</f>
        <v>3937193.568</v>
      </c>
      <c r="AH9" s="360">
        <f>('2 - SA SP Timber Production'!E118*'2 - SA SP Timber Production'!E119)*(G22-G20)</f>
        <v>1269787.5359999998</v>
      </c>
      <c r="AI9" s="156"/>
      <c r="AJ9" s="14"/>
      <c r="AK9" s="14"/>
      <c r="AL9" s="14"/>
      <c r="AM9" s="14"/>
      <c r="AN9" s="14"/>
      <c r="AO9" s="14"/>
      <c r="AP9" s="14"/>
    </row>
    <row r="10" spans="2:42" ht="15.95" customHeight="1" thickTop="1" thickBot="1">
      <c r="B10" s="14"/>
      <c r="C10" s="14"/>
      <c r="D10" s="14"/>
      <c r="E10" s="14"/>
      <c r="F10" s="14"/>
      <c r="G10" s="14"/>
      <c r="H10" s="14"/>
      <c r="I10" s="216" t="s">
        <v>14</v>
      </c>
      <c r="J10" s="154"/>
      <c r="K10" s="243" t="s">
        <v>11</v>
      </c>
      <c r="L10" s="157"/>
      <c r="M10" s="382">
        <v>0</v>
      </c>
      <c r="N10" s="191">
        <f>IFERROR(VLOOKUP($K$10,'Aggregate UK performance'!$A$81:$G$87,4,0),"")</f>
        <v>-2146.4621076948497</v>
      </c>
      <c r="O10" s="156"/>
      <c r="P10" s="14"/>
      <c r="Q10" s="14"/>
      <c r="R10" s="216"/>
      <c r="S10" s="182"/>
      <c r="T10" s="182"/>
      <c r="U10" s="182"/>
      <c r="V10" s="182"/>
      <c r="W10" s="182"/>
      <c r="X10" s="182"/>
      <c r="Y10" s="159"/>
      <c r="Z10" s="14"/>
      <c r="AA10" s="14"/>
      <c r="AB10" s="14"/>
      <c r="AC10" s="216"/>
      <c r="AD10" s="354" t="s">
        <v>6</v>
      </c>
      <c r="AE10" s="356">
        <f t="shared" si="0"/>
        <v>2828468791.5974784</v>
      </c>
      <c r="AF10" s="154"/>
      <c r="AG10" s="359" t="s">
        <v>61</v>
      </c>
      <c r="AH10" s="360">
        <f>('3 - Silvopastoral'!E94*'3 - Silvopastoral'!E95)*(G23-G20)</f>
        <v>443857.5</v>
      </c>
      <c r="AI10" s="156"/>
      <c r="AJ10" s="14"/>
      <c r="AK10" s="14"/>
      <c r="AL10" s="14"/>
      <c r="AM10" s="14"/>
      <c r="AN10" s="14"/>
      <c r="AO10" s="14"/>
      <c r="AP10" s="14"/>
    </row>
    <row r="11" spans="2:42" ht="19.5" thickTop="1" thickBot="1">
      <c r="B11" s="14"/>
      <c r="C11" s="14"/>
      <c r="D11" s="14"/>
      <c r="E11" s="14"/>
      <c r="F11" s="14"/>
      <c r="G11" s="14"/>
      <c r="H11" s="14"/>
      <c r="I11" s="216" t="s">
        <v>15</v>
      </c>
      <c r="J11" s="154"/>
      <c r="K11" s="243" t="s">
        <v>11</v>
      </c>
      <c r="L11" s="157"/>
      <c r="M11" s="382">
        <v>0</v>
      </c>
      <c r="N11" s="191">
        <f>IFERROR(VLOOKUP($K$11,'Aggregate UK performance'!$A$81:$G$87,5,0),"")</f>
        <v>-989.57300387543978</v>
      </c>
      <c r="O11" s="156"/>
      <c r="P11" s="14"/>
      <c r="Q11" s="14"/>
      <c r="R11" s="216" t="s">
        <v>714</v>
      </c>
      <c r="S11" s="245">
        <v>0</v>
      </c>
      <c r="T11" s="343">
        <v>0</v>
      </c>
      <c r="U11" s="343">
        <v>0</v>
      </c>
      <c r="V11" s="439">
        <v>0</v>
      </c>
      <c r="W11" s="439"/>
      <c r="X11" s="343">
        <v>0</v>
      </c>
      <c r="Y11" s="159"/>
      <c r="Z11" s="14"/>
      <c r="AA11" s="14"/>
      <c r="AB11" s="14"/>
      <c r="AC11" s="216"/>
      <c r="AD11" s="354" t="s">
        <v>7</v>
      </c>
      <c r="AE11" s="356">
        <f t="shared" si="0"/>
        <v>2904398991.9913492</v>
      </c>
      <c r="AF11" s="154"/>
      <c r="AG11" s="359" t="s">
        <v>61</v>
      </c>
      <c r="AH11" s="360">
        <f>('4 - Shelterbelts'!E132*'4 - Shelterbelts'!E133+'4 - Shelterbelts'!E139*'4 - Shelterbelts'!E140)*(G24-G20)</f>
        <v>618737.3550000001</v>
      </c>
      <c r="AI11" s="156"/>
      <c r="AJ11" s="14"/>
      <c r="AK11" s="14"/>
      <c r="AL11" s="14"/>
      <c r="AM11" s="14"/>
      <c r="AN11" s="14"/>
      <c r="AO11" s="14"/>
      <c r="AP11" s="14"/>
    </row>
    <row r="12" spans="2:42" ht="31.5" thickTop="1" thickBot="1">
      <c r="B12" s="14"/>
      <c r="C12" s="14"/>
      <c r="D12" s="14"/>
      <c r="E12" s="14"/>
      <c r="F12" s="14"/>
      <c r="G12" s="14"/>
      <c r="H12" s="14"/>
      <c r="I12" s="216" t="s">
        <v>16</v>
      </c>
      <c r="J12" s="154"/>
      <c r="K12" s="243" t="s">
        <v>11</v>
      </c>
      <c r="L12" s="157"/>
      <c r="M12" s="382">
        <v>0</v>
      </c>
      <c r="N12" s="191">
        <f>IFERROR(VLOOKUP($K$12,'Aggregate UK performance'!$A$81:$G$87,6,0),"")</f>
        <v>-370.02043331537271</v>
      </c>
      <c r="O12" s="156"/>
      <c r="P12" s="14"/>
      <c r="Q12" s="14"/>
      <c r="R12" s="216"/>
      <c r="S12" s="182"/>
      <c r="T12" s="182"/>
      <c r="U12" s="182"/>
      <c r="V12" s="182"/>
      <c r="W12" s="182"/>
      <c r="X12" s="182"/>
      <c r="Y12" s="159"/>
      <c r="Z12" s="14"/>
      <c r="AA12" s="14"/>
      <c r="AB12" s="14"/>
      <c r="AC12" s="216"/>
      <c r="AD12" s="354" t="s">
        <v>17</v>
      </c>
      <c r="AE12" s="356">
        <f t="shared" si="0"/>
        <v>2427909070.5050025</v>
      </c>
      <c r="AF12" s="154"/>
      <c r="AG12" s="361">
        <f>'5 - Farm woodland'!E78*(G25-G20)</f>
        <v>13315725</v>
      </c>
      <c r="AH12" s="360">
        <f>('5 - Farm woodland'!E137*'5 - Farm woodland'!E138)*(G25-G20)</f>
        <v>15872344.199999999</v>
      </c>
      <c r="AI12" s="156"/>
      <c r="AJ12" s="14"/>
      <c r="AK12" s="14"/>
      <c r="AL12" s="14"/>
      <c r="AM12" s="14"/>
      <c r="AN12" s="14"/>
      <c r="AO12" s="14"/>
      <c r="AP12" s="14"/>
    </row>
    <row r="13" spans="2:42" ht="79.5" customHeight="1" thickTop="1" thickBot="1">
      <c r="B13" s="14"/>
      <c r="C13" s="14"/>
      <c r="D13" s="14"/>
      <c r="E13" s="14"/>
      <c r="F13" s="14"/>
      <c r="G13" s="14"/>
      <c r="H13" s="14"/>
      <c r="I13" s="216" t="s">
        <v>18</v>
      </c>
      <c r="J13" s="154"/>
      <c r="K13" s="243" t="s">
        <v>11</v>
      </c>
      <c r="L13" s="157"/>
      <c r="M13" s="382">
        <v>0</v>
      </c>
      <c r="N13" s="191">
        <f>IFERROR(VLOOKUP($K$13,'Aggregate UK performance'!$A$81:$G$87,7,0),"")</f>
        <v>3826.3924538452252</v>
      </c>
      <c r="O13" s="156"/>
      <c r="P13" s="14"/>
      <c r="Q13" s="14"/>
      <c r="R13" s="215" t="s">
        <v>19</v>
      </c>
      <c r="S13" s="246" t="s">
        <v>20</v>
      </c>
      <c r="T13" s="246" t="s">
        <v>20</v>
      </c>
      <c r="U13" s="246" t="s">
        <v>20</v>
      </c>
      <c r="V13" s="440" t="s">
        <v>20</v>
      </c>
      <c r="W13" s="441"/>
      <c r="X13" s="246" t="s">
        <v>20</v>
      </c>
      <c r="Y13" s="159"/>
      <c r="Z13" s="14"/>
      <c r="AA13" s="14"/>
      <c r="AB13" s="14"/>
      <c r="AC13" s="216"/>
      <c r="AD13" s="354" t="s">
        <v>21</v>
      </c>
      <c r="AE13" s="356">
        <f t="shared" si="0"/>
        <v>2221539360.5556393</v>
      </c>
      <c r="AF13" s="154"/>
      <c r="AG13" s="361">
        <f>'5 - Farm woodland'!$E$69*(G26-G20)</f>
        <v>5326290</v>
      </c>
      <c r="AH13" s="360">
        <f>('5 - Farm woodland'!E144*'5 - Farm woodland'!E145)*(G26-G20)</f>
        <v>8877150</v>
      </c>
      <c r="AI13" s="156"/>
      <c r="AJ13" s="14"/>
      <c r="AK13" s="14"/>
      <c r="AL13" s="14"/>
      <c r="AM13" s="14"/>
      <c r="AN13" s="14"/>
      <c r="AO13" s="14"/>
      <c r="AP13" s="14"/>
    </row>
    <row r="14" spans="2:42" ht="16.5" thickTop="1" thickBot="1">
      <c r="B14" s="14"/>
      <c r="C14" s="14"/>
      <c r="D14" s="14"/>
      <c r="E14" s="14"/>
      <c r="F14" s="14"/>
      <c r="G14" s="14"/>
      <c r="H14" s="14"/>
      <c r="I14" s="217"/>
      <c r="J14" s="218"/>
      <c r="K14" s="218"/>
      <c r="L14" s="312"/>
      <c r="M14" s="218"/>
      <c r="N14" s="218"/>
      <c r="O14" s="219"/>
      <c r="P14" s="14"/>
      <c r="Q14" s="14"/>
      <c r="R14" s="217"/>
      <c r="S14" s="218"/>
      <c r="T14" s="218"/>
      <c r="U14" s="218"/>
      <c r="V14" s="218"/>
      <c r="W14" s="218"/>
      <c r="X14" s="218"/>
      <c r="Y14" s="219"/>
      <c r="Z14" s="14"/>
      <c r="AA14" s="14"/>
      <c r="AB14" s="14"/>
      <c r="AC14" s="216"/>
      <c r="AD14" s="357" t="s">
        <v>22</v>
      </c>
      <c r="AE14" s="358">
        <f>K28</f>
        <v>2908783656.889914</v>
      </c>
      <c r="AF14" s="154"/>
      <c r="AG14" s="362">
        <f>IFERROR(VLOOKUP($K$8,'6 - Lists'!D113:V118,3,0),0)+IFERROR(VLOOKUP($K$9,'6 - Lists'!D113:V118,6,0),0)+IFERROR(VLOOKUP($K$10,'6 - Lists'!D113:V118,9,0),0)+IFERROR(VLOOKUP($K$11,'6 - Lists'!D113:V118,12,0),0)+IFERROR(VLOOKUP($K$12,'6 - Lists'!D113:V118,15,0),0)+IFERROR(VLOOKUP($K$13,'6 - Lists'!D113:V118,18,0),0)</f>
        <v>0</v>
      </c>
      <c r="AH14" s="363">
        <f>IFERROR(VLOOKUP($K$8,'6 - Lists'!D113:V118,4,0),0)+IFERROR(VLOOKUP($K$9,'6 - Lists'!D113:V118,7,0),0)+IFERROR(VLOOKUP($K$10,'6 - Lists'!D113:V118,10,0),0)+IFERROR(VLOOKUP($K$11,'6 - Lists'!D113:V118,13,0),0)+IFERROR(VLOOKUP($K$12,'6 - Lists'!D113:V118,16,0),0)+IFERROR(VLOOKUP($K$13,'6 - Lists'!D113:V118,19,0),0)</f>
        <v>218049.37707289486</v>
      </c>
      <c r="AI14" s="156"/>
      <c r="AJ14" s="14"/>
      <c r="AK14" s="14"/>
      <c r="AL14" s="14"/>
      <c r="AM14" s="14"/>
      <c r="AN14" s="14"/>
      <c r="AO14" s="14"/>
      <c r="AP14" s="14"/>
    </row>
    <row r="15" spans="2:42">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217"/>
      <c r="AD15" s="218"/>
      <c r="AE15" s="218"/>
      <c r="AF15" s="218"/>
      <c r="AG15" s="218"/>
      <c r="AH15" s="218"/>
      <c r="AI15" s="219"/>
      <c r="AJ15" s="14"/>
      <c r="AK15" s="14"/>
      <c r="AL15" s="14"/>
      <c r="AM15" s="14"/>
      <c r="AN15" s="14"/>
      <c r="AO15" s="14"/>
      <c r="AP15" s="14"/>
    </row>
    <row r="16" spans="2:42" s="20" customFormat="1" ht="12.75">
      <c r="B16" s="37"/>
      <c r="C16" s="39"/>
      <c r="D16" s="37"/>
      <c r="E16" s="3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row>
    <row r="17" spans="2:42" s="20" customFormat="1" ht="29.45" customHeight="1">
      <c r="B17" s="37"/>
      <c r="C17" s="392" t="s">
        <v>683</v>
      </c>
      <c r="D17" s="392"/>
      <c r="E17" s="392"/>
      <c r="F17" s="393" t="s">
        <v>23</v>
      </c>
      <c r="G17" s="394"/>
      <c r="H17" s="394"/>
      <c r="I17" s="394"/>
      <c r="J17" s="394"/>
      <c r="K17" s="394"/>
      <c r="L17" s="394"/>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5"/>
      <c r="AP17" s="37"/>
    </row>
    <row r="18" spans="2:42" s="20" customFormat="1" ht="39.6" customHeight="1">
      <c r="B18" s="37"/>
      <c r="C18" s="392"/>
      <c r="D18" s="392"/>
      <c r="E18" s="392"/>
      <c r="F18" s="392" t="s">
        <v>24</v>
      </c>
      <c r="G18" s="392"/>
      <c r="H18" s="392"/>
      <c r="I18" s="392"/>
      <c r="J18" s="392"/>
      <c r="K18" s="392"/>
      <c r="L18" s="35"/>
      <c r="M18" s="392" t="s">
        <v>25</v>
      </c>
      <c r="N18" s="392"/>
      <c r="O18" s="392"/>
      <c r="P18" s="392"/>
      <c r="Q18" s="35"/>
      <c r="R18" s="392" t="s">
        <v>26</v>
      </c>
      <c r="S18" s="392"/>
      <c r="T18" s="392"/>
      <c r="U18" s="392"/>
      <c r="V18" s="35"/>
      <c r="W18" s="392" t="s">
        <v>27</v>
      </c>
      <c r="X18" s="392"/>
      <c r="Y18" s="392"/>
      <c r="Z18" s="392"/>
      <c r="AA18" s="35"/>
      <c r="AB18" s="393" t="s">
        <v>28</v>
      </c>
      <c r="AC18" s="394"/>
      <c r="AD18" s="394"/>
      <c r="AE18" s="395"/>
      <c r="AF18" s="35"/>
      <c r="AG18" s="393" t="s">
        <v>29</v>
      </c>
      <c r="AH18" s="394"/>
      <c r="AI18" s="394"/>
      <c r="AJ18" s="395"/>
      <c r="AK18" s="35"/>
      <c r="AL18" s="392" t="s">
        <v>30</v>
      </c>
      <c r="AM18" s="392"/>
      <c r="AN18" s="392"/>
      <c r="AO18" s="392"/>
      <c r="AP18" s="37"/>
    </row>
    <row r="19" spans="2:42" s="21" customFormat="1" ht="57.6" customHeight="1">
      <c r="B19" s="38"/>
      <c r="C19" s="392"/>
      <c r="D19" s="392"/>
      <c r="E19" s="392"/>
      <c r="F19" s="34" t="s">
        <v>676</v>
      </c>
      <c r="G19" s="34" t="s">
        <v>713</v>
      </c>
      <c r="H19" s="396" t="s">
        <v>669</v>
      </c>
      <c r="I19" s="396"/>
      <c r="J19" s="396"/>
      <c r="K19" s="33" t="s">
        <v>644</v>
      </c>
      <c r="L19" s="36"/>
      <c r="M19" s="34" t="s">
        <v>677</v>
      </c>
      <c r="N19" s="345" t="s">
        <v>713</v>
      </c>
      <c r="O19" s="34" t="s">
        <v>675</v>
      </c>
      <c r="P19" s="344" t="s">
        <v>644</v>
      </c>
      <c r="Q19" s="36"/>
      <c r="R19" s="34" t="s">
        <v>678</v>
      </c>
      <c r="S19" s="345" t="s">
        <v>713</v>
      </c>
      <c r="T19" s="345" t="s">
        <v>674</v>
      </c>
      <c r="U19" s="344" t="s">
        <v>644</v>
      </c>
      <c r="V19" s="36"/>
      <c r="W19" s="34" t="s">
        <v>679</v>
      </c>
      <c r="X19" s="345" t="s">
        <v>713</v>
      </c>
      <c r="Y19" s="345" t="s">
        <v>673</v>
      </c>
      <c r="Z19" s="344" t="s">
        <v>644</v>
      </c>
      <c r="AA19" s="36"/>
      <c r="AB19" s="34" t="s">
        <v>680</v>
      </c>
      <c r="AC19" s="345" t="s">
        <v>713</v>
      </c>
      <c r="AD19" s="345" t="s">
        <v>672</v>
      </c>
      <c r="AE19" s="344" t="s">
        <v>644</v>
      </c>
      <c r="AF19" s="36"/>
      <c r="AG19" s="34" t="s">
        <v>681</v>
      </c>
      <c r="AH19" s="345" t="s">
        <v>713</v>
      </c>
      <c r="AI19" s="345" t="s">
        <v>671</v>
      </c>
      <c r="AJ19" s="344" t="s">
        <v>644</v>
      </c>
      <c r="AK19" s="36"/>
      <c r="AL19" s="34" t="s">
        <v>682</v>
      </c>
      <c r="AM19" s="345" t="s">
        <v>713</v>
      </c>
      <c r="AN19" s="345" t="s">
        <v>670</v>
      </c>
      <c r="AO19" s="33" t="s">
        <v>644</v>
      </c>
      <c r="AP19" s="38"/>
    </row>
    <row r="20" spans="2:42" s="21" customFormat="1" ht="35.1" customHeight="1">
      <c r="B20" s="38"/>
      <c r="C20" s="31">
        <v>0</v>
      </c>
      <c r="D20" s="32" t="s">
        <v>9</v>
      </c>
      <c r="E20" s="32"/>
      <c r="F20" s="213">
        <f>IFERROR(VLOOKUP($F$6,'6 - Lists'!$D$25:$AE$29,2,0),"")</f>
        <v>13048084.298340347</v>
      </c>
      <c r="G20" s="213">
        <f>IFERROR(VLOOKUP($F$6,'6 - Lists'!$D$91:$Y$95,3,0),"")</f>
        <v>887715</v>
      </c>
      <c r="H20" s="397"/>
      <c r="I20" s="397"/>
      <c r="J20" s="397"/>
      <c r="K20" s="188">
        <f>SUM(P20,U20,Z20,AE20,AJ20,AO20)</f>
        <v>2907283842.6187358</v>
      </c>
      <c r="L20" s="192"/>
      <c r="M20" s="193">
        <f>IFERROR(VLOOKUP($F$6,'6 - Lists'!$D$25:$AE$29,5,0),"")</f>
        <v>3128398.5232839999</v>
      </c>
      <c r="N20" s="193">
        <f>IFERROR(VLOOKUP($F$6,'6 - Lists'!$D$91:$Y$95,7,0),"")</f>
        <v>159333.53804802863</v>
      </c>
      <c r="O20" s="30">
        <f t="shared" ref="O20:O27" si="1">(N20-N$20)/M20</f>
        <v>0</v>
      </c>
      <c r="P20" s="188">
        <f>IFERROR(VLOOKUP($F$6,'6 - Lists'!$D$25:$AE$29,8,0),"")</f>
        <v>1094089229.7501626</v>
      </c>
      <c r="Q20" s="192"/>
      <c r="R20" s="193">
        <f>IFERROR(VLOOKUP($F$6,'6 - Lists'!$D$25:$AE$29,9,0),"")</f>
        <v>70010.814225999886</v>
      </c>
      <c r="S20" s="193">
        <f>IFERROR(VLOOKUP($F$6,'6 - Lists'!$D$91:$Y$95,10,0),"")</f>
        <v>4362</v>
      </c>
      <c r="T20" s="30">
        <f>(S20-S$20)/R20</f>
        <v>0</v>
      </c>
      <c r="U20" s="188">
        <f>IFERROR(VLOOKUP($F$6,'6 - Lists'!$D$25:$AE$29,12,0),"")</f>
        <v>141382277.57780161</v>
      </c>
      <c r="V20" s="192"/>
      <c r="W20" s="193">
        <f>IFERROR(VLOOKUP($F$6,'6 - Lists'!$D$25:$AE$29,13,0),"")</f>
        <v>1418635.7381603494</v>
      </c>
      <c r="X20" s="193">
        <f>IFERROR(VLOOKUP($F$6,'6 - Lists'!$D$91:$Y$95,13,0),"")</f>
        <v>53743.102270705065</v>
      </c>
      <c r="Y20" s="30">
        <f>(X20-X$20)/W20</f>
        <v>0</v>
      </c>
      <c r="Z20" s="188">
        <f>IFERROR(VLOOKUP($F$6,'6 - Lists'!$D$25:$AE$29,16,0),"")</f>
        <v>665682430.79793739</v>
      </c>
      <c r="AA20" s="192"/>
      <c r="AB20" s="193">
        <f>IFERROR(VLOOKUP($F$6,'6 - Lists'!$D$25:$AE$29,17,0),"")</f>
        <v>5749113.4649529997</v>
      </c>
      <c r="AC20" s="193">
        <f>IFERROR(VLOOKUP($F$6,'6 - Lists'!$D$91:$Y$95,16,0),"")</f>
        <v>473431.47203608352</v>
      </c>
      <c r="AD20" s="30">
        <f t="shared" ref="AD20:AD26" si="2">(AC20-AC$20)/AB20</f>
        <v>0</v>
      </c>
      <c r="AE20" s="188">
        <f>IFERROR(VLOOKUP($F$6,'6 - Lists'!$D$25:$AE$29,20,0),"")</f>
        <v>675097470.80527091</v>
      </c>
      <c r="AF20" s="192"/>
      <c r="AG20" s="193">
        <f>IFERROR(VLOOKUP($F$6,'6 - Lists'!$D$25:$AE$29,21,0),"")</f>
        <v>2579792.4111229982</v>
      </c>
      <c r="AH20" s="193">
        <f>IFERROR(VLOOKUP($F$6,'6 - Lists'!$D$91:$Y$95,19,0),"")</f>
        <v>189545.88764518281</v>
      </c>
      <c r="AI20" s="30">
        <f t="shared" ref="AI20:AI26" si="3">(AH20-AH$20)/AG20</f>
        <v>0</v>
      </c>
      <c r="AJ20" s="188">
        <f>IFERROR(VLOOKUP($F$6,'6 - Lists'!$D$25:$AE$29,24,0),"")</f>
        <v>213738176.92406452</v>
      </c>
      <c r="AK20" s="192"/>
      <c r="AL20" s="193">
        <f>IFERROR(VLOOKUP($F$6,'6 - Lists'!$D$25:$AE$29,25,0),"")</f>
        <v>102133.34659399996</v>
      </c>
      <c r="AM20" s="193">
        <f>IFERROR(VLOOKUP($F$6,'6 - Lists'!$D$91:$Y$95,22,0),"")</f>
        <v>7299</v>
      </c>
      <c r="AN20" s="30">
        <f>(AM20-AM$20)/AL20</f>
        <v>0</v>
      </c>
      <c r="AO20" s="188">
        <f>IFERROR(VLOOKUP($F$6,'6 - Lists'!$D$25:$AE$29,28,0),"")</f>
        <v>117294256.76349877</v>
      </c>
      <c r="AP20" s="38"/>
    </row>
    <row r="21" spans="2:42" s="20" customFormat="1" ht="44.1" customHeight="1">
      <c r="B21" s="37"/>
      <c r="C21" s="31">
        <v>1</v>
      </c>
      <c r="D21" s="32" t="s">
        <v>31</v>
      </c>
      <c r="E21" s="32"/>
      <c r="F21" s="213">
        <f>IFERROR(VLOOKUP($F$6,'6 - Lists'!$D$25:$AE$29,2,0),"")</f>
        <v>13048084.298340347</v>
      </c>
      <c r="G21" s="214">
        <f>G$20+G$20*H21</f>
        <v>1775430</v>
      </c>
      <c r="H21" s="398">
        <v>1</v>
      </c>
      <c r="I21" s="398"/>
      <c r="J21" s="398"/>
      <c r="K21" s="189">
        <f t="shared" ref="K21:K27" si="4">SUM(P21,U21,Z21,AE21,AJ21,AO21)</f>
        <v>2238414464.012104</v>
      </c>
      <c r="L21" s="186"/>
      <c r="M21" s="193">
        <f>IFERROR(VLOOKUP($F$6,'6 - Lists'!$D$25:$AE$29,5,0),"")</f>
        <v>3128398.5232839999</v>
      </c>
      <c r="N21" s="193">
        <f>(M21/$F21)*($G21-$G$20)+N$20</f>
        <v>372171.39467118774</v>
      </c>
      <c r="O21" s="143">
        <f t="shared" si="1"/>
        <v>6.8034125140723781E-2</v>
      </c>
      <c r="P21" s="189">
        <f>IF(F6="United Kingdom",'Aggregate UK performance'!G5,IF(P20=0,0,$M$20*O21*'1 - SA SP Orchards'!F66+'Overview and dashboard'!$P$20))</f>
        <v>1060894125.0237994</v>
      </c>
      <c r="Q21" s="186"/>
      <c r="R21" s="193">
        <f>IFERROR(VLOOKUP($F$6,'6 - Lists'!$D$25:$AE$29,9,0),"")</f>
        <v>70010.814225999886</v>
      </c>
      <c r="S21" s="193">
        <f>(R21/$F21)*($G21-$G$20)+S$20</f>
        <v>9125.1244962556393</v>
      </c>
      <c r="T21" s="143">
        <f>(S21-S$20)/R21</f>
        <v>6.8034125140723753E-2</v>
      </c>
      <c r="U21" s="189">
        <f>IF(F6="United Kingdom",'Aggregate UK performance'!M5,IF(U20=0,0,$R$20*T21*'1 - SA SP Orchards'!I66+'Overview and dashboard'!$U$20))</f>
        <v>138288549.30570987</v>
      </c>
      <c r="V21" s="186"/>
      <c r="W21" s="193">
        <f>IFERROR(VLOOKUP($F$6,'6 - Lists'!$D$25:$AE$29,13,0),"")</f>
        <v>1418635.7381603494</v>
      </c>
      <c r="X21" s="193">
        <f>(W21/$F21)*($G21-$G$20)+X$20</f>
        <v>150258.74360980932</v>
      </c>
      <c r="Y21" s="143">
        <f>(X21-X$20)/W21</f>
        <v>6.8034125140723767E-2</v>
      </c>
      <c r="Z21" s="189">
        <f>IF(F6="United Kingdom",'Aggregate UK performance'!S5,IF(Z20=0,0,W20*Y21*'1 - SA SP Orchards'!L66+'Overview and dashboard'!Z20))</f>
        <v>458515263.86368352</v>
      </c>
      <c r="AA21" s="186"/>
      <c r="AB21" s="193">
        <f>IFERROR(VLOOKUP($F$6,'6 - Lists'!$D$25:$AE$29,17,0),"")</f>
        <v>5749113.4649529997</v>
      </c>
      <c r="AC21" s="193">
        <f>(AB21/$F21)*($G21-$G$20)+AC$20</f>
        <v>864567.37695891596</v>
      </c>
      <c r="AD21" s="143">
        <f t="shared" si="2"/>
        <v>6.8034125140723767E-2</v>
      </c>
      <c r="AE21" s="189">
        <f>IF(F6="United Kingdom",'Aggregate UK performance'!Y5,IF(AE20=0,0,AB20*AD21*'1 - SA SP Orchards'!O66+'Overview and dashboard'!AE20))</f>
        <v>288039938.44724524</v>
      </c>
      <c r="AF21" s="186"/>
      <c r="AG21" s="193">
        <f>IFERROR(VLOOKUP($F$6,'6 - Lists'!$D$25:$AE$29,21,0),"")</f>
        <v>2579792.4111229982</v>
      </c>
      <c r="AH21" s="193">
        <f>(AG21/$F21)*($G21-$G$20)+AH$20</f>
        <v>365059.80738061434</v>
      </c>
      <c r="AI21" s="143">
        <f t="shared" si="3"/>
        <v>6.8034125140723753E-2</v>
      </c>
      <c r="AJ21" s="189">
        <f>IF(F6="United Kingdom",'Aggregate UK performance'!AE5,IF(AJ20=0,0,AG20*AI21*'1 - SA SP Orchards'!R66+'Overview and dashboard'!AJ20))</f>
        <v>148794440.29068059</v>
      </c>
      <c r="AK21" s="186"/>
      <c r="AL21" s="193">
        <f>IFERROR(VLOOKUP($F$6,'6 - Lists'!$D$25:$AE$29,25,0),"")</f>
        <v>102133.34659399996</v>
      </c>
      <c r="AM21" s="193">
        <f>(AL21/$F21)*($G21-$G$20)+AM$20</f>
        <v>14247.552883217108</v>
      </c>
      <c r="AN21" s="143">
        <f>(AM21-AM$20)/AL21</f>
        <v>6.8034125140723781E-2</v>
      </c>
      <c r="AO21" s="189">
        <f>IF(F6="United Kingdom",'Aggregate UK performance'!AK5,IF(AO20=0,0,AL20*AN21*'1 - SA SP Orchards'!U66+'Overview and dashboard'!AO20))</f>
        <v>143882147.08098519</v>
      </c>
      <c r="AP21" s="37"/>
    </row>
    <row r="22" spans="2:42" s="20" customFormat="1" ht="54" customHeight="1">
      <c r="B22" s="37"/>
      <c r="C22" s="31">
        <v>2</v>
      </c>
      <c r="D22" s="32" t="s">
        <v>32</v>
      </c>
      <c r="E22" s="32"/>
      <c r="F22" s="213">
        <f>IFERROR(VLOOKUP($F$6,'6 - Lists'!$D$25:$AE$29,2,0),"")</f>
        <v>13048084.298340347</v>
      </c>
      <c r="G22" s="214">
        <f t="shared" ref="G22:G26" si="5">G$20+G$20*H22</f>
        <v>1775430</v>
      </c>
      <c r="H22" s="398">
        <v>1</v>
      </c>
      <c r="I22" s="398"/>
      <c r="J22" s="398"/>
      <c r="K22" s="189">
        <f t="shared" si="4"/>
        <v>2822221438.8704996</v>
      </c>
      <c r="L22" s="186"/>
      <c r="M22" s="193">
        <f>IFERROR(VLOOKUP($F$6,'6 - Lists'!$D$25:$AE$29,5,0),"")</f>
        <v>3128398.5232839999</v>
      </c>
      <c r="N22" s="193">
        <f t="shared" ref="N22" si="6">(M22/$F22)*($G22-$G$20)+N$20</f>
        <v>372171.39467118774</v>
      </c>
      <c r="O22" s="143">
        <f t="shared" si="1"/>
        <v>6.8034125140723781E-2</v>
      </c>
      <c r="P22" s="189">
        <f>IF(F6="United Kingdom",'Aggregate UK performance'!G6,IF(P20=0,0,M20*O22*'2 - SA SP Timber Production'!F62+P20))</f>
        <v>1056069718.5439053</v>
      </c>
      <c r="Q22" s="186"/>
      <c r="R22" s="193">
        <f>IFERROR(VLOOKUP($F$6,'6 - Lists'!$D$25:$AE$29,9,0),"")</f>
        <v>70010.814225999886</v>
      </c>
      <c r="S22" s="193">
        <f t="shared" ref="S22:S25" si="7">(R22/$F22)*($G22-$G$20)+S$20</f>
        <v>9125.1244962556393</v>
      </c>
      <c r="T22" s="143">
        <f>(S22-S$20)/R22</f>
        <v>6.8034125140723753E-2</v>
      </c>
      <c r="U22" s="189">
        <f>IF(F6="United Kingdom",'Aggregate UK performance'!M6,IF(U20=0,0,$R$20*T22*'2 - SA SP Timber Production'!I62+'Overview and dashboard'!$U$20))</f>
        <v>136721151.14229372</v>
      </c>
      <c r="V22" s="186"/>
      <c r="W22" s="193">
        <f>IFERROR(VLOOKUP($F$6,'6 - Lists'!$D$25:$AE$29,13,0),"")</f>
        <v>1418635.7381603494</v>
      </c>
      <c r="X22" s="193">
        <f t="shared" ref="X22:X26" si="8">(W22/$F22)*($G22-$G$20)+X$20</f>
        <v>150258.74360980932</v>
      </c>
      <c r="Y22" s="143">
        <f t="shared" ref="Y22:Y26" si="9">(X22-X$20)/W22</f>
        <v>6.8034125140723767E-2</v>
      </c>
      <c r="Z22" s="189">
        <f>IF(F6="United Kingdom",'Aggregate UK performance'!S6,IF(Z20=0,0,W20*Y22*'2 - SA SP Timber Production'!L62+Z20))</f>
        <v>670104085.57021415</v>
      </c>
      <c r="AA22" s="186"/>
      <c r="AB22" s="193">
        <f>IFERROR(VLOOKUP($F$6,'6 - Lists'!$D$25:$AE$29,17,0),"")</f>
        <v>5749113.4649529997</v>
      </c>
      <c r="AC22" s="193">
        <f t="shared" ref="AC22:AC26" si="10">(AB22/$F22)*($G22-$G$20)+AC$20</f>
        <v>864567.37695891596</v>
      </c>
      <c r="AD22" s="143">
        <f t="shared" si="2"/>
        <v>6.8034125140723767E-2</v>
      </c>
      <c r="AE22" s="189">
        <f>IF(F6="United Kingdom",'Aggregate UK performance'!Y6,IF(AE20=0,0,AB20*AD22*'2 - SA SP Timber Production'!O62+AE20))</f>
        <v>634597931.4680711</v>
      </c>
      <c r="AF22" s="186"/>
      <c r="AG22" s="193">
        <f>IFERROR(VLOOKUP($F$6,'6 - Lists'!$D$25:$AE$29,21,0),"")</f>
        <v>2579792.4111229982</v>
      </c>
      <c r="AH22" s="193">
        <f>(AG22/$F22)*($G22-$G$20)+AH$20</f>
        <v>365059.80738061434</v>
      </c>
      <c r="AI22" s="143">
        <f t="shared" si="3"/>
        <v>6.8034125140723753E-2</v>
      </c>
      <c r="AJ22" s="189">
        <f>IF(F6="United Kingdom",'Aggregate UK performance'!AE6,IF(AJ20=0,0,AG20*AI22*'2 - SA SP Timber Production'!R62+AJ20))</f>
        <v>204858911.33631036</v>
      </c>
      <c r="AK22" s="186"/>
      <c r="AL22" s="193">
        <f>IFERROR(VLOOKUP($F$6,'6 - Lists'!$D$25:$AE$29,25,0),"")</f>
        <v>102133.34659399996</v>
      </c>
      <c r="AM22" s="193">
        <f t="shared" ref="AM22:AM26" si="11">(AL22/$F22)*($G22-$G$20)+AM$20</f>
        <v>14247.552883217108</v>
      </c>
      <c r="AN22" s="143">
        <f t="shared" ref="AN22:AN26" si="12">(AM22-AM$20)/AL22</f>
        <v>6.8034125140723781E-2</v>
      </c>
      <c r="AO22" s="189">
        <f>IF(F6="United Kingdom",'Aggregate UK performance'!AK6,IF(AO20=0,0,AL20*AN22*'2 - SA SP Timber Production'!U62+AO20))</f>
        <v>119869640.80970538</v>
      </c>
      <c r="AP22" s="37"/>
    </row>
    <row r="23" spans="2:42" s="20" customFormat="1" ht="45" customHeight="1">
      <c r="B23" s="37"/>
      <c r="C23" s="31">
        <v>3</v>
      </c>
      <c r="D23" s="32" t="s">
        <v>6</v>
      </c>
      <c r="E23" s="32"/>
      <c r="F23" s="213">
        <f>IFERROR(VLOOKUP($F$6,'6 - Lists'!$D$25:$AE$29,2,0),"")</f>
        <v>13048084.298340347</v>
      </c>
      <c r="G23" s="214">
        <f>G$20+G$20*H23</f>
        <v>1775430</v>
      </c>
      <c r="H23" s="398">
        <v>1</v>
      </c>
      <c r="I23" s="398"/>
      <c r="J23" s="398"/>
      <c r="K23" s="189">
        <f>SUM(P23,U23,Z23,AE23,AJ23,AO23)</f>
        <v>2828468791.5974784</v>
      </c>
      <c r="L23" s="186"/>
      <c r="M23" s="193">
        <f>IFERROR(VLOOKUP($F$6,'6 - Lists'!$D$25:$AE$29,5,0),"")</f>
        <v>3128398.5232839999</v>
      </c>
      <c r="N23" s="193">
        <f>N$20</f>
        <v>159333.53804802863</v>
      </c>
      <c r="O23" s="143">
        <f t="shared" si="1"/>
        <v>0</v>
      </c>
      <c r="P23" s="189">
        <f>IF(F6="United Kingdom",'Aggregate UK performance'!G7,IF(P20=0,0,M20*O23*'3 - Silvopastoral'!F54+P20))</f>
        <v>1094089229.7501626</v>
      </c>
      <c r="Q23" s="186"/>
      <c r="R23" s="193">
        <f>IFERROR(VLOOKUP($F$6,'6 - Lists'!$D$25:$AE$29,9,0),"")</f>
        <v>70010.814225999886</v>
      </c>
      <c r="S23" s="193">
        <f>S$20</f>
        <v>4362</v>
      </c>
      <c r="T23" s="143">
        <f>(S23-S$20)/R23</f>
        <v>0</v>
      </c>
      <c r="U23" s="189">
        <f>IF(F6="United Kingdom",'Aggregate UK performance'!M7,IF(U20=0,0,$R$20*T23*'3 - Silvopastoral'!I54+'Overview and dashboard'!$U$20))</f>
        <v>141382277.57780161</v>
      </c>
      <c r="V23" s="186"/>
      <c r="W23" s="193">
        <f>IFERROR(VLOOKUP($F$6,'6 - Lists'!$D$25:$AE$29,13,0),"")</f>
        <v>1418635.7381603494</v>
      </c>
      <c r="X23" s="193">
        <f>(W23/($F23-M23-R20))*($G23-$G$20)+X$20</f>
        <v>181599.52690492969</v>
      </c>
      <c r="Y23" s="143">
        <f>(X23-X$20)/W23</f>
        <v>9.0126324323413401E-2</v>
      </c>
      <c r="Z23" s="189">
        <f>IF(F6="United Kingdom",'Aggregate UK performance'!S7,IF(Z20=0,0,W20*Y23*'3 - Silvopastoral'!L54+Z20))</f>
        <v>677459252.49167013</v>
      </c>
      <c r="AA23" s="186"/>
      <c r="AB23" s="193">
        <f>IFERROR(VLOOKUP($F$6,'6 - Lists'!$D$25:$AE$29,17,0),"")</f>
        <v>5749113.4649529997</v>
      </c>
      <c r="AC23" s="193">
        <f>(AB23/($F23-M23-R20))*($G23-$G$20)+AC$20</f>
        <v>991577.93675054051</v>
      </c>
      <c r="AD23" s="143">
        <f>(AC23-AC$20)/AB23</f>
        <v>9.0126324323413387E-2</v>
      </c>
      <c r="AE23" s="189">
        <f>IF(F6="United Kingdom",'Aggregate UK performance'!Y7,IF(AE20=0,0,AB20*AD23*'3 - Silvopastoral'!O54+AE20))</f>
        <v>596015413.97572517</v>
      </c>
      <c r="AF23" s="186"/>
      <c r="AG23" s="193">
        <f>IFERROR(VLOOKUP($F$6,'6 - Lists'!$D$25:$AE$29,21,0),"")</f>
        <v>2579792.4111229982</v>
      </c>
      <c r="AH23" s="193">
        <f>(AG23/($F23-M23-R20))*($G23-$G$20)+AH$20</f>
        <v>422053.09517713479</v>
      </c>
      <c r="AI23" s="143">
        <f t="shared" si="3"/>
        <v>9.0126324323413401E-2</v>
      </c>
      <c r="AJ23" s="189">
        <f>IF(F6="United Kingdom",'Aggregate UK performance'!AE7,IF(AJ20=0,0,AG20*AI23*'3 - Silvopastoral'!R54+AJ20))</f>
        <v>195185712.54135051</v>
      </c>
      <c r="AK23" s="186"/>
      <c r="AL23" s="193">
        <f>IFERROR(VLOOKUP($F$6,'6 - Lists'!$D$25:$AE$29,25,0),"")</f>
        <v>102133.34659399996</v>
      </c>
      <c r="AM23" s="193">
        <f>(AL23/($F23-M23-R20))*($G23-$G$20)+AM$20</f>
        <v>16503.903119366427</v>
      </c>
      <c r="AN23" s="143">
        <f t="shared" si="12"/>
        <v>9.0126324323413373E-2</v>
      </c>
      <c r="AO23" s="189">
        <f>IF(F6="United Kingdom",'Aggregate UK performance'!AK7,IF(AO20=0,0,AL20*AN23*'3 - Silvopastoral'!U54+AO20))</f>
        <v>124336905.26076831</v>
      </c>
      <c r="AP23" s="37"/>
    </row>
    <row r="24" spans="2:42" s="20" customFormat="1" ht="38.1" customHeight="1">
      <c r="B24" s="37"/>
      <c r="C24" s="31">
        <v>4</v>
      </c>
      <c r="D24" s="32" t="s">
        <v>33</v>
      </c>
      <c r="E24" s="32"/>
      <c r="F24" s="213">
        <f>IFERROR(VLOOKUP($F$6,'6 - Lists'!$D$25:$AE$29,2,0),"")</f>
        <v>13048084.298340347</v>
      </c>
      <c r="G24" s="214">
        <f>G$20+G$20*H24</f>
        <v>1331572.5</v>
      </c>
      <c r="H24" s="398">
        <v>0.5</v>
      </c>
      <c r="I24" s="398"/>
      <c r="J24" s="398"/>
      <c r="K24" s="189">
        <f t="shared" si="4"/>
        <v>2904398991.9913492</v>
      </c>
      <c r="L24" s="186"/>
      <c r="M24" s="193">
        <f>IFERROR(VLOOKUP($F$6,'6 - Lists'!$D$25:$AE$29,5,0),"")</f>
        <v>3128398.5232839999</v>
      </c>
      <c r="N24" s="193">
        <f>(M24/$F24)*($G24-$G$20)+N$20</f>
        <v>265752.46635960817</v>
      </c>
      <c r="O24" s="143">
        <f t="shared" si="1"/>
        <v>3.4017062570361883E-2</v>
      </c>
      <c r="P24" s="189">
        <f>IF(F6="United Kingdom",'Aggregate UK performance'!G8,IF(P20=0,0,M20*O24*'4 - Shelterbelts'!F68+P20))</f>
        <v>1095109615.2682941</v>
      </c>
      <c r="Q24" s="186"/>
      <c r="R24" s="193">
        <f>IFERROR(VLOOKUP($F$6,'6 - Lists'!$D$25:$AE$29,9,0),"")</f>
        <v>70010.814225999886</v>
      </c>
      <c r="S24" s="193">
        <f t="shared" si="7"/>
        <v>6743.5622481278197</v>
      </c>
      <c r="T24" s="143">
        <f t="shared" ref="T24:T25" si="13">(S24-S$20)/R24</f>
        <v>3.4017062570361876E-2</v>
      </c>
      <c r="U24" s="189">
        <f>IF(F6="United Kingdom",'Aggregate UK performance'!M8,IF(U20=0,0,$R$20*T24*'4 - Shelterbelts'!I68+'Overview and dashboard'!$U$20))</f>
        <v>142698498.821729</v>
      </c>
      <c r="V24" s="186"/>
      <c r="W24" s="193">
        <f>IFERROR(VLOOKUP($F$6,'6 - Lists'!$D$25:$AE$29,13,0),"")</f>
        <v>1418635.7381603494</v>
      </c>
      <c r="X24" s="193">
        <f t="shared" si="8"/>
        <v>102000.92294025719</v>
      </c>
      <c r="Y24" s="143">
        <f>(X24-X$20)/W24</f>
        <v>3.401706257036189E-2</v>
      </c>
      <c r="Z24" s="189">
        <f>IF(F6="United Kingdom",'Aggregate UK performance'!S8,IF(Z20=0,0,W20*Y24*'4 - Shelterbelts'!L68+Z20))</f>
        <v>671309807.7312324</v>
      </c>
      <c r="AA24" s="186"/>
      <c r="AB24" s="193">
        <f>IFERROR(VLOOKUP($F$6,'6 - Lists'!$D$25:$AE$29,17,0),"")</f>
        <v>5749113.4649529997</v>
      </c>
      <c r="AC24" s="193">
        <f t="shared" si="10"/>
        <v>668999.42449749971</v>
      </c>
      <c r="AD24" s="143">
        <f t="shared" si="2"/>
        <v>3.4017062570361883E-2</v>
      </c>
      <c r="AE24" s="189">
        <f>IF(F6="United Kingdom",'Aggregate UK performance'!Y8,IF(AE20=0,0,AB20*AD24*'4 - Shelterbelts'!O68+AE20))</f>
        <v>663004421.62077248</v>
      </c>
      <c r="AF24" s="186"/>
      <c r="AG24" s="193">
        <f>IFERROR(VLOOKUP($F$6,'6 - Lists'!$D$25:$AE$29,21,0),"")</f>
        <v>2579792.4111229982</v>
      </c>
      <c r="AH24" s="193">
        <f>(AG24/$F24)*($G24-$G$20)+AH$20</f>
        <v>277302.84751289862</v>
      </c>
      <c r="AI24" s="143">
        <f t="shared" si="3"/>
        <v>3.4017062570361897E-2</v>
      </c>
      <c r="AJ24" s="189">
        <f>IF(F6="United Kingdom",'Aggregate UK performance'!AE8,IF(AJ20=0,0,AG20*AI24*'4 - Shelterbelts'!R68+AJ20))</f>
        <v>213283157.41213179</v>
      </c>
      <c r="AK24" s="186"/>
      <c r="AL24" s="193">
        <f>IFERROR(VLOOKUP($F$6,'6 - Lists'!$D$25:$AE$29,25,0),"")</f>
        <v>102133.34659399996</v>
      </c>
      <c r="AM24" s="193">
        <f t="shared" si="11"/>
        <v>10773.276441608554</v>
      </c>
      <c r="AN24" s="143">
        <f t="shared" si="12"/>
        <v>3.401706257036189E-2</v>
      </c>
      <c r="AO24" s="189">
        <f>IF(F6="United Kingdom",'Aggregate UK performance'!AK8,IF(AO20=0,0,AL20*AN24*'4 - Shelterbelts'!U68+AO20))</f>
        <v>118993491.13718952</v>
      </c>
      <c r="AP24" s="37"/>
    </row>
    <row r="25" spans="2:42" s="20" customFormat="1" ht="41.45" customHeight="1">
      <c r="B25" s="37"/>
      <c r="C25" s="31" t="s">
        <v>34</v>
      </c>
      <c r="D25" s="32" t="s">
        <v>35</v>
      </c>
      <c r="E25" s="32"/>
      <c r="F25" s="213">
        <f>IFERROR(VLOOKUP($F$6,'6 - Lists'!$D$25:$AE$29,2,0),"")</f>
        <v>13048084.298340347</v>
      </c>
      <c r="G25" s="214">
        <f t="shared" si="5"/>
        <v>1775430</v>
      </c>
      <c r="H25" s="398">
        <v>1</v>
      </c>
      <c r="I25" s="398"/>
      <c r="J25" s="398"/>
      <c r="K25" s="189">
        <f t="shared" si="4"/>
        <v>2427909070.5050025</v>
      </c>
      <c r="L25" s="186"/>
      <c r="M25" s="193">
        <f>IFERROR(VLOOKUP($F$6,'6 - Lists'!$D$25:$AE$29,5,0),"")</f>
        <v>3128398.5232839999</v>
      </c>
      <c r="N25" s="193">
        <f>(M25/$F25)*($G25-$G$20)+N$20</f>
        <v>372171.39467118774</v>
      </c>
      <c r="O25" s="143">
        <f t="shared" si="1"/>
        <v>6.8034125140723781E-2</v>
      </c>
      <c r="P25" s="189">
        <f>IF(F6="United Kingdom",'Aggregate UK performance'!G9,IF(P20=0,0,M20*O25*'5 - Farm woodland'!I60+P20))</f>
        <v>949573798.33243752</v>
      </c>
      <c r="Q25" s="186"/>
      <c r="R25" s="193">
        <f>IFERROR(VLOOKUP($F$6,'6 - Lists'!$D$25:$AE$29,9,0),"")</f>
        <v>70010.814225999886</v>
      </c>
      <c r="S25" s="193">
        <f t="shared" si="7"/>
        <v>9125.1244962556393</v>
      </c>
      <c r="T25" s="143">
        <f t="shared" si="13"/>
        <v>6.8034125140723753E-2</v>
      </c>
      <c r="U25" s="189">
        <f>IF(F6="United Kingdom",'Aggregate UK performance'!M9,IF(U20=0,0,$R$20*T25*'5 - Farm woodland'!P60+'Overview and dashboard'!$U$20))</f>
        <v>119009889.47104292</v>
      </c>
      <c r="V25" s="186"/>
      <c r="W25" s="193">
        <f>IFERROR(VLOOKUP($F$6,'6 - Lists'!$D$25:$AE$29,13,0),"")</f>
        <v>1418635.7381603494</v>
      </c>
      <c r="X25" s="193">
        <f t="shared" si="8"/>
        <v>150258.74360980932</v>
      </c>
      <c r="Y25" s="143">
        <f t="shared" si="9"/>
        <v>6.8034125140723767E-2</v>
      </c>
      <c r="Z25" s="189">
        <f>IF(F6="United Kingdom",'Aggregate UK performance'!S9,IF(Z20=0,0,W20*Y25*'5 - Farm woodland'!W60+Z20))</f>
        <v>552942891.57832074</v>
      </c>
      <c r="AA25" s="186"/>
      <c r="AB25" s="193">
        <f>IFERROR(VLOOKUP($F$6,'6 - Lists'!$D$25:$AE$29,17,0),"")</f>
        <v>5749113.4649529997</v>
      </c>
      <c r="AC25" s="193">
        <f t="shared" si="10"/>
        <v>864567.37695891596</v>
      </c>
      <c r="AD25" s="143">
        <f t="shared" si="2"/>
        <v>6.8034125140723767E-2</v>
      </c>
      <c r="AE25" s="189">
        <f>IF(F6="United Kingdom",'Aggregate UK performance'!Y9,IF(AE20=0,0,AB20*AD25*'5 - Farm woodland'!AD60+AE20))</f>
        <v>599777031.15254402</v>
      </c>
      <c r="AF25" s="186"/>
      <c r="AG25" s="193">
        <f>IFERROR(VLOOKUP($F$6,'6 - Lists'!$D$25:$AE$29,21,0),"")</f>
        <v>2579792.4111229982</v>
      </c>
      <c r="AH25" s="193">
        <f>(AG25/$F25)*($G25-$G$20)+AH$20</f>
        <v>365059.80738061434</v>
      </c>
      <c r="AI25" s="143">
        <f t="shared" si="3"/>
        <v>6.8034125140723753E-2</v>
      </c>
      <c r="AJ25" s="189">
        <f>IF(F6="United Kingdom",'Aggregate UK performance'!AE9,IF(AJ20=0,0,AG20*AI25*'5 - Farm woodland'!AK60+AJ20))</f>
        <v>109768089.24640843</v>
      </c>
      <c r="AK25" s="186"/>
      <c r="AL25" s="193">
        <f>IFERROR(VLOOKUP($F$6,'6 - Lists'!$D$25:$AE$29,25,0),"")</f>
        <v>102133.34659399996</v>
      </c>
      <c r="AM25" s="193">
        <f t="shared" si="11"/>
        <v>14247.552883217108</v>
      </c>
      <c r="AN25" s="143">
        <f t="shared" si="12"/>
        <v>6.8034125140723781E-2</v>
      </c>
      <c r="AO25" s="189">
        <f>IF(F6="United Kingdom",'Aggregate UK performance'!AK9,IF(AO20=0,0,AL20*AN25*'5 - Farm woodland'!AR60+AO20))</f>
        <v>96837370.724248871</v>
      </c>
      <c r="AP25" s="37"/>
    </row>
    <row r="26" spans="2:42" s="20" customFormat="1" ht="41.45" customHeight="1">
      <c r="B26" s="37"/>
      <c r="C26" s="31" t="s">
        <v>36</v>
      </c>
      <c r="D26" s="32" t="s">
        <v>37</v>
      </c>
      <c r="E26" s="32"/>
      <c r="F26" s="213">
        <f>IFERROR(VLOOKUP($F$6,'6 - Lists'!$D$25:$AE$29,2,0),"")</f>
        <v>13048084.298340347</v>
      </c>
      <c r="G26" s="214">
        <f t="shared" si="5"/>
        <v>1775430</v>
      </c>
      <c r="H26" s="398">
        <v>1</v>
      </c>
      <c r="I26" s="398"/>
      <c r="J26" s="398"/>
      <c r="K26" s="189">
        <f t="shared" si="4"/>
        <v>2221539360.5556393</v>
      </c>
      <c r="L26" s="186"/>
      <c r="M26" s="193">
        <f>IFERROR(VLOOKUP($F$6,'6 - Lists'!$D$25:$AE$29,5,0),"")</f>
        <v>3128398.5232839999</v>
      </c>
      <c r="N26" s="193">
        <f>(M26/$F26)*($G26-$G$20)+N$20</f>
        <v>372171.39467118774</v>
      </c>
      <c r="O26" s="143">
        <f t="shared" si="1"/>
        <v>6.8034125140723781E-2</v>
      </c>
      <c r="P26" s="189">
        <f>IF(F6="United Kingdom",'Aggregate UK performance'!G10,IF(P20=0,0,M20*O26*'5 - Farm woodland'!I61+P20))</f>
        <v>916663991.38161945</v>
      </c>
      <c r="Q26" s="186"/>
      <c r="R26" s="193">
        <f>IFERROR(VLOOKUP($F$6,'6 - Lists'!$D$25:$AE$29,9,0),"")</f>
        <v>70010.814225999886</v>
      </c>
      <c r="S26" s="193">
        <f>(R26/$F26)*($G26-$G$20)+S$20</f>
        <v>9125.1244962556393</v>
      </c>
      <c r="T26" s="143">
        <f>(S26-S$20)/R26</f>
        <v>6.8034125140723753E-2</v>
      </c>
      <c r="U26" s="189">
        <f>IF(F6="United Kingdom",'Aggregate UK performance'!M10,IF(U20=0,0,$R$20*T26*'5 - Farm woodland'!P61+'Overview and dashboard'!$U$20))</f>
        <v>118483679.43996853</v>
      </c>
      <c r="V26" s="186"/>
      <c r="W26" s="193">
        <f>IFERROR(VLOOKUP($F$6,'6 - Lists'!$D$25:$AE$29,13,0),"")</f>
        <v>1418635.7381603494</v>
      </c>
      <c r="X26" s="193">
        <f t="shared" si="8"/>
        <v>150258.74360980932</v>
      </c>
      <c r="Y26" s="143">
        <f t="shared" si="9"/>
        <v>6.8034125140723767E-2</v>
      </c>
      <c r="Z26" s="189">
        <f>IF(F6="United Kingdom",'Aggregate UK performance'!S10,IF(Z20=0,0,W20*Y26*'5 - Farm woodland'!W61+Z20))</f>
        <v>538820422.32084036</v>
      </c>
      <c r="AA26" s="186"/>
      <c r="AB26" s="193">
        <f>IFERROR(VLOOKUP($F$6,'6 - Lists'!$D$25:$AE$29,17,0),"")</f>
        <v>5749113.4649529997</v>
      </c>
      <c r="AC26" s="193">
        <f t="shared" si="10"/>
        <v>864567.37695891596</v>
      </c>
      <c r="AD26" s="143">
        <f t="shared" si="2"/>
        <v>6.8034125140723767E-2</v>
      </c>
      <c r="AE26" s="189">
        <f>IF(F6="United Kingdom",'Aggregate UK performance'!Y10,IF(AE20=0,0,AB20*AD26*'5 - Farm woodland'!AD61+AE20))</f>
        <v>486272353.39077419</v>
      </c>
      <c r="AF26" s="186"/>
      <c r="AG26" s="193">
        <f>IFERROR(VLOOKUP($F$6,'6 - Lists'!$D$25:$AE$29,21,0),"")</f>
        <v>2579792.4111229982</v>
      </c>
      <c r="AH26" s="193">
        <f>(AG26/$F26)*($G26-$G$20)+AH$20</f>
        <v>365059.80738061434</v>
      </c>
      <c r="AI26" s="143">
        <f t="shared" si="3"/>
        <v>6.8034125140723753E-2</v>
      </c>
      <c r="AJ26" s="189">
        <f>IF(F6="United Kingdom",'Aggregate UK performance'!AE10,IF(AJ20=0,0,AG20*AI26*'5 - Farm woodland'!AK61+AJ20))</f>
        <v>65229190.297856584</v>
      </c>
      <c r="AK26" s="186"/>
      <c r="AL26" s="193">
        <f>IFERROR(VLOOKUP($F$6,'6 - Lists'!$D$25:$AE$29,25,0),"")</f>
        <v>102133.34659399996</v>
      </c>
      <c r="AM26" s="193">
        <f t="shared" si="11"/>
        <v>14247.552883217108</v>
      </c>
      <c r="AN26" s="143">
        <f t="shared" si="12"/>
        <v>6.8034125140723781E-2</v>
      </c>
      <c r="AO26" s="189">
        <f>IF(F6="United Kingdom",'Aggregate UK performance'!AK10,IF(AO20=0,0,AL20*AN26*'5 - Farm woodland'!AR61+AO20))</f>
        <v>96069723.72458005</v>
      </c>
      <c r="AP26" s="37"/>
    </row>
    <row r="27" spans="2:42" s="20" customFormat="1" ht="41.45" customHeight="1">
      <c r="B27" s="37"/>
      <c r="C27" s="31" t="s">
        <v>38</v>
      </c>
      <c r="D27" s="32" t="s">
        <v>39</v>
      </c>
      <c r="E27" s="32"/>
      <c r="F27" s="213">
        <f>IFERROR(VLOOKUP($F$6,'6 - Lists'!$D$25:$AE$29,2,0),"")</f>
        <v>13048084.298340347</v>
      </c>
      <c r="G27" s="214">
        <f>G$20+G$20*H27</f>
        <v>1775430</v>
      </c>
      <c r="H27" s="398">
        <v>1</v>
      </c>
      <c r="I27" s="398"/>
      <c r="J27" s="398"/>
      <c r="K27" s="189">
        <f t="shared" si="4"/>
        <v>2191057340.4566479</v>
      </c>
      <c r="L27" s="186"/>
      <c r="M27" s="193">
        <f>IFERROR(VLOOKUP($F$6,'6 - Lists'!$D$25:$AE$29,5,0),"")</f>
        <v>3128398.5232839999</v>
      </c>
      <c r="N27" s="193">
        <f>(M27/$F27)*($G27-$G$20)+N$20</f>
        <v>372171.39467118774</v>
      </c>
      <c r="O27" s="143">
        <f t="shared" si="1"/>
        <v>6.8034125140723781E-2</v>
      </c>
      <c r="P27" s="189">
        <f>IF(F6="United Kingdom",'Aggregate UK performance'!G11,IF(P20=0,0,M20*O27*'5 - Farm woodland'!I62+P20))</f>
        <v>911803019.30788386</v>
      </c>
      <c r="Q27" s="187"/>
      <c r="R27" s="193">
        <f>IFERROR(VLOOKUP($F$6,'6 - Lists'!$D$25:$AE$29,9,0),"")</f>
        <v>70010.814225999886</v>
      </c>
      <c r="S27" s="193">
        <f>(R27/$F27)*($G27-$G$20)+S$20</f>
        <v>9125.1244962556393</v>
      </c>
      <c r="T27" s="143">
        <f>(S27-S$20)/R27</f>
        <v>6.8034125140723753E-2</v>
      </c>
      <c r="U27" s="189">
        <f>IF(F6="United Kingdom",'Aggregate UK performance'!M11,IF(U20=0,0,$R$20*T27*'5 - Farm woodland'!P62+'Overview and dashboard'!$U$20))</f>
        <v>118405955.12302572</v>
      </c>
      <c r="V27" s="187"/>
      <c r="W27" s="193">
        <f>IFERROR(VLOOKUP($F$6,'6 - Lists'!$D$25:$AE$29,13,0),"")</f>
        <v>1418635.7381603494</v>
      </c>
      <c r="X27" s="193">
        <f t="shared" ref="X27" si="14">(W27/$F27)*($G27-$G$20)+X$20</f>
        <v>150258.74360980932</v>
      </c>
      <c r="Y27" s="143">
        <f t="shared" ref="Y27" si="15">(X27-X$20)/W27</f>
        <v>6.8034125140723767E-2</v>
      </c>
      <c r="Z27" s="189">
        <f>IF(F6="United Kingdom",'Aggregate UK performance'!S11,IF(Z20=0,0,W20*Y27*'5 - Farm woodland'!W62+Z20))</f>
        <v>536734450.53816187</v>
      </c>
      <c r="AA27" s="187"/>
      <c r="AB27" s="193">
        <f>IFERROR(VLOOKUP($F$6,'6 - Lists'!$D$25:$AE$29,17,0),"")</f>
        <v>5749113.4649529997</v>
      </c>
      <c r="AC27" s="193">
        <f t="shared" ref="AC27" si="16">(AB27/$F27)*($G27-$G$20)+AC$20</f>
        <v>864567.37695891596</v>
      </c>
      <c r="AD27" s="143">
        <f t="shared" ref="AD27" si="17">(AC27-AC$20)/AB27</f>
        <v>6.8034125140723767E-2</v>
      </c>
      <c r="AE27" s="189">
        <f>IF(F6="United Kingdom",'Aggregate UK performance'!Y11,IF(AE20=0,0,AB20*AD27*'5 - Farm woodland'!AD62+AE20))</f>
        <v>469507044.81078577</v>
      </c>
      <c r="AF27" s="187"/>
      <c r="AG27" s="193">
        <f>IFERROR(VLOOKUP($F$6,'6 - Lists'!$D$25:$AE$29,21,0),"")</f>
        <v>2579792.4111229982</v>
      </c>
      <c r="AH27" s="193">
        <f>(AG27/$F27)*($G27-$G$20)+AH$20</f>
        <v>365059.80738061434</v>
      </c>
      <c r="AI27" s="143">
        <f t="shared" ref="AI27" si="18">(AH27-AH$20)/AG27</f>
        <v>6.8034125140723753E-2</v>
      </c>
      <c r="AJ27" s="189">
        <f>IF(F6="United Kingdom",'Aggregate UK performance'!AE11,IF(AJ20=0,0,AG20*AI27*'5 - Farm woodland'!AK62+AJ20))</f>
        <v>58650532.929632261</v>
      </c>
      <c r="AK27" s="187"/>
      <c r="AL27" s="193">
        <f>IFERROR(VLOOKUP($F$6,'6 - Lists'!$D$25:$AE$29,25,0),"")</f>
        <v>102133.34659399996</v>
      </c>
      <c r="AM27" s="193">
        <f t="shared" ref="AM27" si="19">(AL27/$F27)*($G27-$G$20)+AM$20</f>
        <v>14247.552883217108</v>
      </c>
      <c r="AN27" s="143">
        <f t="shared" ref="AN27" si="20">(AM27-AM$20)/AL27</f>
        <v>6.8034125140723781E-2</v>
      </c>
      <c r="AO27" s="189">
        <f>IF(F6="United Kingdom",'Aggregate UK performance'!AK11,IF(AO20=0,0,AL20*AN27*'5 - Farm woodland'!AR62+AO20))</f>
        <v>95956337.747158363</v>
      </c>
      <c r="AP27" s="37"/>
    </row>
    <row r="28" spans="2:42" s="20" customFormat="1" ht="41.45" customHeight="1">
      <c r="B28" s="37"/>
      <c r="C28" s="31">
        <v>6</v>
      </c>
      <c r="D28" s="402" t="s">
        <v>22</v>
      </c>
      <c r="E28" s="403"/>
      <c r="F28" s="213">
        <f>IFERROR(VLOOKUP($F$6,'6 - Lists'!$D$25:$AE$29,2,0),"")</f>
        <v>13048084.298340347</v>
      </c>
      <c r="G28" s="214">
        <f>G$20+G$20*H28</f>
        <v>1044134.9261642001</v>
      </c>
      <c r="H28" s="398">
        <f>SUM((N28-N20),(S28-S20),(X28-X20),(AC28-AC20),(AH28-AH20),(AM28-AM20))/G20</f>
        <v>0.17620511781844403</v>
      </c>
      <c r="I28" s="398"/>
      <c r="J28" s="398"/>
      <c r="K28" s="190">
        <f>SUM(P28,U28,Z28,AE28,AJ28,AO28)</f>
        <v>2908783656.889914</v>
      </c>
      <c r="L28" s="186"/>
      <c r="M28" s="193">
        <f>IFERROR(VLOOKUP($F$6,'6 - Lists'!$D$25:$AE$29,5,0),"")</f>
        <v>3128398.5232839999</v>
      </c>
      <c r="N28" s="193">
        <f>N20+(M28*M8)</f>
        <v>315753.46421222866</v>
      </c>
      <c r="O28" s="161">
        <f>M8</f>
        <v>0.05</v>
      </c>
      <c r="P28" s="190">
        <f>IF(P20=0,0,M20*M8*N8+P20)</f>
        <v>1095589044.0213404</v>
      </c>
      <c r="Q28" s="187"/>
      <c r="R28" s="193">
        <f>IFERROR(VLOOKUP($F$6,'6 - Lists'!$D$25:$AE$29,9,0),"")</f>
        <v>70010.814225999886</v>
      </c>
      <c r="S28" s="193">
        <f>S20+(R28*M9)</f>
        <v>4362</v>
      </c>
      <c r="T28" s="161">
        <f>M9</f>
        <v>0</v>
      </c>
      <c r="U28" s="190">
        <f>IF(U20=0,0,R20*M9*N9+U20)</f>
        <v>141382277.57780161</v>
      </c>
      <c r="V28" s="187"/>
      <c r="W28" s="193">
        <f>IFERROR(VLOOKUP($F$6,'6 - Lists'!$D$25:$AE$29,13,0),"")</f>
        <v>1418635.7381603494</v>
      </c>
      <c r="X28" s="193">
        <f>X20+(W28*M10)</f>
        <v>53743.102270705065</v>
      </c>
      <c r="Y28" s="161">
        <f>M10</f>
        <v>0</v>
      </c>
      <c r="Z28" s="190">
        <f>IF(Z20=0,0,W20*M10*N10+Z20)</f>
        <v>665682430.79793739</v>
      </c>
      <c r="AA28" s="187"/>
      <c r="AB28" s="193">
        <f>IFERROR(VLOOKUP($F$6,'6 - Lists'!$D$25:$AE$29,17,0),"")</f>
        <v>5749113.4649529997</v>
      </c>
      <c r="AC28" s="193">
        <f>AC20+(AB28*M11)</f>
        <v>473431.47203608352</v>
      </c>
      <c r="AD28" s="161">
        <f>M11</f>
        <v>0</v>
      </c>
      <c r="AE28" s="190">
        <f>IF(AE20=0,0,AB20*M11*N11+AE20)</f>
        <v>675097470.80527091</v>
      </c>
      <c r="AF28" s="187"/>
      <c r="AG28" s="193">
        <f>IFERROR(VLOOKUP($F$6,'6 - Lists'!$D$25:$AE$29,21,0),"")</f>
        <v>2579792.4111229982</v>
      </c>
      <c r="AH28" s="193">
        <f>AH20+(AG28*M12)</f>
        <v>189545.88764518281</v>
      </c>
      <c r="AI28" s="161">
        <f>M12</f>
        <v>0</v>
      </c>
      <c r="AJ28" s="190">
        <f>IF(AJ20=0,0,AG20*M12*N12+AJ20)</f>
        <v>213738176.92406452</v>
      </c>
      <c r="AK28" s="187"/>
      <c r="AL28" s="193">
        <f>IFERROR(VLOOKUP($F$6,'6 - Lists'!$D$25:$AE$29,25,0),"")</f>
        <v>102133.34659399996</v>
      </c>
      <c r="AM28" s="193">
        <f>AM20+(AL28*M13)</f>
        <v>7299</v>
      </c>
      <c r="AN28" s="161">
        <f>M13</f>
        <v>0</v>
      </c>
      <c r="AO28" s="190">
        <f>IF(AO20=0,0,AL20*M13*N13+AO20)</f>
        <v>117294256.76349877</v>
      </c>
      <c r="AP28" s="37"/>
    </row>
    <row r="29" spans="2:42" s="20" customFormat="1" ht="12.75">
      <c r="B29" s="37"/>
      <c r="C29" s="39"/>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row>
    <row r="30" spans="2:42">
      <c r="B30" s="37"/>
      <c r="C30" s="39"/>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row>
    <row r="31" spans="2:42">
      <c r="B31" s="37"/>
      <c r="C31" s="39"/>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row>
    <row r="32" spans="2:42">
      <c r="B32" s="37"/>
      <c r="C32" s="39"/>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row>
    <row r="33" spans="2:42">
      <c r="B33" s="37"/>
      <c r="C33" s="39"/>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row>
    <row r="34" spans="2:42">
      <c r="B34" s="37"/>
      <c r="C34" s="39"/>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row>
    <row r="35" spans="2:42">
      <c r="B35" s="37"/>
      <c r="C35" s="39"/>
      <c r="D35" s="24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row>
    <row r="36" spans="2:42">
      <c r="B36" s="37"/>
      <c r="C36" s="39"/>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row>
    <row r="37" spans="2:42">
      <c r="B37" s="37"/>
      <c r="C37" s="39"/>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row>
    <row r="38" spans="2:42">
      <c r="B38" s="37"/>
      <c r="C38" s="39"/>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row>
    <row r="39" spans="2:42">
      <c r="B39" s="37"/>
      <c r="C39" s="39"/>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row>
    <row r="40" spans="2:42">
      <c r="B40" s="37"/>
      <c r="C40" s="39"/>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row>
    <row r="41" spans="2:42">
      <c r="B41" s="37"/>
      <c r="C41" s="39"/>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row>
    <row r="42" spans="2:42">
      <c r="B42" s="37"/>
      <c r="C42" s="39"/>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row>
    <row r="43" spans="2:42" ht="96.6" customHeight="1">
      <c r="B43" s="37"/>
      <c r="C43" s="39"/>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row>
    <row r="44" spans="2:42">
      <c r="B44" s="37"/>
      <c r="C44" s="39"/>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row>
    <row r="45" spans="2:42">
      <c r="B45" s="37"/>
      <c r="C45" s="39"/>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row>
    <row r="46" spans="2:42" s="20" customFormat="1" ht="7.5" customHeight="1" thickBot="1">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row>
    <row r="47" spans="2:42" s="20" customFormat="1" ht="18" customHeight="1" thickBot="1">
      <c r="B47" s="37"/>
      <c r="C47" s="37"/>
      <c r="D47" s="37"/>
      <c r="E47" s="37"/>
      <c r="F47" s="37"/>
      <c r="G47" s="399" t="s">
        <v>24</v>
      </c>
      <c r="H47" s="400"/>
      <c r="I47" s="400"/>
      <c r="J47" s="400"/>
      <c r="K47" s="401"/>
      <c r="L47" s="37"/>
      <c r="M47" s="399" t="s">
        <v>25</v>
      </c>
      <c r="N47" s="400"/>
      <c r="O47" s="400"/>
      <c r="P47" s="401"/>
      <c r="Q47" s="37"/>
      <c r="R47" s="399" t="s">
        <v>42</v>
      </c>
      <c r="S47" s="400"/>
      <c r="T47" s="400"/>
      <c r="U47" s="401"/>
      <c r="V47" s="37"/>
      <c r="W47" s="399" t="s">
        <v>27</v>
      </c>
      <c r="X47" s="400"/>
      <c r="Y47" s="400"/>
      <c r="Z47" s="401"/>
      <c r="AA47" s="37"/>
      <c r="AB47" s="399" t="s">
        <v>28</v>
      </c>
      <c r="AC47" s="400"/>
      <c r="AD47" s="400"/>
      <c r="AE47" s="401"/>
      <c r="AF47" s="37"/>
      <c r="AG47" s="399" t="s">
        <v>29</v>
      </c>
      <c r="AH47" s="400"/>
      <c r="AI47" s="400"/>
      <c r="AJ47" s="401"/>
      <c r="AK47" s="37"/>
      <c r="AL47" s="399" t="s">
        <v>30</v>
      </c>
      <c r="AM47" s="400"/>
      <c r="AN47" s="400"/>
      <c r="AO47" s="401"/>
      <c r="AP47" s="37"/>
    </row>
    <row r="48" spans="2:42" ht="47.45" customHeight="1">
      <c r="B48" s="37"/>
      <c r="C48" s="37"/>
      <c r="D48" s="37"/>
      <c r="E48" s="37"/>
      <c r="F48" s="37"/>
      <c r="G48" s="408" t="s">
        <v>683</v>
      </c>
      <c r="H48" s="409"/>
      <c r="I48" s="414" t="s">
        <v>684</v>
      </c>
      <c r="J48" s="409"/>
      <c r="K48" s="349" t="s">
        <v>685</v>
      </c>
      <c r="L48" s="37"/>
      <c r="M48" s="408" t="s">
        <v>683</v>
      </c>
      <c r="N48" s="409"/>
      <c r="O48" s="350" t="s">
        <v>684</v>
      </c>
      <c r="P48" s="349" t="s">
        <v>685</v>
      </c>
      <c r="Q48" s="250"/>
      <c r="R48" s="408" t="s">
        <v>683</v>
      </c>
      <c r="S48" s="409"/>
      <c r="T48" s="350" t="s">
        <v>684</v>
      </c>
      <c r="U48" s="349" t="s">
        <v>685</v>
      </c>
      <c r="V48" s="250"/>
      <c r="W48" s="408" t="s">
        <v>683</v>
      </c>
      <c r="X48" s="409"/>
      <c r="Y48" s="350" t="s">
        <v>684</v>
      </c>
      <c r="Z48" s="349" t="s">
        <v>685</v>
      </c>
      <c r="AA48" s="250"/>
      <c r="AB48" s="408" t="s">
        <v>683</v>
      </c>
      <c r="AC48" s="409"/>
      <c r="AD48" s="350" t="s">
        <v>684</v>
      </c>
      <c r="AE48" s="349" t="s">
        <v>685</v>
      </c>
      <c r="AF48" s="250"/>
      <c r="AG48" s="408" t="s">
        <v>683</v>
      </c>
      <c r="AH48" s="409"/>
      <c r="AI48" s="350" t="s">
        <v>684</v>
      </c>
      <c r="AJ48" s="349" t="s">
        <v>685</v>
      </c>
      <c r="AK48" s="250"/>
      <c r="AL48" s="408" t="s">
        <v>683</v>
      </c>
      <c r="AM48" s="409"/>
      <c r="AN48" s="350" t="s">
        <v>684</v>
      </c>
      <c r="AO48" s="349" t="s">
        <v>685</v>
      </c>
      <c r="AP48" s="37"/>
    </row>
    <row r="49" spans="2:42" ht="43.5" customHeight="1">
      <c r="B49" s="37"/>
      <c r="C49" s="37"/>
      <c r="D49" s="37"/>
      <c r="E49" s="351"/>
      <c r="F49" s="37"/>
      <c r="G49" s="412" t="s">
        <v>31</v>
      </c>
      <c r="H49" s="413"/>
      <c r="I49" s="410">
        <f t="shared" ref="I49:I56" si="21">K21-$K$20</f>
        <v>-668869378.60663176</v>
      </c>
      <c r="J49" s="411"/>
      <c r="K49" s="370">
        <f t="shared" ref="K49:K56" si="22">I49/$K$20</f>
        <v>-0.23006676155987152</v>
      </c>
      <c r="L49" s="37"/>
      <c r="M49" s="404" t="s">
        <v>31</v>
      </c>
      <c r="N49" s="405"/>
      <c r="O49" s="369">
        <f t="shared" ref="O49:O56" si="23">P21-$P$20</f>
        <v>-33195104.726363182</v>
      </c>
      <c r="P49" s="370">
        <f>O49/$P$20</f>
        <v>-3.0340399872086619E-2</v>
      </c>
      <c r="Q49" s="37"/>
      <c r="R49" s="404" t="s">
        <v>31</v>
      </c>
      <c r="S49" s="405"/>
      <c r="T49" s="369">
        <f t="shared" ref="T49:T56" si="24">U21-$U$20</f>
        <v>-3093728.2720917463</v>
      </c>
      <c r="U49" s="370">
        <f>T49/$U$20</f>
        <v>-2.1882009011980237E-2</v>
      </c>
      <c r="V49" s="37"/>
      <c r="W49" s="404" t="s">
        <v>31</v>
      </c>
      <c r="X49" s="405"/>
      <c r="Y49" s="369">
        <f t="shared" ref="Y49:Y56" si="25">Z21-$Z$20</f>
        <v>-207167166.93425387</v>
      </c>
      <c r="Z49" s="370">
        <f>Y49/$Z$20</f>
        <v>-0.31121020677371281</v>
      </c>
      <c r="AA49" s="37"/>
      <c r="AB49" s="404" t="s">
        <v>31</v>
      </c>
      <c r="AC49" s="405"/>
      <c r="AD49" s="369">
        <f t="shared" ref="AD49:AD56" si="26">AE21-$AE$20</f>
        <v>-387057532.35802567</v>
      </c>
      <c r="AE49" s="370">
        <f>AD49/$AE$20</f>
        <v>-0.57333577608628139</v>
      </c>
      <c r="AF49" s="37"/>
      <c r="AG49" s="404" t="s">
        <v>31</v>
      </c>
      <c r="AH49" s="405"/>
      <c r="AI49" s="369">
        <f t="shared" ref="AI49:AI56" si="27">AJ21-$AJ$20</f>
        <v>-64943736.63338393</v>
      </c>
      <c r="AJ49" s="370">
        <f>AI49/$AJ$20</f>
        <v>-0.30384715340983148</v>
      </c>
      <c r="AK49" s="37"/>
      <c r="AL49" s="404" t="s">
        <v>31</v>
      </c>
      <c r="AM49" s="405"/>
      <c r="AN49" s="369">
        <f t="shared" ref="AN49:AN56" si="28">AO21-$AO$20</f>
        <v>26587890.31748642</v>
      </c>
      <c r="AO49" s="370">
        <f>AN49/$AO$20</f>
        <v>0.22667683014604686</v>
      </c>
      <c r="AP49" s="37"/>
    </row>
    <row r="50" spans="2:42" ht="43.5" customHeight="1">
      <c r="B50" s="37"/>
      <c r="C50" s="37"/>
      <c r="D50" s="37"/>
      <c r="E50" s="37"/>
      <c r="F50" s="37"/>
      <c r="G50" s="412" t="s">
        <v>32</v>
      </c>
      <c r="H50" s="413"/>
      <c r="I50" s="410">
        <f t="shared" si="21"/>
        <v>-85062403.748236179</v>
      </c>
      <c r="J50" s="411"/>
      <c r="K50" s="370">
        <f t="shared" si="22"/>
        <v>-2.92583759801094E-2</v>
      </c>
      <c r="L50" s="37"/>
      <c r="M50" s="404" t="s">
        <v>32</v>
      </c>
      <c r="N50" s="405"/>
      <c r="O50" s="369">
        <f t="shared" si="23"/>
        <v>-38019511.206257343</v>
      </c>
      <c r="P50" s="370">
        <f t="shared" ref="P50:P53" si="29">O50/$P$20</f>
        <v>-3.4749918171609433E-2</v>
      </c>
      <c r="Q50" s="37"/>
      <c r="R50" s="404" t="s">
        <v>32</v>
      </c>
      <c r="S50" s="405"/>
      <c r="T50" s="369">
        <f t="shared" si="24"/>
        <v>-4661126.4355078936</v>
      </c>
      <c r="U50" s="370">
        <f t="shared" ref="U50:U54" si="30">T50/$U$20</f>
        <v>-3.2968251151159381E-2</v>
      </c>
      <c r="V50" s="37"/>
      <c r="W50" s="404" t="s">
        <v>32</v>
      </c>
      <c r="X50" s="405"/>
      <c r="Y50" s="369">
        <f t="shared" si="25"/>
        <v>4421654.7722767591</v>
      </c>
      <c r="Z50" s="370">
        <f t="shared" ref="Z50:Z54" si="31">Y50/$Z$20</f>
        <v>6.6422885263422516E-3</v>
      </c>
      <c r="AA50" s="37"/>
      <c r="AB50" s="404" t="s">
        <v>32</v>
      </c>
      <c r="AC50" s="405"/>
      <c r="AD50" s="369">
        <f t="shared" si="26"/>
        <v>-40499539.337199807</v>
      </c>
      <c r="AE50" s="370">
        <f t="shared" ref="AE50:AE54" si="32">AD50/$AE$20</f>
        <v>-5.9990654814468608E-2</v>
      </c>
      <c r="AF50" s="37"/>
      <c r="AG50" s="404" t="s">
        <v>32</v>
      </c>
      <c r="AH50" s="405"/>
      <c r="AI50" s="369">
        <f t="shared" si="27"/>
        <v>-8879265.5877541602</v>
      </c>
      <c r="AJ50" s="370">
        <f t="shared" ref="AJ50:AJ54" si="33">AI50/$AJ$20</f>
        <v>-4.1542721639797303E-2</v>
      </c>
      <c r="AK50" s="37"/>
      <c r="AL50" s="404" t="s">
        <v>32</v>
      </c>
      <c r="AM50" s="405"/>
      <c r="AN50" s="369">
        <f t="shared" si="28"/>
        <v>2575384.0462066084</v>
      </c>
      <c r="AO50" s="370">
        <f t="shared" ref="AO50:AO54" si="34">AN50/$AO$20</f>
        <v>2.195660825405436E-2</v>
      </c>
      <c r="AP50" s="37"/>
    </row>
    <row r="51" spans="2:42">
      <c r="B51" s="37"/>
      <c r="C51" s="37"/>
      <c r="D51" s="37"/>
      <c r="E51" s="37"/>
      <c r="F51" s="37"/>
      <c r="G51" s="412" t="s">
        <v>6</v>
      </c>
      <c r="H51" s="413"/>
      <c r="I51" s="410">
        <f t="shared" si="21"/>
        <v>-78815051.021257401</v>
      </c>
      <c r="J51" s="411"/>
      <c r="K51" s="370">
        <f t="shared" si="22"/>
        <v>-2.7109513651843758E-2</v>
      </c>
      <c r="L51" s="37"/>
      <c r="M51" s="404" t="s">
        <v>6</v>
      </c>
      <c r="N51" s="405"/>
      <c r="O51" s="369">
        <f t="shared" si="23"/>
        <v>0</v>
      </c>
      <c r="P51" s="370">
        <f t="shared" si="29"/>
        <v>0</v>
      </c>
      <c r="Q51" s="37"/>
      <c r="R51" s="404" t="s">
        <v>6</v>
      </c>
      <c r="S51" s="405"/>
      <c r="T51" s="369">
        <f t="shared" si="24"/>
        <v>0</v>
      </c>
      <c r="U51" s="370">
        <f t="shared" si="30"/>
        <v>0</v>
      </c>
      <c r="V51" s="37"/>
      <c r="W51" s="404" t="s">
        <v>6</v>
      </c>
      <c r="X51" s="405"/>
      <c r="Y51" s="369">
        <f t="shared" si="25"/>
        <v>11776821.693732738</v>
      </c>
      <c r="Z51" s="370">
        <f t="shared" si="31"/>
        <v>1.7691351234275701E-2</v>
      </c>
      <c r="AA51" s="37"/>
      <c r="AB51" s="404" t="s">
        <v>6</v>
      </c>
      <c r="AC51" s="405"/>
      <c r="AD51" s="369">
        <f t="shared" si="26"/>
        <v>-79082056.829545736</v>
      </c>
      <c r="AE51" s="370">
        <f t="shared" si="32"/>
        <v>-0.11714168731104109</v>
      </c>
      <c r="AF51" s="37"/>
      <c r="AG51" s="404" t="s">
        <v>6</v>
      </c>
      <c r="AH51" s="405"/>
      <c r="AI51" s="369">
        <f t="shared" si="27"/>
        <v>-18552464.382714003</v>
      </c>
      <c r="AJ51" s="370">
        <f t="shared" si="33"/>
        <v>-8.6799956141224127E-2</v>
      </c>
      <c r="AK51" s="37"/>
      <c r="AL51" s="404" t="s">
        <v>6</v>
      </c>
      <c r="AM51" s="405"/>
      <c r="AN51" s="369">
        <f t="shared" si="28"/>
        <v>7042648.497269541</v>
      </c>
      <c r="AO51" s="370">
        <f t="shared" si="34"/>
        <v>6.0042568933871013E-2</v>
      </c>
      <c r="AP51" s="37"/>
    </row>
    <row r="52" spans="2:42">
      <c r="B52" s="37"/>
      <c r="C52" s="37"/>
      <c r="D52" s="37"/>
      <c r="E52" s="37"/>
      <c r="F52" s="37"/>
      <c r="G52" s="412" t="s">
        <v>33</v>
      </c>
      <c r="H52" s="413"/>
      <c r="I52" s="410">
        <f t="shared" si="21"/>
        <v>-2884850.62738657</v>
      </c>
      <c r="J52" s="411"/>
      <c r="K52" s="370">
        <f t="shared" si="22"/>
        <v>-9.9228378911501145E-4</v>
      </c>
      <c r="L52" s="37"/>
      <c r="M52" s="404" t="s">
        <v>33</v>
      </c>
      <c r="N52" s="405"/>
      <c r="O52" s="369">
        <f t="shared" si="23"/>
        <v>1020385.5181314945</v>
      </c>
      <c r="P52" s="370">
        <f t="shared" si="29"/>
        <v>9.3263464293904218E-4</v>
      </c>
      <c r="Q52" s="37"/>
      <c r="R52" s="404" t="s">
        <v>33</v>
      </c>
      <c r="S52" s="405"/>
      <c r="T52" s="369">
        <f t="shared" si="24"/>
        <v>1316221.2439273894</v>
      </c>
      <c r="U52" s="370">
        <f t="shared" si="30"/>
        <v>9.3096621901785585E-3</v>
      </c>
      <c r="V52" s="37"/>
      <c r="W52" s="404" t="s">
        <v>33</v>
      </c>
      <c r="X52" s="405"/>
      <c r="Y52" s="369">
        <f t="shared" si="25"/>
        <v>5627376.9332950115</v>
      </c>
      <c r="Z52" s="370">
        <f t="shared" si="31"/>
        <v>8.4535458244701031E-3</v>
      </c>
      <c r="AA52" s="37"/>
      <c r="AB52" s="404" t="s">
        <v>33</v>
      </c>
      <c r="AC52" s="405"/>
      <c r="AD52" s="369">
        <f t="shared" si="26"/>
        <v>-12093049.184498429</v>
      </c>
      <c r="AE52" s="370">
        <f t="shared" si="32"/>
        <v>-1.791304175687931E-2</v>
      </c>
      <c r="AF52" s="37"/>
      <c r="AG52" s="404" t="s">
        <v>33</v>
      </c>
      <c r="AH52" s="405"/>
      <c r="AI52" s="369">
        <f t="shared" si="27"/>
        <v>-455019.51193273067</v>
      </c>
      <c r="AJ52" s="370">
        <f t="shared" si="33"/>
        <v>-2.1288640077359085E-3</v>
      </c>
      <c r="AK52" s="37"/>
      <c r="AL52" s="404" t="s">
        <v>33</v>
      </c>
      <c r="AM52" s="405"/>
      <c r="AN52" s="369">
        <f t="shared" si="28"/>
        <v>1699234.3736907542</v>
      </c>
      <c r="AO52" s="370">
        <f t="shared" si="34"/>
        <v>1.4486935853278241E-2</v>
      </c>
      <c r="AP52" s="37"/>
    </row>
    <row r="53" spans="2:42" ht="29.1" customHeight="1">
      <c r="B53" s="37"/>
      <c r="C53" s="37"/>
      <c r="D53" s="37"/>
      <c r="E53" s="37"/>
      <c r="F53" s="37"/>
      <c r="G53" s="412" t="s">
        <v>35</v>
      </c>
      <c r="H53" s="413"/>
      <c r="I53" s="410">
        <f t="shared" si="21"/>
        <v>-479374772.11373329</v>
      </c>
      <c r="J53" s="411"/>
      <c r="K53" s="370">
        <f t="shared" si="22"/>
        <v>-0.16488750258452112</v>
      </c>
      <c r="L53" s="37"/>
      <c r="M53" s="404" t="s">
        <v>35</v>
      </c>
      <c r="N53" s="405"/>
      <c r="O53" s="369">
        <f t="shared" si="23"/>
        <v>-144515431.41772509</v>
      </c>
      <c r="P53" s="370">
        <f t="shared" si="29"/>
        <v>-0.13208742713857577</v>
      </c>
      <c r="Q53" s="37"/>
      <c r="R53" s="404" t="s">
        <v>35</v>
      </c>
      <c r="S53" s="405"/>
      <c r="T53" s="369">
        <f t="shared" si="24"/>
        <v>-22372388.106758699</v>
      </c>
      <c r="U53" s="370">
        <f t="shared" si="30"/>
        <v>-0.15824039964589862</v>
      </c>
      <c r="V53" s="37"/>
      <c r="W53" s="404" t="s">
        <v>35</v>
      </c>
      <c r="X53" s="405"/>
      <c r="Y53" s="369">
        <f t="shared" si="25"/>
        <v>-112739539.21961665</v>
      </c>
      <c r="Z53" s="370">
        <f t="shared" si="31"/>
        <v>-0.16935934313975884</v>
      </c>
      <c r="AA53" s="37"/>
      <c r="AB53" s="404" t="s">
        <v>35</v>
      </c>
      <c r="AC53" s="405"/>
      <c r="AD53" s="369">
        <f t="shared" si="26"/>
        <v>-75320439.652726889</v>
      </c>
      <c r="AE53" s="370">
        <f t="shared" si="32"/>
        <v>-0.11156972572106223</v>
      </c>
      <c r="AF53" s="37"/>
      <c r="AG53" s="404" t="s">
        <v>35</v>
      </c>
      <c r="AH53" s="405"/>
      <c r="AI53" s="369">
        <f t="shared" si="27"/>
        <v>-103970087.67765608</v>
      </c>
      <c r="AJ53" s="370">
        <f t="shared" si="33"/>
        <v>-0.48643667300762039</v>
      </c>
      <c r="AK53" s="37"/>
      <c r="AL53" s="404" t="s">
        <v>35</v>
      </c>
      <c r="AM53" s="405"/>
      <c r="AN53" s="369">
        <f t="shared" si="28"/>
        <v>-20456886.039249897</v>
      </c>
      <c r="AO53" s="370">
        <f t="shared" si="34"/>
        <v>-0.1744065447338761</v>
      </c>
      <c r="AP53" s="37"/>
    </row>
    <row r="54" spans="2:42" ht="29.1" customHeight="1">
      <c r="B54" s="37"/>
      <c r="C54" s="37"/>
      <c r="D54" s="37"/>
      <c r="E54" s="37"/>
      <c r="F54" s="37"/>
      <c r="G54" s="415" t="s">
        <v>37</v>
      </c>
      <c r="H54" s="416"/>
      <c r="I54" s="410">
        <f t="shared" si="21"/>
        <v>-685744482.06309652</v>
      </c>
      <c r="J54" s="411"/>
      <c r="K54" s="370">
        <f t="shared" si="22"/>
        <v>-0.23587118395891205</v>
      </c>
      <c r="L54" s="37"/>
      <c r="M54" s="406" t="s">
        <v>37</v>
      </c>
      <c r="N54" s="407"/>
      <c r="O54" s="369">
        <f t="shared" si="23"/>
        <v>-177425238.36854315</v>
      </c>
      <c r="P54" s="370">
        <f>O54/$P$20</f>
        <v>-0.16216706420650767</v>
      </c>
      <c r="Q54" s="37"/>
      <c r="R54" s="406" t="s">
        <v>37</v>
      </c>
      <c r="S54" s="407"/>
      <c r="T54" s="369">
        <f t="shared" si="24"/>
        <v>-22898598.137833089</v>
      </c>
      <c r="U54" s="370">
        <f t="shared" si="30"/>
        <v>-0.16196229492223424</v>
      </c>
      <c r="V54" s="37"/>
      <c r="W54" s="406" t="s">
        <v>37</v>
      </c>
      <c r="X54" s="407"/>
      <c r="Y54" s="369">
        <f t="shared" si="25"/>
        <v>-126862008.47709703</v>
      </c>
      <c r="Z54" s="370">
        <f t="shared" si="31"/>
        <v>-0.19057436790847945</v>
      </c>
      <c r="AA54" s="37"/>
      <c r="AB54" s="406" t="s">
        <v>37</v>
      </c>
      <c r="AC54" s="407"/>
      <c r="AD54" s="369">
        <f t="shared" si="26"/>
        <v>-188825117.41449672</v>
      </c>
      <c r="AE54" s="370">
        <f t="shared" si="32"/>
        <v>-0.27970052559856584</v>
      </c>
      <c r="AF54" s="37"/>
      <c r="AG54" s="406" t="s">
        <v>37</v>
      </c>
      <c r="AH54" s="407"/>
      <c r="AI54" s="369">
        <f t="shared" si="27"/>
        <v>-148508986.62620795</v>
      </c>
      <c r="AJ54" s="370">
        <f t="shared" si="33"/>
        <v>-0.69481731697828242</v>
      </c>
      <c r="AK54" s="37"/>
      <c r="AL54" s="406" t="s">
        <v>37</v>
      </c>
      <c r="AM54" s="407"/>
      <c r="AN54" s="369">
        <f t="shared" si="28"/>
        <v>-21224533.038918719</v>
      </c>
      <c r="AO54" s="370">
        <f t="shared" si="34"/>
        <v>-0.18095117036901384</v>
      </c>
      <c r="AP54" s="37"/>
    </row>
    <row r="55" spans="2:42" ht="29.1" customHeight="1" thickBot="1">
      <c r="B55" s="37"/>
      <c r="C55" s="37"/>
      <c r="D55" s="37"/>
      <c r="E55" s="37"/>
      <c r="F55" s="37"/>
      <c r="G55" s="417" t="s">
        <v>39</v>
      </c>
      <c r="H55" s="418"/>
      <c r="I55" s="419">
        <f t="shared" si="21"/>
        <v>-716226502.16208792</v>
      </c>
      <c r="J55" s="420"/>
      <c r="K55" s="372">
        <f t="shared" si="22"/>
        <v>-0.24635589124897656</v>
      </c>
      <c r="L55" s="37"/>
      <c r="M55" s="417" t="s">
        <v>39</v>
      </c>
      <c r="N55" s="418"/>
      <c r="O55" s="371">
        <f t="shared" si="23"/>
        <v>-182286210.44227874</v>
      </c>
      <c r="P55" s="372">
        <f>O55/$P$20</f>
        <v>-0.16661000354048286</v>
      </c>
      <c r="Q55" s="37"/>
      <c r="R55" s="417" t="s">
        <v>39</v>
      </c>
      <c r="S55" s="418"/>
      <c r="T55" s="371">
        <f t="shared" si="24"/>
        <v>-22976322.4547759</v>
      </c>
      <c r="U55" s="372">
        <f t="shared" ref="U55" si="35">T55/$U$20</f>
        <v>-0.16251204074805062</v>
      </c>
      <c r="V55" s="37"/>
      <c r="W55" s="417" t="s">
        <v>39</v>
      </c>
      <c r="X55" s="418"/>
      <c r="Y55" s="371">
        <f t="shared" si="25"/>
        <v>-128947980.25977552</v>
      </c>
      <c r="Z55" s="372">
        <f t="shared" ref="Z55" si="36">Y55/$Z$20</f>
        <v>-0.19370795186108292</v>
      </c>
      <c r="AA55" s="37"/>
      <c r="AB55" s="417" t="s">
        <v>39</v>
      </c>
      <c r="AC55" s="418"/>
      <c r="AD55" s="371">
        <f t="shared" si="26"/>
        <v>-205590425.99448514</v>
      </c>
      <c r="AE55" s="372">
        <f t="shared" ref="AE55" si="37">AD55/$AE$20</f>
        <v>-0.30453443374517819</v>
      </c>
      <c r="AF55" s="37"/>
      <c r="AG55" s="417" t="s">
        <v>39</v>
      </c>
      <c r="AH55" s="418"/>
      <c r="AI55" s="371">
        <f t="shared" si="27"/>
        <v>-155087643.99443227</v>
      </c>
      <c r="AJ55" s="372">
        <f t="shared" ref="AJ55" si="38">AI55/$AJ$20</f>
        <v>-0.72559636386124304</v>
      </c>
      <c r="AK55" s="37"/>
      <c r="AL55" s="417" t="s">
        <v>39</v>
      </c>
      <c r="AM55" s="418"/>
      <c r="AN55" s="371">
        <f t="shared" si="28"/>
        <v>-21337919.016340405</v>
      </c>
      <c r="AO55" s="372">
        <f t="shared" ref="AO55" si="39">AN55/$AO$20</f>
        <v>-0.18191785007312167</v>
      </c>
      <c r="AP55" s="37"/>
    </row>
    <row r="56" spans="2:42" ht="15.75" thickBot="1">
      <c r="B56" s="37"/>
      <c r="C56" s="37"/>
      <c r="D56" s="37"/>
      <c r="E56" s="37"/>
      <c r="F56" s="37"/>
      <c r="G56" s="423" t="s">
        <v>22</v>
      </c>
      <c r="H56" s="424"/>
      <c r="I56" s="425">
        <f t="shared" si="21"/>
        <v>1499814.2711782455</v>
      </c>
      <c r="J56" s="426"/>
      <c r="K56" s="374">
        <f t="shared" si="22"/>
        <v>5.158816105919978E-4</v>
      </c>
      <c r="L56" s="37"/>
      <c r="M56" s="421" t="s">
        <v>22</v>
      </c>
      <c r="N56" s="422"/>
      <c r="O56" s="373">
        <f t="shared" si="23"/>
        <v>1499814.2711777687</v>
      </c>
      <c r="P56" s="374">
        <f>O56/$P$20</f>
        <v>1.370833594185233E-3</v>
      </c>
      <c r="Q56" s="37"/>
      <c r="R56" s="421" t="s">
        <v>22</v>
      </c>
      <c r="S56" s="422"/>
      <c r="T56" s="373">
        <f t="shared" si="24"/>
        <v>0</v>
      </c>
      <c r="U56" s="374">
        <f>T56/$U$20</f>
        <v>0</v>
      </c>
      <c r="V56" s="37"/>
      <c r="W56" s="421" t="s">
        <v>22</v>
      </c>
      <c r="X56" s="422"/>
      <c r="Y56" s="373">
        <f t="shared" si="25"/>
        <v>0</v>
      </c>
      <c r="Z56" s="374">
        <f>Y56/$Z$20</f>
        <v>0</v>
      </c>
      <c r="AA56" s="37"/>
      <c r="AB56" s="421" t="s">
        <v>22</v>
      </c>
      <c r="AC56" s="422"/>
      <c r="AD56" s="373">
        <f t="shared" si="26"/>
        <v>0</v>
      </c>
      <c r="AE56" s="374">
        <f>AD56/$AE$20</f>
        <v>0</v>
      </c>
      <c r="AF56" s="37"/>
      <c r="AG56" s="421" t="s">
        <v>22</v>
      </c>
      <c r="AH56" s="422"/>
      <c r="AI56" s="373">
        <f t="shared" si="27"/>
        <v>0</v>
      </c>
      <c r="AJ56" s="374">
        <f>AI56/$AJ$20</f>
        <v>0</v>
      </c>
      <c r="AK56" s="37"/>
      <c r="AL56" s="421" t="s">
        <v>22</v>
      </c>
      <c r="AM56" s="422"/>
      <c r="AN56" s="373">
        <f t="shared" si="28"/>
        <v>0</v>
      </c>
      <c r="AO56" s="374">
        <f>AN56/$AO$20</f>
        <v>0</v>
      </c>
      <c r="AP56" s="37"/>
    </row>
    <row r="57" spans="2:42">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row>
    <row r="60" spans="2:42">
      <c r="N60" s="248"/>
      <c r="O60" s="248"/>
    </row>
    <row r="61" spans="2:42">
      <c r="N61" s="248"/>
    </row>
    <row r="62" spans="2:42">
      <c r="N62" s="248"/>
      <c r="O62" s="248"/>
    </row>
    <row r="63" spans="2:42" ht="14.45" customHeight="1">
      <c r="D63" s="249"/>
      <c r="E63" s="87"/>
      <c r="F63" s="249"/>
      <c r="G63" s="249"/>
      <c r="I63" s="251"/>
      <c r="K63" s="248"/>
      <c r="N63" s="248"/>
    </row>
    <row r="64" spans="2:42" ht="14.45" customHeight="1">
      <c r="D64" s="249"/>
      <c r="E64" s="87"/>
      <c r="F64" s="249"/>
      <c r="G64" s="249"/>
      <c r="I64" s="251"/>
      <c r="K64" s="248"/>
      <c r="N64" s="248"/>
    </row>
    <row r="65" spans="3:14" ht="14.45" customHeight="1">
      <c r="C65" s="248"/>
      <c r="D65" s="249"/>
      <c r="E65" s="87"/>
      <c r="F65" s="249"/>
      <c r="G65" s="249"/>
      <c r="I65" s="251"/>
      <c r="K65" s="248"/>
      <c r="N65" s="248"/>
    </row>
    <row r="66" spans="3:14" ht="14.45" customHeight="1">
      <c r="D66" s="249"/>
      <c r="E66" s="87"/>
      <c r="F66" s="249"/>
      <c r="G66" s="249"/>
      <c r="I66" s="251"/>
      <c r="K66" s="248"/>
      <c r="N66" s="248"/>
    </row>
    <row r="67" spans="3:14" ht="14.45" customHeight="1">
      <c r="D67" s="249"/>
      <c r="E67" s="87"/>
      <c r="F67" s="249"/>
      <c r="G67" s="249"/>
      <c r="I67" s="251"/>
      <c r="K67" s="248"/>
    </row>
    <row r="68" spans="3:14" ht="15" customHeight="1">
      <c r="D68" s="249"/>
      <c r="E68" s="87"/>
      <c r="F68" s="249"/>
      <c r="G68" s="249"/>
      <c r="I68" s="251"/>
      <c r="K68" s="248"/>
    </row>
    <row r="72" spans="3:14">
      <c r="D72" s="249"/>
      <c r="E72" s="249"/>
      <c r="F72" s="26"/>
    </row>
    <row r="73" spans="3:14">
      <c r="D73" s="249"/>
      <c r="E73" s="249"/>
      <c r="F73" s="26"/>
    </row>
    <row r="74" spans="3:14">
      <c r="D74" s="249"/>
      <c r="E74" s="249"/>
      <c r="F74" s="26"/>
    </row>
    <row r="75" spans="3:14">
      <c r="D75" s="249"/>
      <c r="E75" s="249"/>
      <c r="F75" s="26"/>
    </row>
    <row r="76" spans="3:14">
      <c r="D76" s="249"/>
      <c r="E76" s="249"/>
      <c r="F76" s="26"/>
    </row>
    <row r="77" spans="3:14">
      <c r="D77" s="249"/>
      <c r="E77" s="249"/>
      <c r="F77" s="26"/>
    </row>
    <row r="83" spans="7:7">
      <c r="G83" s="26"/>
    </row>
  </sheetData>
  <sheetProtection algorithmName="SHA-512" hashValue="UjDVDxpTRjOWvy9VBZJW5p4fUVdAJ6N1g7wrbkoCoNq/NMAM9BJRX87vSnyQsG8gKUNXJFopuTh3AIidd3/QXw==" saltValue="J0oD30EaXnRmW6GYtOmC3Q==" spinCount="100000" sheet="1" objects="1" scenarios="1"/>
  <mergeCells count="108">
    <mergeCell ref="AC5:AE5"/>
    <mergeCell ref="K5:K7"/>
    <mergeCell ref="M5:M7"/>
    <mergeCell ref="N5:N7"/>
    <mergeCell ref="AL47:AO47"/>
    <mergeCell ref="AG47:AJ47"/>
    <mergeCell ref="W47:Z47"/>
    <mergeCell ref="R47:U47"/>
    <mergeCell ref="M47:P47"/>
    <mergeCell ref="AB47:AE47"/>
    <mergeCell ref="AG6:AG7"/>
    <mergeCell ref="AH6:AH7"/>
    <mergeCell ref="V9:W9"/>
    <mergeCell ref="V11:W11"/>
    <mergeCell ref="V13:W13"/>
    <mergeCell ref="AB55:AC55"/>
    <mergeCell ref="AG55:AH55"/>
    <mergeCell ref="AL55:AM55"/>
    <mergeCell ref="I55:J55"/>
    <mergeCell ref="G55:H55"/>
    <mergeCell ref="M55:N55"/>
    <mergeCell ref="R55:S55"/>
    <mergeCell ref="W55:X55"/>
    <mergeCell ref="AB56:AC56"/>
    <mergeCell ref="AG56:AH56"/>
    <mergeCell ref="AL56:AM56"/>
    <mergeCell ref="M56:N56"/>
    <mergeCell ref="R56:S56"/>
    <mergeCell ref="W56:X56"/>
    <mergeCell ref="G56:H56"/>
    <mergeCell ref="I56:J56"/>
    <mergeCell ref="I54:J54"/>
    <mergeCell ref="I53:J53"/>
    <mergeCell ref="I52:J52"/>
    <mergeCell ref="I51:J51"/>
    <mergeCell ref="I50:J50"/>
    <mergeCell ref="G49:H49"/>
    <mergeCell ref="G48:H48"/>
    <mergeCell ref="I49:J49"/>
    <mergeCell ref="I48:J48"/>
    <mergeCell ref="G54:H54"/>
    <mergeCell ref="G53:H53"/>
    <mergeCell ref="G52:H52"/>
    <mergeCell ref="G51:H51"/>
    <mergeCell ref="G50:H50"/>
    <mergeCell ref="AG53:AH53"/>
    <mergeCell ref="AG54:AH54"/>
    <mergeCell ref="AL48:AM48"/>
    <mergeCell ref="AL49:AM49"/>
    <mergeCell ref="AL50:AM50"/>
    <mergeCell ref="AL51:AM51"/>
    <mergeCell ref="AL52:AM52"/>
    <mergeCell ref="AL53:AM53"/>
    <mergeCell ref="AL54:AM54"/>
    <mergeCell ref="AG48:AH48"/>
    <mergeCell ref="AG49:AH49"/>
    <mergeCell ref="AG50:AH50"/>
    <mergeCell ref="AG51:AH51"/>
    <mergeCell ref="AG52:AH52"/>
    <mergeCell ref="W53:X53"/>
    <mergeCell ref="W54:X54"/>
    <mergeCell ref="AB48:AC48"/>
    <mergeCell ref="AB49:AC49"/>
    <mergeCell ref="AB50:AC50"/>
    <mergeCell ref="AB51:AC51"/>
    <mergeCell ref="AB52:AC52"/>
    <mergeCell ref="AB53:AC53"/>
    <mergeCell ref="AB54:AC54"/>
    <mergeCell ref="W48:X48"/>
    <mergeCell ref="W49:X49"/>
    <mergeCell ref="W50:X50"/>
    <mergeCell ref="W51:X51"/>
    <mergeCell ref="W52:X52"/>
    <mergeCell ref="M51:N51"/>
    <mergeCell ref="M52:N52"/>
    <mergeCell ref="M53:N53"/>
    <mergeCell ref="M54:N54"/>
    <mergeCell ref="R48:S48"/>
    <mergeCell ref="R49:S49"/>
    <mergeCell ref="R50:S50"/>
    <mergeCell ref="R51:S51"/>
    <mergeCell ref="R52:S52"/>
    <mergeCell ref="R53:S53"/>
    <mergeCell ref="R54:S54"/>
    <mergeCell ref="M48:N48"/>
    <mergeCell ref="M49:N49"/>
    <mergeCell ref="M50:N50"/>
    <mergeCell ref="H20:J20"/>
    <mergeCell ref="H21:J21"/>
    <mergeCell ref="H22:J22"/>
    <mergeCell ref="H23:J23"/>
    <mergeCell ref="H25:J25"/>
    <mergeCell ref="H26:J26"/>
    <mergeCell ref="H28:J28"/>
    <mergeCell ref="G47:K47"/>
    <mergeCell ref="D28:E28"/>
    <mergeCell ref="H24:J24"/>
    <mergeCell ref="H27:J27"/>
    <mergeCell ref="C17:E19"/>
    <mergeCell ref="F17:AO17"/>
    <mergeCell ref="F18:K18"/>
    <mergeCell ref="M18:P18"/>
    <mergeCell ref="W18:Z18"/>
    <mergeCell ref="AB18:AE18"/>
    <mergeCell ref="AG18:AJ18"/>
    <mergeCell ref="AL18:AO18"/>
    <mergeCell ref="R18:U18"/>
    <mergeCell ref="H19:J19"/>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9ED44254-46A8-475B-B200-4CE3AA570061}">
          <x14:formula1>
            <xm:f>'6 - Lists'!$E$124:$E$126</xm:f>
          </x14:formula1>
          <xm:sqref>S9:X9</xm:sqref>
        </x14:dataValidation>
        <x14:dataValidation type="list" allowBlank="1" showInputMessage="1" showErrorMessage="1" xr:uid="{D48276FD-4A08-4694-BA6E-386A96C94296}">
          <x14:formula1>
            <xm:f>'6 - Lists'!$D$124:$D$128</xm:f>
          </x14:formula1>
          <xm:sqref>F6</xm:sqref>
        </x14:dataValidation>
        <x14:dataValidation type="list" allowBlank="1" showInputMessage="1" showErrorMessage="1" xr:uid="{9099E35B-0C67-425E-9A11-8B5E94FB6593}">
          <x14:formula1>
            <xm:f>'6 - Lists'!$I$124:$I$126</xm:f>
          </x14:formula1>
          <xm:sqref>S13:V13 X13</xm:sqref>
        </x14:dataValidation>
        <x14:dataValidation type="list" allowBlank="1" showInputMessage="1" showErrorMessage="1" xr:uid="{885D59DC-68FD-477B-98DB-8E6E16076971}">
          <x14:formula1>
            <xm:f>'6 - Lists'!$J$124:$J$204</xm:f>
          </x14:formula1>
          <xm:sqref>S11:X11</xm:sqref>
        </x14:dataValidation>
        <x14:dataValidation type="list" allowBlank="1" showInputMessage="1" showErrorMessage="1" xr:uid="{C6BF64D0-2FAF-44EB-B04C-E5CB20CEBE53}">
          <x14:formula1>
            <xm:f>'6 - Lists'!$G$124:$G$224</xm:f>
          </x14:formula1>
          <xm:sqref>M8:M12</xm:sqref>
        </x14:dataValidation>
        <x14:dataValidation type="list" allowBlank="1" showInputMessage="1" showErrorMessage="1" xr:uid="{9C5E36FD-E0AB-458A-A0F8-9F6C6DF5267A}">
          <x14:formula1>
            <xm:f>'6 - Lists'!$G$124:$G$128</xm:f>
          </x14:formula1>
          <xm:sqref>M13</xm:sqref>
        </x14:dataValidation>
        <x14:dataValidation type="list" allowBlank="1" showInputMessage="1" showErrorMessage="1" xr:uid="{E098B53A-D43F-4EE3-99A1-C9B3CD6E1B04}">
          <x14:formula1>
            <xm:f>'6 - Lists'!$F$124:$F$130</xm:f>
          </x14:formula1>
          <xm:sqref>K8:K13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B97C7-AADB-4D68-9D37-5A656B2CCD17}">
  <dimension ref="A1:AZ87"/>
  <sheetViews>
    <sheetView workbookViewId="0">
      <selection sqref="A1:AP1"/>
    </sheetView>
    <sheetView workbookViewId="1">
      <selection sqref="A1:AP1"/>
    </sheetView>
  </sheetViews>
  <sheetFormatPr defaultRowHeight="15"/>
  <cols>
    <col min="1" max="1" width="25.85546875" style="28" customWidth="1"/>
    <col min="2" max="4" width="25.85546875" customWidth="1"/>
    <col min="5" max="5" width="41.85546875" customWidth="1"/>
    <col min="6" max="6" width="50.140625" customWidth="1"/>
    <col min="7" max="12" width="32.42578125" customWidth="1"/>
    <col min="13" max="18" width="34.140625" customWidth="1"/>
    <col min="19" max="19" width="34.42578125" customWidth="1"/>
    <col min="20" max="22" width="34.140625" customWidth="1"/>
    <col min="23" max="24" width="34.42578125" customWidth="1"/>
    <col min="25" max="25" width="35.140625" customWidth="1"/>
    <col min="26" max="28" width="34.140625" customWidth="1"/>
    <col min="29" max="31" width="35.140625" customWidth="1"/>
    <col min="32" max="34" width="34.140625" customWidth="1"/>
    <col min="35" max="37" width="35.140625" customWidth="1"/>
    <col min="38" max="40" width="34.140625" customWidth="1"/>
    <col min="41" max="42" width="35.140625" customWidth="1"/>
    <col min="44" max="45" width="25.85546875" customWidth="1"/>
    <col min="46" max="46" width="34" customWidth="1"/>
    <col min="47" max="47" width="18.28515625" customWidth="1"/>
    <col min="48" max="48" width="33.42578125" customWidth="1"/>
    <col min="49" max="49" width="14.42578125" bestFit="1" customWidth="1"/>
    <col min="50" max="50" width="14.42578125" customWidth="1"/>
    <col min="51" max="51" width="19.140625" customWidth="1"/>
    <col min="52" max="52" width="14.42578125" bestFit="1" customWidth="1"/>
  </cols>
  <sheetData>
    <row r="1" spans="1:52">
      <c r="A1" s="442" t="s">
        <v>40</v>
      </c>
      <c r="B1" s="443"/>
      <c r="C1" s="443"/>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4"/>
    </row>
    <row r="2" spans="1:52">
      <c r="A2" s="283" t="s">
        <v>2</v>
      </c>
      <c r="B2" s="445" t="s">
        <v>24</v>
      </c>
      <c r="C2" s="445"/>
      <c r="D2" s="445"/>
      <c r="E2" s="445"/>
      <c r="F2" s="445"/>
      <c r="G2" s="445" t="s">
        <v>41</v>
      </c>
      <c r="H2" s="445"/>
      <c r="I2" s="445"/>
      <c r="J2" s="445"/>
      <c r="K2" s="445"/>
      <c r="L2" s="445"/>
      <c r="M2" s="445" t="s">
        <v>42</v>
      </c>
      <c r="N2" s="445"/>
      <c r="O2" s="445"/>
      <c r="P2" s="445"/>
      <c r="Q2" s="445"/>
      <c r="R2" s="445"/>
      <c r="S2" s="445" t="s">
        <v>27</v>
      </c>
      <c r="T2" s="445"/>
      <c r="U2" s="445"/>
      <c r="V2" s="445"/>
      <c r="W2" s="445"/>
      <c r="X2" s="445"/>
      <c r="Y2" s="445" t="s">
        <v>28</v>
      </c>
      <c r="Z2" s="445"/>
      <c r="AA2" s="445"/>
      <c r="AB2" s="445"/>
      <c r="AC2" s="445"/>
      <c r="AD2" s="445"/>
      <c r="AE2" s="445" t="s">
        <v>29</v>
      </c>
      <c r="AF2" s="445"/>
      <c r="AG2" s="445"/>
      <c r="AH2" s="445"/>
      <c r="AI2" s="445"/>
      <c r="AJ2" s="445"/>
      <c r="AK2" s="445" t="s">
        <v>30</v>
      </c>
      <c r="AL2" s="445"/>
      <c r="AM2" s="445"/>
      <c r="AN2" s="445"/>
      <c r="AO2" s="445"/>
      <c r="AP2" s="446"/>
    </row>
    <row r="3" spans="1:52" s="28" customFormat="1" ht="30">
      <c r="A3" s="283"/>
      <c r="B3" s="284" t="s">
        <v>3</v>
      </c>
      <c r="C3" s="284" t="s">
        <v>701</v>
      </c>
      <c r="D3" s="284" t="s">
        <v>698</v>
      </c>
      <c r="E3" s="284" t="s">
        <v>43</v>
      </c>
      <c r="F3" s="284" t="s">
        <v>44</v>
      </c>
      <c r="G3" s="284" t="s">
        <v>3</v>
      </c>
      <c r="H3" s="284" t="s">
        <v>700</v>
      </c>
      <c r="I3" s="284" t="s">
        <v>699</v>
      </c>
      <c r="J3" s="284" t="s">
        <v>697</v>
      </c>
      <c r="K3" s="284" t="s">
        <v>43</v>
      </c>
      <c r="L3" s="284" t="s">
        <v>44</v>
      </c>
      <c r="M3" s="284" t="s">
        <v>3</v>
      </c>
      <c r="N3" s="284" t="s">
        <v>700</v>
      </c>
      <c r="O3" s="284" t="s">
        <v>699</v>
      </c>
      <c r="P3" s="284" t="s">
        <v>697</v>
      </c>
      <c r="Q3" s="284" t="s">
        <v>43</v>
      </c>
      <c r="R3" s="284" t="s">
        <v>44</v>
      </c>
      <c r="S3" s="284" t="s">
        <v>3</v>
      </c>
      <c r="T3" s="284" t="s">
        <v>700</v>
      </c>
      <c r="U3" s="284" t="s">
        <v>699</v>
      </c>
      <c r="V3" s="284" t="s">
        <v>697</v>
      </c>
      <c r="W3" s="284" t="s">
        <v>43</v>
      </c>
      <c r="X3" s="284" t="s">
        <v>44</v>
      </c>
      <c r="Y3" s="284" t="s">
        <v>3</v>
      </c>
      <c r="Z3" s="284" t="s">
        <v>700</v>
      </c>
      <c r="AA3" s="284" t="s">
        <v>699</v>
      </c>
      <c r="AB3" s="284" t="s">
        <v>697</v>
      </c>
      <c r="AC3" s="284" t="s">
        <v>43</v>
      </c>
      <c r="AD3" s="284" t="s">
        <v>44</v>
      </c>
      <c r="AE3" s="284" t="s">
        <v>3</v>
      </c>
      <c r="AF3" s="284" t="s">
        <v>700</v>
      </c>
      <c r="AG3" s="284" t="s">
        <v>699</v>
      </c>
      <c r="AH3" s="284" t="s">
        <v>697</v>
      </c>
      <c r="AI3" s="284" t="s">
        <v>43</v>
      </c>
      <c r="AJ3" s="284" t="s">
        <v>44</v>
      </c>
      <c r="AK3" s="284" t="s">
        <v>3</v>
      </c>
      <c r="AL3" s="284" t="s">
        <v>700</v>
      </c>
      <c r="AM3" s="284" t="s">
        <v>699</v>
      </c>
      <c r="AN3" s="284" t="s">
        <v>697</v>
      </c>
      <c r="AO3" s="284" t="s">
        <v>43</v>
      </c>
      <c r="AP3" s="285" t="s">
        <v>44</v>
      </c>
      <c r="AR3"/>
      <c r="AS3"/>
      <c r="AT3"/>
      <c r="AU3"/>
      <c r="AV3"/>
      <c r="AW3"/>
      <c r="AX3"/>
      <c r="AY3"/>
      <c r="AZ3"/>
    </row>
    <row r="4" spans="1:52">
      <c r="A4" s="70" t="s">
        <v>9</v>
      </c>
      <c r="B4" s="188">
        <f t="shared" ref="B4:C11" si="0">SUM(B30,B42,B54,B66)</f>
        <v>2907283842.6187358</v>
      </c>
      <c r="C4" s="378">
        <f>SUM(C30,C42,C54,C66)</f>
        <v>13048084.298340347</v>
      </c>
      <c r="D4" s="378">
        <f>SUM(D30,D42,D54,D66)</f>
        <v>887715</v>
      </c>
      <c r="E4" s="41"/>
      <c r="F4" s="41"/>
      <c r="G4" s="188">
        <f t="shared" ref="G4:J11" si="1">SUM(G30,G42,G54,G66)</f>
        <v>1094089229.7501626</v>
      </c>
      <c r="H4" s="378">
        <f t="shared" si="1"/>
        <v>159333.53804802863</v>
      </c>
      <c r="I4" s="378">
        <f t="shared" si="1"/>
        <v>3128398.5232839999</v>
      </c>
      <c r="J4" s="378">
        <f t="shared" si="1"/>
        <v>0</v>
      </c>
      <c r="K4" s="41"/>
      <c r="L4" s="41"/>
      <c r="M4" s="188">
        <f t="shared" ref="M4:P11" si="2">SUM(M30,M42,M54,M66)</f>
        <v>141382277.57780161</v>
      </c>
      <c r="N4" s="378">
        <f t="shared" si="2"/>
        <v>4362</v>
      </c>
      <c r="O4" s="378">
        <f t="shared" si="2"/>
        <v>70010.814225999886</v>
      </c>
      <c r="P4" s="378">
        <f t="shared" si="2"/>
        <v>0</v>
      </c>
      <c r="Q4" s="41"/>
      <c r="R4" s="41"/>
      <c r="S4" s="188">
        <f t="shared" ref="S4:U11" si="3">SUM(S30,S42,S54,S66)</f>
        <v>665682430.79793739</v>
      </c>
      <c r="T4" s="378">
        <f t="shared" si="3"/>
        <v>22583</v>
      </c>
      <c r="U4" s="378">
        <f t="shared" si="3"/>
        <v>1418635.7381603494</v>
      </c>
      <c r="V4" s="221"/>
      <c r="W4" s="41"/>
      <c r="X4" s="41"/>
      <c r="Y4" s="188">
        <f t="shared" ref="Y4:AA11" si="4">SUM(Y30,Y42,Y54,Y66)</f>
        <v>675097470.80527091</v>
      </c>
      <c r="Z4" s="378">
        <f t="shared" si="4"/>
        <v>49531</v>
      </c>
      <c r="AA4" s="378">
        <f t="shared" si="4"/>
        <v>5749113.4649529997</v>
      </c>
      <c r="AB4" s="221"/>
      <c r="AC4" s="41"/>
      <c r="AD4" s="41"/>
      <c r="AE4" s="188">
        <f t="shared" ref="AE4:AG11" si="5">SUM(AE30,AE42,AE54,AE66)</f>
        <v>213738176.92406452</v>
      </c>
      <c r="AF4" s="378">
        <f t="shared" si="5"/>
        <v>189545.88764518281</v>
      </c>
      <c r="AG4" s="378">
        <f t="shared" si="5"/>
        <v>2579792.4111229982</v>
      </c>
      <c r="AH4" s="221"/>
      <c r="AI4" s="41"/>
      <c r="AJ4" s="41"/>
      <c r="AK4" s="188">
        <f t="shared" ref="AK4:AM11" si="6">SUM(AK30,AK42,AK54,AK66)</f>
        <v>117294256.76349877</v>
      </c>
      <c r="AL4" s="378">
        <f t="shared" si="6"/>
        <v>7299</v>
      </c>
      <c r="AM4" s="378">
        <f t="shared" si="6"/>
        <v>102133.34659399996</v>
      </c>
      <c r="AN4" s="221"/>
      <c r="AO4" s="41"/>
      <c r="AP4" s="41"/>
      <c r="AS4" t="s">
        <v>45</v>
      </c>
      <c r="AT4" t="s">
        <v>46</v>
      </c>
      <c r="AU4" t="s">
        <v>47</v>
      </c>
      <c r="AV4" t="s">
        <v>48</v>
      </c>
      <c r="AW4" t="s">
        <v>49</v>
      </c>
    </row>
    <row r="5" spans="1:52" ht="30">
      <c r="A5" s="70" t="s">
        <v>31</v>
      </c>
      <c r="B5" s="189">
        <f t="shared" si="0"/>
        <v>2238414464.012104</v>
      </c>
      <c r="C5" s="378">
        <f t="shared" si="0"/>
        <v>13048084.298340347</v>
      </c>
      <c r="D5" s="378">
        <f t="shared" ref="D5" si="7">SUM(D31,D43,D55,D67)</f>
        <v>887715</v>
      </c>
      <c r="E5" s="132">
        <f>B5-B$4</f>
        <v>-668869378.60663176</v>
      </c>
      <c r="F5" s="277">
        <f>E5/B$4</f>
        <v>-0.23006676155987152</v>
      </c>
      <c r="G5" s="189">
        <f>SUM(G31,G43,G55,G67)</f>
        <v>1060894125.0237994</v>
      </c>
      <c r="H5" s="378">
        <f t="shared" ref="H5:I5" si="8">SUM(H31,H43,H55,H67)</f>
        <v>159333.53804802863</v>
      </c>
      <c r="I5" s="378">
        <f t="shared" si="8"/>
        <v>3128398.5232839999</v>
      </c>
      <c r="J5" s="211">
        <f>(I5/$C5)*$D5</f>
        <v>212837.85662315908</v>
      </c>
      <c r="K5" s="132">
        <f t="shared" ref="K5:K11" si="9">G5-G$4</f>
        <v>-33195104.726363182</v>
      </c>
      <c r="L5" s="277">
        <f t="shared" ref="L5:L11" si="10">K5/G$4</f>
        <v>-3.0340399872086619E-2</v>
      </c>
      <c r="M5" s="189">
        <f t="shared" si="2"/>
        <v>138288549.30570987</v>
      </c>
      <c r="N5" s="378">
        <f t="shared" si="2"/>
        <v>4362</v>
      </c>
      <c r="O5" s="378">
        <f t="shared" si="2"/>
        <v>70010.814225999886</v>
      </c>
      <c r="P5" s="211">
        <f>(O5/$C5)*$D5</f>
        <v>4763.1244962556393</v>
      </c>
      <c r="Q5" s="132">
        <f>M5-M$4</f>
        <v>-3093728.2720917463</v>
      </c>
      <c r="R5" s="277">
        <f>Q5/M$4</f>
        <v>-2.1882009011980237E-2</v>
      </c>
      <c r="S5" s="189">
        <f t="shared" si="3"/>
        <v>458515263.86368352</v>
      </c>
      <c r="T5" s="378">
        <f t="shared" si="3"/>
        <v>53743.102270705065</v>
      </c>
      <c r="U5" s="378">
        <f t="shared" si="3"/>
        <v>1418635.7381603494</v>
      </c>
      <c r="V5" s="211">
        <f>(U5/$C5)*$D5</f>
        <v>96515.641339104259</v>
      </c>
      <c r="W5" s="132">
        <f t="shared" ref="W5:W11" si="11">S5-S$4</f>
        <v>-207167166.93425387</v>
      </c>
      <c r="X5" s="277">
        <f t="shared" ref="X5:X11" si="12">W5/S$4</f>
        <v>-0.31121020677371281</v>
      </c>
      <c r="Y5" s="189">
        <f t="shared" si="4"/>
        <v>288039938.44724524</v>
      </c>
      <c r="Z5" s="378">
        <f t="shared" si="4"/>
        <v>473431.47203608352</v>
      </c>
      <c r="AA5" s="378">
        <f t="shared" si="4"/>
        <v>5749113.4649529997</v>
      </c>
      <c r="AB5" s="211">
        <f>(AA5/$C5)*$D5</f>
        <v>391135.90492283239</v>
      </c>
      <c r="AC5" s="132">
        <f>Y5-Y$4</f>
        <v>-387057532.35802567</v>
      </c>
      <c r="AD5" s="277">
        <f>AC5/Y$4</f>
        <v>-0.57333577608628139</v>
      </c>
      <c r="AE5" s="189">
        <f t="shared" si="5"/>
        <v>148794440.29068059</v>
      </c>
      <c r="AF5" s="378">
        <f t="shared" si="5"/>
        <v>189545.88764518281</v>
      </c>
      <c r="AG5" s="378">
        <f t="shared" si="5"/>
        <v>2579792.4111229982</v>
      </c>
      <c r="AH5" s="211">
        <f>(AG5/$C5)*$D5</f>
        <v>175513.91973543155</v>
      </c>
      <c r="AI5" s="132">
        <f>AE5-AE$4</f>
        <v>-64943736.63338393</v>
      </c>
      <c r="AJ5" s="277">
        <f>AI5/AE$4</f>
        <v>-0.30384715340983148</v>
      </c>
      <c r="AK5" s="189">
        <f t="shared" si="6"/>
        <v>143882147.08098519</v>
      </c>
      <c r="AL5" s="378">
        <f t="shared" si="6"/>
        <v>7299</v>
      </c>
      <c r="AM5" s="378">
        <f t="shared" si="6"/>
        <v>102133.34659399996</v>
      </c>
      <c r="AN5" s="211">
        <f>(AM5/$C5)*$D5</f>
        <v>6948.5528832171067</v>
      </c>
      <c r="AO5" s="132">
        <f>AK5-AK$4</f>
        <v>26587890.31748642</v>
      </c>
      <c r="AP5" s="277">
        <f>AO5/AK$4</f>
        <v>0.22667683014604686</v>
      </c>
      <c r="AS5" s="87">
        <v>-28244901.782397747</v>
      </c>
      <c r="AT5" s="87">
        <v>-63726490.742454052</v>
      </c>
      <c r="AU5" s="87">
        <f>AT5-AS5</f>
        <v>-35481588.960056305</v>
      </c>
      <c r="AV5" s="87">
        <v>39445973.084800243</v>
      </c>
      <c r="AW5" s="87">
        <f>AV5-AS5</f>
        <v>67690874.86719799</v>
      </c>
    </row>
    <row r="6" spans="1:52" ht="45">
      <c r="A6" s="70" t="s">
        <v>32</v>
      </c>
      <c r="B6" s="189">
        <f t="shared" si="0"/>
        <v>2822221438.8704996</v>
      </c>
      <c r="C6" s="378">
        <f t="shared" si="0"/>
        <v>13048084.298340347</v>
      </c>
      <c r="D6" s="378">
        <f t="shared" ref="D6" si="13">SUM(D32,D44,D56,D68)</f>
        <v>887715</v>
      </c>
      <c r="E6" s="132">
        <f t="shared" ref="E6:E11" si="14">B6-B$4</f>
        <v>-85062403.748236179</v>
      </c>
      <c r="F6" s="277">
        <f t="shared" ref="F6:F11" si="15">E6/B$4</f>
        <v>-2.92583759801094E-2</v>
      </c>
      <c r="G6" s="189">
        <f t="shared" si="1"/>
        <v>1056069718.5439053</v>
      </c>
      <c r="H6" s="378">
        <f t="shared" si="1"/>
        <v>159333.53804802863</v>
      </c>
      <c r="I6" s="378">
        <f t="shared" si="1"/>
        <v>3128398.5232839999</v>
      </c>
      <c r="J6" s="211">
        <f t="shared" ref="J6:J11" si="16">(I6/$C6)*$D6</f>
        <v>212837.85662315908</v>
      </c>
      <c r="K6" s="132">
        <f t="shared" si="9"/>
        <v>-38019511.206257343</v>
      </c>
      <c r="L6" s="277">
        <f t="shared" si="10"/>
        <v>-3.4749918171609433E-2</v>
      </c>
      <c r="M6" s="189">
        <f t="shared" si="2"/>
        <v>136721151.14229372</v>
      </c>
      <c r="N6" s="378">
        <f t="shared" si="2"/>
        <v>4362</v>
      </c>
      <c r="O6" s="378">
        <f t="shared" si="2"/>
        <v>70010.814225999886</v>
      </c>
      <c r="P6" s="211">
        <f t="shared" ref="P6:P11" si="17">(O6/$C6)*$D6</f>
        <v>4763.1244962556393</v>
      </c>
      <c r="Q6" s="132">
        <f t="shared" ref="Q6:Q11" si="18">M6-M$4</f>
        <v>-4661126.4355078936</v>
      </c>
      <c r="R6" s="277">
        <f t="shared" ref="R6:R11" si="19">Q6/M$4</f>
        <v>-3.2968251151159381E-2</v>
      </c>
      <c r="S6" s="189">
        <f t="shared" si="3"/>
        <v>670104085.57021415</v>
      </c>
      <c r="T6" s="378">
        <f t="shared" si="3"/>
        <v>53743.102270705065</v>
      </c>
      <c r="U6" s="378">
        <f t="shared" si="3"/>
        <v>1418635.7381603494</v>
      </c>
      <c r="V6" s="211">
        <f t="shared" ref="V6:V11" si="20">(U6/$C6)*$D6</f>
        <v>96515.641339104259</v>
      </c>
      <c r="W6" s="132">
        <f t="shared" si="11"/>
        <v>4421654.7722767591</v>
      </c>
      <c r="X6" s="277">
        <f t="shared" si="12"/>
        <v>6.6422885263422516E-3</v>
      </c>
      <c r="Y6" s="189">
        <f t="shared" si="4"/>
        <v>634597931.4680711</v>
      </c>
      <c r="Z6" s="378">
        <f t="shared" si="4"/>
        <v>473431.47203608352</v>
      </c>
      <c r="AA6" s="378">
        <f t="shared" si="4"/>
        <v>5749113.4649529997</v>
      </c>
      <c r="AB6" s="211">
        <f t="shared" ref="AB6:AB11" si="21">(AA6/$C6)*$D6</f>
        <v>391135.90492283239</v>
      </c>
      <c r="AC6" s="132">
        <f t="shared" ref="AC6:AC11" si="22">Y6-Y$4</f>
        <v>-40499539.337199807</v>
      </c>
      <c r="AD6" s="277">
        <f t="shared" ref="AD6:AD11" si="23">AC6/Y$4</f>
        <v>-5.9990654814468608E-2</v>
      </c>
      <c r="AE6" s="189">
        <f t="shared" si="5"/>
        <v>204858911.33631036</v>
      </c>
      <c r="AF6" s="378">
        <f t="shared" si="5"/>
        <v>189545.88764518281</v>
      </c>
      <c r="AG6" s="378">
        <f t="shared" si="5"/>
        <v>2579792.4111229982</v>
      </c>
      <c r="AH6" s="211">
        <f t="shared" ref="AH6:AH11" si="24">(AG6/$C6)*$D6</f>
        <v>175513.91973543155</v>
      </c>
      <c r="AI6" s="132">
        <f t="shared" ref="AI6:AI11" si="25">AE6-AE$4</f>
        <v>-8879265.5877541602</v>
      </c>
      <c r="AJ6" s="277">
        <f t="shared" ref="AJ6:AJ11" si="26">AI6/AE$4</f>
        <v>-4.1542721639797303E-2</v>
      </c>
      <c r="AK6" s="189">
        <f t="shared" si="6"/>
        <v>119869640.80970538</v>
      </c>
      <c r="AL6" s="378">
        <f t="shared" si="6"/>
        <v>7299</v>
      </c>
      <c r="AM6" s="378">
        <f t="shared" si="6"/>
        <v>102133.34659399996</v>
      </c>
      <c r="AN6" s="211">
        <f t="shared" ref="AN6:AN11" si="27">(AM6/$C6)*$D6</f>
        <v>6948.5528832171067</v>
      </c>
      <c r="AO6" s="132">
        <f t="shared" ref="AO6:AO11" si="28">AK6-AK$4</f>
        <v>2575384.0462066084</v>
      </c>
      <c r="AP6" s="277">
        <f t="shared" ref="AP6:AP11" si="29">AO6/AK$4</f>
        <v>2.195660825405436E-2</v>
      </c>
      <c r="AS6" s="87">
        <v>-71161932.602442265</v>
      </c>
      <c r="AT6" s="87">
        <v>-58192731.416927338</v>
      </c>
      <c r="AU6" s="87">
        <f t="shared" ref="AU6:AU11" si="30">AT6-AS6</f>
        <v>12969201.185514927</v>
      </c>
      <c r="AV6" s="87">
        <v>39541050.222936153</v>
      </c>
      <c r="AW6" s="87">
        <f t="shared" ref="AW6:AW11" si="31">AV6-AS6</f>
        <v>110702982.82537842</v>
      </c>
    </row>
    <row r="7" spans="1:52">
      <c r="A7" s="70" t="s">
        <v>6</v>
      </c>
      <c r="B7" s="189">
        <f t="shared" si="0"/>
        <v>2828468791.5974789</v>
      </c>
      <c r="C7" s="378">
        <f t="shared" si="0"/>
        <v>13048084.298340347</v>
      </c>
      <c r="D7" s="378">
        <f t="shared" ref="D7" si="32">SUM(D33,D45,D57,D69)</f>
        <v>887715</v>
      </c>
      <c r="E7" s="132">
        <f t="shared" si="14"/>
        <v>-78815051.021256924</v>
      </c>
      <c r="F7" s="277">
        <f t="shared" si="15"/>
        <v>-2.7109513651843595E-2</v>
      </c>
      <c r="G7" s="189">
        <f t="shared" si="1"/>
        <v>1094089229.7501626</v>
      </c>
      <c r="H7" s="378">
        <f t="shared" si="1"/>
        <v>108648</v>
      </c>
      <c r="I7" s="378">
        <f t="shared" si="1"/>
        <v>3128398.5232839999</v>
      </c>
      <c r="J7" s="211">
        <v>0</v>
      </c>
      <c r="K7" s="132">
        <f t="shared" si="9"/>
        <v>0</v>
      </c>
      <c r="L7" s="277">
        <f t="shared" si="10"/>
        <v>0</v>
      </c>
      <c r="M7" s="189">
        <f t="shared" si="2"/>
        <v>141382277.57780161</v>
      </c>
      <c r="N7" s="378">
        <f t="shared" si="2"/>
        <v>0</v>
      </c>
      <c r="O7" s="378">
        <f t="shared" si="2"/>
        <v>70010.814225999886</v>
      </c>
      <c r="P7" s="211">
        <v>0</v>
      </c>
      <c r="Q7" s="132">
        <f t="shared" si="18"/>
        <v>0</v>
      </c>
      <c r="R7" s="277">
        <f t="shared" si="19"/>
        <v>0</v>
      </c>
      <c r="S7" s="189">
        <f t="shared" si="3"/>
        <v>677459252.49167013</v>
      </c>
      <c r="T7" s="378">
        <f t="shared" si="3"/>
        <v>53743.102270705065</v>
      </c>
      <c r="U7" s="378">
        <f t="shared" si="3"/>
        <v>1418635.7381603494</v>
      </c>
      <c r="V7" s="211">
        <f>(U7/($C7-$O7-$I7)*$D7)</f>
        <v>127856.42463422462</v>
      </c>
      <c r="W7" s="132">
        <f t="shared" si="11"/>
        <v>11776821.693732738</v>
      </c>
      <c r="X7" s="277">
        <f t="shared" si="12"/>
        <v>1.7691351234275701E-2</v>
      </c>
      <c r="Y7" s="189">
        <f t="shared" si="4"/>
        <v>596015413.97572517</v>
      </c>
      <c r="Z7" s="378">
        <f t="shared" si="4"/>
        <v>473431.47203608352</v>
      </c>
      <c r="AA7" s="378">
        <f t="shared" si="4"/>
        <v>5749113.4649529997</v>
      </c>
      <c r="AB7" s="211">
        <f>(AA7/($C7-$O7-$I7)*$D7)</f>
        <v>518146.46471445699</v>
      </c>
      <c r="AC7" s="132">
        <f t="shared" si="22"/>
        <v>-79082056.829545736</v>
      </c>
      <c r="AD7" s="277">
        <f t="shared" si="23"/>
        <v>-0.11714168731104109</v>
      </c>
      <c r="AE7" s="189">
        <f t="shared" si="5"/>
        <v>195185712.54135051</v>
      </c>
      <c r="AF7" s="378">
        <f t="shared" si="5"/>
        <v>189545.88764518281</v>
      </c>
      <c r="AG7" s="378">
        <f t="shared" si="5"/>
        <v>2579792.4111229982</v>
      </c>
      <c r="AH7" s="211">
        <f>(AG7/($C7-$O7-$I7)*$D7)</f>
        <v>232507.20753195198</v>
      </c>
      <c r="AI7" s="132">
        <f t="shared" si="25"/>
        <v>-18552464.382714003</v>
      </c>
      <c r="AJ7" s="277">
        <f t="shared" si="26"/>
        <v>-8.6799956141224127E-2</v>
      </c>
      <c r="AK7" s="189">
        <f t="shared" si="6"/>
        <v>124336905.26076831</v>
      </c>
      <c r="AL7" s="378">
        <f t="shared" si="6"/>
        <v>7299</v>
      </c>
      <c r="AM7" s="378">
        <f t="shared" si="6"/>
        <v>102133.34659399996</v>
      </c>
      <c r="AN7" s="211">
        <f>(AM7/($C7-$O7-$I7)*$D7)</f>
        <v>9204.9031193664287</v>
      </c>
      <c r="AO7" s="132">
        <f t="shared" si="28"/>
        <v>7042648.497269541</v>
      </c>
      <c r="AP7" s="277">
        <f t="shared" si="29"/>
        <v>6.0042568933871013E-2</v>
      </c>
      <c r="AS7" s="87">
        <v>-68789339.700870991</v>
      </c>
      <c r="AT7" s="87">
        <v>-65820061.784797192</v>
      </c>
      <c r="AU7" s="87">
        <f t="shared" si="30"/>
        <v>2969277.9160737991</v>
      </c>
      <c r="AV7" s="87">
        <v>53257542.824863911</v>
      </c>
      <c r="AW7" s="87">
        <f t="shared" si="31"/>
        <v>122046882.5257349</v>
      </c>
    </row>
    <row r="8" spans="1:52">
      <c r="A8" s="70" t="s">
        <v>33</v>
      </c>
      <c r="B8" s="189">
        <f t="shared" si="0"/>
        <v>2904398991.9913492</v>
      </c>
      <c r="C8" s="378">
        <f t="shared" si="0"/>
        <v>13048084.298340347</v>
      </c>
      <c r="D8" s="378">
        <f t="shared" ref="D8" si="33">SUM(D34,D46,D58,D70)</f>
        <v>443857.5</v>
      </c>
      <c r="E8" s="132">
        <f t="shared" si="14"/>
        <v>-2884850.62738657</v>
      </c>
      <c r="F8" s="277">
        <f t="shared" si="15"/>
        <v>-9.9228378911501145E-4</v>
      </c>
      <c r="G8" s="189">
        <f t="shared" si="1"/>
        <v>1095109615.2682941</v>
      </c>
      <c r="H8" s="378">
        <f t="shared" si="1"/>
        <v>79666.769024014313</v>
      </c>
      <c r="I8" s="378">
        <f t="shared" si="1"/>
        <v>3128398.5232839999</v>
      </c>
      <c r="J8" s="211">
        <f t="shared" si="16"/>
        <v>106418.92831157954</v>
      </c>
      <c r="K8" s="132">
        <f t="shared" si="9"/>
        <v>1020385.5181314945</v>
      </c>
      <c r="L8" s="277">
        <f t="shared" si="10"/>
        <v>9.3263464293904218E-4</v>
      </c>
      <c r="M8" s="189">
        <f t="shared" si="2"/>
        <v>142698498.821729</v>
      </c>
      <c r="N8" s="378">
        <f t="shared" si="2"/>
        <v>2181</v>
      </c>
      <c r="O8" s="378">
        <f t="shared" si="2"/>
        <v>70010.814225999886</v>
      </c>
      <c r="P8" s="211">
        <f t="shared" si="17"/>
        <v>2381.5622481278197</v>
      </c>
      <c r="Q8" s="132">
        <f t="shared" si="18"/>
        <v>1316221.2439273894</v>
      </c>
      <c r="R8" s="277">
        <f t="shared" si="19"/>
        <v>9.3096621901785585E-3</v>
      </c>
      <c r="S8" s="189">
        <f t="shared" si="3"/>
        <v>671309807.7312324</v>
      </c>
      <c r="T8" s="378">
        <f t="shared" si="3"/>
        <v>53743.102270705065</v>
      </c>
      <c r="U8" s="378">
        <f t="shared" si="3"/>
        <v>1418635.7381603494</v>
      </c>
      <c r="V8" s="211">
        <f t="shared" si="20"/>
        <v>48257.820669552129</v>
      </c>
      <c r="W8" s="132">
        <f t="shared" si="11"/>
        <v>5627376.9332950115</v>
      </c>
      <c r="X8" s="277">
        <f t="shared" si="12"/>
        <v>8.4535458244701031E-3</v>
      </c>
      <c r="Y8" s="189">
        <f t="shared" si="4"/>
        <v>663004421.62077248</v>
      </c>
      <c r="Z8" s="378">
        <f t="shared" si="4"/>
        <v>473431.47203608352</v>
      </c>
      <c r="AA8" s="378">
        <f t="shared" si="4"/>
        <v>5749113.4649529997</v>
      </c>
      <c r="AB8" s="211">
        <f t="shared" si="21"/>
        <v>195567.95246141619</v>
      </c>
      <c r="AC8" s="132">
        <f t="shared" si="22"/>
        <v>-12093049.184498429</v>
      </c>
      <c r="AD8" s="277">
        <f t="shared" si="23"/>
        <v>-1.791304175687931E-2</v>
      </c>
      <c r="AE8" s="189">
        <f t="shared" si="5"/>
        <v>213283157.41213179</v>
      </c>
      <c r="AF8" s="378">
        <f t="shared" si="5"/>
        <v>189545.88764518281</v>
      </c>
      <c r="AG8" s="378">
        <f t="shared" si="5"/>
        <v>2579792.4111229982</v>
      </c>
      <c r="AH8" s="211">
        <f t="shared" si="24"/>
        <v>87756.959867715777</v>
      </c>
      <c r="AI8" s="132">
        <f t="shared" si="25"/>
        <v>-455019.51193273067</v>
      </c>
      <c r="AJ8" s="277">
        <f t="shared" si="26"/>
        <v>-2.1288640077359085E-3</v>
      </c>
      <c r="AK8" s="189">
        <f t="shared" si="6"/>
        <v>118993491.13718952</v>
      </c>
      <c r="AL8" s="378">
        <f t="shared" si="6"/>
        <v>7299</v>
      </c>
      <c r="AM8" s="378">
        <f t="shared" si="6"/>
        <v>102133.34659399996</v>
      </c>
      <c r="AN8" s="211">
        <f t="shared" si="27"/>
        <v>3474.2764416085533</v>
      </c>
      <c r="AO8" s="132">
        <f t="shared" si="28"/>
        <v>1699234.3736907542</v>
      </c>
      <c r="AP8" s="277">
        <f t="shared" si="29"/>
        <v>1.4486935853278241E-2</v>
      </c>
      <c r="AS8" s="87">
        <v>-3590458.406273365</v>
      </c>
      <c r="AT8" s="87">
        <v>8408428.2181172371</v>
      </c>
      <c r="AU8" s="87">
        <f t="shared" si="30"/>
        <v>11998886.624390602</v>
      </c>
      <c r="AV8" s="87">
        <v>45106114.113653183</v>
      </c>
      <c r="AW8" s="87">
        <f t="shared" si="31"/>
        <v>48696572.519926548</v>
      </c>
    </row>
    <row r="9" spans="1:52">
      <c r="A9" s="70" t="s">
        <v>35</v>
      </c>
      <c r="B9" s="189">
        <f t="shared" si="0"/>
        <v>2427909070.505003</v>
      </c>
      <c r="C9" s="378">
        <f t="shared" si="0"/>
        <v>13048084.298340347</v>
      </c>
      <c r="D9" s="378">
        <f t="shared" ref="D9" si="34">SUM(D35,D47,D59,D71)</f>
        <v>887715</v>
      </c>
      <c r="E9" s="132">
        <f t="shared" si="14"/>
        <v>-479374772.11373281</v>
      </c>
      <c r="F9" s="277">
        <f t="shared" si="15"/>
        <v>-0.16488750258452095</v>
      </c>
      <c r="G9" s="189">
        <f>SUM(G35,G47,G59,G71)</f>
        <v>949573798.33243752</v>
      </c>
      <c r="H9" s="378">
        <f t="shared" ref="H9:I9" si="35">SUM(H35,H47,H59,H71)</f>
        <v>159333.53804802863</v>
      </c>
      <c r="I9" s="378">
        <f t="shared" si="35"/>
        <v>3128398.5232839999</v>
      </c>
      <c r="J9" s="211">
        <f t="shared" si="16"/>
        <v>212837.85662315908</v>
      </c>
      <c r="K9" s="132">
        <f t="shared" si="9"/>
        <v>-144515431.41772509</v>
      </c>
      <c r="L9" s="277">
        <f t="shared" si="10"/>
        <v>-0.13208742713857577</v>
      </c>
      <c r="M9" s="189">
        <f t="shared" si="2"/>
        <v>119009889.47104292</v>
      </c>
      <c r="N9" s="378">
        <f t="shared" si="2"/>
        <v>4362</v>
      </c>
      <c r="O9" s="378">
        <f t="shared" si="2"/>
        <v>70010.814225999886</v>
      </c>
      <c r="P9" s="211">
        <f t="shared" si="17"/>
        <v>4763.1244962556393</v>
      </c>
      <c r="Q9" s="132">
        <f t="shared" si="18"/>
        <v>-22372388.106758699</v>
      </c>
      <c r="R9" s="277">
        <f t="shared" si="19"/>
        <v>-0.15824039964589862</v>
      </c>
      <c r="S9" s="189">
        <f t="shared" si="3"/>
        <v>552942891.57832074</v>
      </c>
      <c r="T9" s="378">
        <f t="shared" si="3"/>
        <v>53743.102270705065</v>
      </c>
      <c r="U9" s="378">
        <f t="shared" si="3"/>
        <v>1418635.7381603494</v>
      </c>
      <c r="V9" s="211">
        <f t="shared" si="20"/>
        <v>96515.641339104259</v>
      </c>
      <c r="W9" s="132">
        <f t="shared" si="11"/>
        <v>-112739539.21961665</v>
      </c>
      <c r="X9" s="277">
        <f t="shared" si="12"/>
        <v>-0.16935934313975884</v>
      </c>
      <c r="Y9" s="189">
        <f t="shared" si="4"/>
        <v>599777031.15254402</v>
      </c>
      <c r="Z9" s="378">
        <f t="shared" si="4"/>
        <v>473431.47203608352</v>
      </c>
      <c r="AA9" s="378">
        <f t="shared" si="4"/>
        <v>5749113.4649529997</v>
      </c>
      <c r="AB9" s="211">
        <f t="shared" si="21"/>
        <v>391135.90492283239</v>
      </c>
      <c r="AC9" s="132">
        <f t="shared" si="22"/>
        <v>-75320439.652726889</v>
      </c>
      <c r="AD9" s="277">
        <f t="shared" si="23"/>
        <v>-0.11156972572106223</v>
      </c>
      <c r="AE9" s="189">
        <f t="shared" si="5"/>
        <v>109768089.24640843</v>
      </c>
      <c r="AF9" s="378">
        <f t="shared" si="5"/>
        <v>189545.88764518281</v>
      </c>
      <c r="AG9" s="378">
        <f t="shared" si="5"/>
        <v>2579792.4111229982</v>
      </c>
      <c r="AH9" s="211">
        <f t="shared" si="24"/>
        <v>175513.91973543155</v>
      </c>
      <c r="AI9" s="132">
        <f t="shared" si="25"/>
        <v>-103970087.67765608</v>
      </c>
      <c r="AJ9" s="277">
        <f t="shared" si="26"/>
        <v>-0.48643667300762039</v>
      </c>
      <c r="AK9" s="189">
        <f t="shared" si="6"/>
        <v>96837370.724248871</v>
      </c>
      <c r="AL9" s="378">
        <f t="shared" si="6"/>
        <v>7299</v>
      </c>
      <c r="AM9" s="378">
        <f t="shared" si="6"/>
        <v>102133.34659399996</v>
      </c>
      <c r="AN9" s="211">
        <f t="shared" si="27"/>
        <v>6948.5528832171067</v>
      </c>
      <c r="AO9" s="132">
        <f t="shared" si="28"/>
        <v>-20456886.039249897</v>
      </c>
      <c r="AP9" s="277">
        <f t="shared" si="29"/>
        <v>-0.1744065447338761</v>
      </c>
      <c r="AS9" s="87">
        <v>-371037951.45061302</v>
      </c>
      <c r="AT9" s="87">
        <v>-171242556.56150675</v>
      </c>
      <c r="AU9" s="87">
        <f t="shared" si="30"/>
        <v>199795394.88910627</v>
      </c>
      <c r="AV9" s="87">
        <v>0</v>
      </c>
      <c r="AW9" s="87">
        <f t="shared" si="31"/>
        <v>371037951.45061302</v>
      </c>
    </row>
    <row r="10" spans="1:52">
      <c r="A10" s="70" t="s">
        <v>37</v>
      </c>
      <c r="B10" s="189">
        <f t="shared" si="0"/>
        <v>2221539360.5556388</v>
      </c>
      <c r="C10" s="378">
        <f t="shared" si="0"/>
        <v>13048084.298340347</v>
      </c>
      <c r="D10" s="378">
        <f t="shared" ref="D10" si="36">SUM(D36,D48,D60,D72)</f>
        <v>887715</v>
      </c>
      <c r="E10" s="132">
        <f t="shared" si="14"/>
        <v>-685744482.063097</v>
      </c>
      <c r="F10" s="277">
        <f t="shared" si="15"/>
        <v>-0.23587118395891221</v>
      </c>
      <c r="G10" s="189">
        <f t="shared" si="1"/>
        <v>916663991.38161945</v>
      </c>
      <c r="H10" s="378">
        <f t="shared" si="1"/>
        <v>159333.53804802863</v>
      </c>
      <c r="I10" s="378">
        <f t="shared" si="1"/>
        <v>3128398.5232839999</v>
      </c>
      <c r="J10" s="211">
        <f t="shared" si="16"/>
        <v>212837.85662315908</v>
      </c>
      <c r="K10" s="132">
        <f t="shared" si="9"/>
        <v>-177425238.36854315</v>
      </c>
      <c r="L10" s="277">
        <f t="shared" si="10"/>
        <v>-0.16216706420650767</v>
      </c>
      <c r="M10" s="189">
        <f t="shared" si="2"/>
        <v>118483679.43996853</v>
      </c>
      <c r="N10" s="378">
        <f t="shared" si="2"/>
        <v>4362</v>
      </c>
      <c r="O10" s="378">
        <f t="shared" si="2"/>
        <v>70010.814225999886</v>
      </c>
      <c r="P10" s="211">
        <f t="shared" si="17"/>
        <v>4763.1244962556393</v>
      </c>
      <c r="Q10" s="132">
        <f t="shared" si="18"/>
        <v>-22898598.137833089</v>
      </c>
      <c r="R10" s="277">
        <f t="shared" si="19"/>
        <v>-0.16196229492223424</v>
      </c>
      <c r="S10" s="189">
        <f t="shared" si="3"/>
        <v>538820422.32084036</v>
      </c>
      <c r="T10" s="378">
        <f t="shared" si="3"/>
        <v>53743.102270705065</v>
      </c>
      <c r="U10" s="378">
        <f t="shared" si="3"/>
        <v>1418635.7381603494</v>
      </c>
      <c r="V10" s="211">
        <f t="shared" si="20"/>
        <v>96515.641339104259</v>
      </c>
      <c r="W10" s="132">
        <f t="shared" si="11"/>
        <v>-126862008.47709703</v>
      </c>
      <c r="X10" s="277">
        <f t="shared" si="12"/>
        <v>-0.19057436790847945</v>
      </c>
      <c r="Y10" s="189">
        <f t="shared" si="4"/>
        <v>486272353.39077419</v>
      </c>
      <c r="Z10" s="378">
        <f t="shared" si="4"/>
        <v>473431.47203608352</v>
      </c>
      <c r="AA10" s="378">
        <f t="shared" si="4"/>
        <v>5749113.4649529997</v>
      </c>
      <c r="AB10" s="211">
        <f t="shared" si="21"/>
        <v>391135.90492283239</v>
      </c>
      <c r="AC10" s="132">
        <f t="shared" si="22"/>
        <v>-188825117.41449672</v>
      </c>
      <c r="AD10" s="277">
        <f t="shared" si="23"/>
        <v>-0.27970052559856584</v>
      </c>
      <c r="AE10" s="189">
        <f t="shared" si="5"/>
        <v>65229190.297856584</v>
      </c>
      <c r="AF10" s="378">
        <f t="shared" si="5"/>
        <v>189545.88764518281</v>
      </c>
      <c r="AG10" s="378">
        <f t="shared" si="5"/>
        <v>2579792.4111229982</v>
      </c>
      <c r="AH10" s="211">
        <f t="shared" si="24"/>
        <v>175513.91973543155</v>
      </c>
      <c r="AI10" s="132">
        <f t="shared" si="25"/>
        <v>-148508986.62620795</v>
      </c>
      <c r="AJ10" s="277">
        <f t="shared" si="26"/>
        <v>-0.69481731697828242</v>
      </c>
      <c r="AK10" s="189">
        <f t="shared" si="6"/>
        <v>96069723.72458005</v>
      </c>
      <c r="AL10" s="378">
        <f t="shared" si="6"/>
        <v>7299</v>
      </c>
      <c r="AM10" s="378">
        <f t="shared" si="6"/>
        <v>102133.34659399996</v>
      </c>
      <c r="AN10" s="211">
        <f t="shared" si="27"/>
        <v>6948.5528832171067</v>
      </c>
      <c r="AO10" s="132">
        <f t="shared" si="28"/>
        <v>-21224533.038918719</v>
      </c>
      <c r="AP10" s="277">
        <f t="shared" si="29"/>
        <v>-0.18095117036901384</v>
      </c>
      <c r="AS10" s="87">
        <v>-540777307.27472639</v>
      </c>
      <c r="AT10" s="87">
        <v>-340981912.38562059</v>
      </c>
      <c r="AU10" s="87">
        <f t="shared" si="30"/>
        <v>199795394.8891058</v>
      </c>
      <c r="AV10" s="87">
        <v>0</v>
      </c>
      <c r="AW10" s="87">
        <f t="shared" si="31"/>
        <v>540777307.27472639</v>
      </c>
    </row>
    <row r="11" spans="1:52" ht="15.75" thickBot="1">
      <c r="A11" s="238" t="s">
        <v>39</v>
      </c>
      <c r="B11" s="279">
        <f t="shared" si="0"/>
        <v>2191057340.4566479</v>
      </c>
      <c r="C11" s="378">
        <f t="shared" si="0"/>
        <v>13048084.298340347</v>
      </c>
      <c r="D11" s="378">
        <f t="shared" ref="D11" si="37">SUM(D37,D49,D61,D73)</f>
        <v>887715</v>
      </c>
      <c r="E11" s="132">
        <f t="shared" si="14"/>
        <v>-716226502.16208792</v>
      </c>
      <c r="F11" s="277">
        <f t="shared" si="15"/>
        <v>-0.24635589124897656</v>
      </c>
      <c r="G11" s="279">
        <f t="shared" si="1"/>
        <v>911803019.30788386</v>
      </c>
      <c r="H11" s="378">
        <f t="shared" si="1"/>
        <v>159333.53804802863</v>
      </c>
      <c r="I11" s="378">
        <f t="shared" si="1"/>
        <v>3128398.5232839999</v>
      </c>
      <c r="J11" s="211">
        <f t="shared" si="16"/>
        <v>212837.85662315908</v>
      </c>
      <c r="K11" s="132">
        <f t="shared" si="9"/>
        <v>-182286210.44227874</v>
      </c>
      <c r="L11" s="277">
        <f t="shared" si="10"/>
        <v>-0.16661000354048286</v>
      </c>
      <c r="M11" s="279">
        <f t="shared" si="2"/>
        <v>118405955.12302572</v>
      </c>
      <c r="N11" s="378">
        <f t="shared" si="2"/>
        <v>4362</v>
      </c>
      <c r="O11" s="378">
        <f t="shared" si="2"/>
        <v>70010.814225999886</v>
      </c>
      <c r="P11" s="211">
        <f t="shared" si="17"/>
        <v>4763.1244962556393</v>
      </c>
      <c r="Q11" s="132">
        <f t="shared" si="18"/>
        <v>-22976322.4547759</v>
      </c>
      <c r="R11" s="277">
        <f t="shared" si="19"/>
        <v>-0.16251204074805062</v>
      </c>
      <c r="S11" s="279">
        <f t="shared" si="3"/>
        <v>536734450.53816187</v>
      </c>
      <c r="T11" s="378">
        <f t="shared" si="3"/>
        <v>53743.102270705065</v>
      </c>
      <c r="U11" s="378">
        <f t="shared" si="3"/>
        <v>1418635.7381603494</v>
      </c>
      <c r="V11" s="211">
        <f t="shared" si="20"/>
        <v>96515.641339104259</v>
      </c>
      <c r="W11" s="132">
        <f t="shared" si="11"/>
        <v>-128947980.25977552</v>
      </c>
      <c r="X11" s="277">
        <f t="shared" si="12"/>
        <v>-0.19370795186108292</v>
      </c>
      <c r="Y11" s="279">
        <f t="shared" si="4"/>
        <v>469507044.81078577</v>
      </c>
      <c r="Z11" s="378">
        <f t="shared" si="4"/>
        <v>473431.47203608352</v>
      </c>
      <c r="AA11" s="378">
        <f t="shared" si="4"/>
        <v>5749113.4649529997</v>
      </c>
      <c r="AB11" s="211">
        <f t="shared" si="21"/>
        <v>391135.90492283239</v>
      </c>
      <c r="AC11" s="132">
        <f t="shared" si="22"/>
        <v>-205590425.99448514</v>
      </c>
      <c r="AD11" s="277">
        <f t="shared" si="23"/>
        <v>-0.30453443374517819</v>
      </c>
      <c r="AE11" s="279">
        <f t="shared" si="5"/>
        <v>58650532.929632261</v>
      </c>
      <c r="AF11" s="378">
        <f t="shared" si="5"/>
        <v>189545.88764518281</v>
      </c>
      <c r="AG11" s="378">
        <f t="shared" si="5"/>
        <v>2579792.4111229982</v>
      </c>
      <c r="AH11" s="211">
        <f t="shared" si="24"/>
        <v>175513.91973543155</v>
      </c>
      <c r="AI11" s="132">
        <f t="shared" si="25"/>
        <v>-155087643.99443227</v>
      </c>
      <c r="AJ11" s="277">
        <f t="shared" si="26"/>
        <v>-0.72559636386124304</v>
      </c>
      <c r="AK11" s="279">
        <f t="shared" si="6"/>
        <v>95956337.747158363</v>
      </c>
      <c r="AL11" s="378">
        <f t="shared" si="6"/>
        <v>7299</v>
      </c>
      <c r="AM11" s="378">
        <f t="shared" si="6"/>
        <v>102133.34659399996</v>
      </c>
      <c r="AN11" s="211">
        <f t="shared" si="27"/>
        <v>6948.5528832171067</v>
      </c>
      <c r="AO11" s="132">
        <f t="shared" si="28"/>
        <v>-21337919.016340405</v>
      </c>
      <c r="AP11" s="277">
        <f t="shared" si="29"/>
        <v>-0.18191785007312167</v>
      </c>
      <c r="AS11" s="87">
        <v>-565848808.5967474</v>
      </c>
      <c r="AT11" s="87">
        <v>-366053413.70764112</v>
      </c>
      <c r="AU11" s="87">
        <f t="shared" si="30"/>
        <v>199795394.88910627</v>
      </c>
      <c r="AV11" s="87">
        <v>0</v>
      </c>
      <c r="AW11" s="87">
        <f t="shared" si="31"/>
        <v>565848808.5967474</v>
      </c>
    </row>
    <row r="14" spans="1:52" ht="15.6" customHeight="1"/>
    <row r="15" spans="1:52" s="28" customFormat="1" ht="44.45" customHeight="1">
      <c r="AR15"/>
      <c r="AS15"/>
      <c r="AT15"/>
      <c r="AU15"/>
      <c r="AV15"/>
      <c r="AW15"/>
      <c r="AX15"/>
      <c r="AY15"/>
      <c r="AZ15"/>
    </row>
    <row r="26" spans="1:42" ht="15.75" thickBot="1"/>
    <row r="27" spans="1:42">
      <c r="A27" s="442" t="s">
        <v>50</v>
      </c>
      <c r="B27" s="443"/>
      <c r="C27" s="443"/>
      <c r="D27" s="443"/>
      <c r="E27" s="443"/>
      <c r="F27" s="443"/>
      <c r="G27" s="443"/>
      <c r="H27" s="443"/>
      <c r="I27" s="443"/>
      <c r="J27" s="443"/>
      <c r="K27" s="443"/>
      <c r="L27" s="443"/>
      <c r="M27" s="443"/>
      <c r="N27" s="443"/>
      <c r="O27" s="443"/>
      <c r="P27" s="443"/>
      <c r="Q27" s="443"/>
      <c r="R27" s="443"/>
      <c r="S27" s="443"/>
      <c r="T27" s="443"/>
      <c r="U27" s="443"/>
      <c r="V27" s="443"/>
      <c r="W27" s="443"/>
      <c r="X27" s="443"/>
      <c r="Y27" s="443"/>
      <c r="Z27" s="443"/>
      <c r="AA27" s="443"/>
      <c r="AB27" s="443"/>
      <c r="AC27" s="443"/>
      <c r="AD27" s="443"/>
      <c r="AE27" s="443"/>
      <c r="AF27" s="443"/>
      <c r="AG27" s="443"/>
      <c r="AH27" s="443"/>
      <c r="AI27" s="443"/>
      <c r="AJ27" s="443"/>
      <c r="AK27" s="443"/>
      <c r="AL27" s="443"/>
      <c r="AM27" s="443"/>
      <c r="AN27" s="443"/>
      <c r="AO27" s="443"/>
      <c r="AP27" s="444"/>
    </row>
    <row r="28" spans="1:42">
      <c r="A28" s="283" t="s">
        <v>2</v>
      </c>
      <c r="B28" s="445" t="s">
        <v>24</v>
      </c>
      <c r="C28" s="445"/>
      <c r="D28" s="445"/>
      <c r="E28" s="445"/>
      <c r="F28" s="445"/>
      <c r="G28" s="445" t="s">
        <v>41</v>
      </c>
      <c r="H28" s="445"/>
      <c r="I28" s="445"/>
      <c r="J28" s="445"/>
      <c r="K28" s="445"/>
      <c r="L28" s="445"/>
      <c r="M28" s="445" t="s">
        <v>42</v>
      </c>
      <c r="N28" s="445"/>
      <c r="O28" s="445"/>
      <c r="P28" s="445"/>
      <c r="Q28" s="445"/>
      <c r="R28" s="445"/>
      <c r="S28" s="445" t="s">
        <v>27</v>
      </c>
      <c r="T28" s="445"/>
      <c r="U28" s="445"/>
      <c r="V28" s="445"/>
      <c r="W28" s="445"/>
      <c r="X28" s="445"/>
      <c r="Y28" s="445" t="s">
        <v>28</v>
      </c>
      <c r="Z28" s="445"/>
      <c r="AA28" s="445"/>
      <c r="AB28" s="445"/>
      <c r="AC28" s="445"/>
      <c r="AD28" s="445"/>
      <c r="AE28" s="445" t="s">
        <v>29</v>
      </c>
      <c r="AF28" s="445"/>
      <c r="AG28" s="445"/>
      <c r="AH28" s="445"/>
      <c r="AI28" s="445"/>
      <c r="AJ28" s="445"/>
      <c r="AK28" s="445" t="s">
        <v>30</v>
      </c>
      <c r="AL28" s="445"/>
      <c r="AM28" s="445"/>
      <c r="AN28" s="445"/>
      <c r="AO28" s="445"/>
      <c r="AP28" s="446"/>
    </row>
    <row r="29" spans="1:42" ht="30">
      <c r="A29" s="283"/>
      <c r="B29" s="284" t="s">
        <v>3</v>
      </c>
      <c r="C29" s="284" t="s">
        <v>563</v>
      </c>
      <c r="D29" s="284" t="s">
        <v>698</v>
      </c>
      <c r="E29" s="284" t="s">
        <v>43</v>
      </c>
      <c r="F29" s="284" t="s">
        <v>44</v>
      </c>
      <c r="G29" s="284" t="s">
        <v>3</v>
      </c>
      <c r="H29" s="284" t="s">
        <v>700</v>
      </c>
      <c r="I29" s="284" t="s">
        <v>699</v>
      </c>
      <c r="J29" s="284" t="s">
        <v>697</v>
      </c>
      <c r="K29" s="284" t="s">
        <v>43</v>
      </c>
      <c r="L29" s="284" t="s">
        <v>44</v>
      </c>
      <c r="M29" s="284" t="s">
        <v>3</v>
      </c>
      <c r="N29" s="284" t="s">
        <v>700</v>
      </c>
      <c r="O29" s="284" t="s">
        <v>699</v>
      </c>
      <c r="P29" s="284" t="s">
        <v>697</v>
      </c>
      <c r="Q29" s="284" t="s">
        <v>43</v>
      </c>
      <c r="R29" s="284" t="s">
        <v>44</v>
      </c>
      <c r="S29" s="284" t="s">
        <v>3</v>
      </c>
      <c r="T29" s="284" t="s">
        <v>700</v>
      </c>
      <c r="U29" s="284" t="s">
        <v>699</v>
      </c>
      <c r="V29" s="284" t="s">
        <v>697</v>
      </c>
      <c r="W29" s="284" t="s">
        <v>43</v>
      </c>
      <c r="X29" s="284" t="s">
        <v>44</v>
      </c>
      <c r="Y29" s="284" t="s">
        <v>3</v>
      </c>
      <c r="Z29" s="284" t="s">
        <v>700</v>
      </c>
      <c r="AA29" s="284" t="s">
        <v>699</v>
      </c>
      <c r="AB29" s="284" t="s">
        <v>697</v>
      </c>
      <c r="AC29" s="284" t="s">
        <v>43</v>
      </c>
      <c r="AD29" s="284" t="s">
        <v>44</v>
      </c>
      <c r="AE29" s="284" t="s">
        <v>3</v>
      </c>
      <c r="AF29" s="284" t="s">
        <v>700</v>
      </c>
      <c r="AG29" s="284" t="s">
        <v>699</v>
      </c>
      <c r="AH29" s="284" t="s">
        <v>697</v>
      </c>
      <c r="AI29" s="284" t="s">
        <v>43</v>
      </c>
      <c r="AJ29" s="284" t="s">
        <v>44</v>
      </c>
      <c r="AK29" s="284" t="s">
        <v>3</v>
      </c>
      <c r="AL29" s="284" t="s">
        <v>700</v>
      </c>
      <c r="AM29" s="284" t="s">
        <v>699</v>
      </c>
      <c r="AN29" s="284" t="s">
        <v>697</v>
      </c>
      <c r="AO29" s="284" t="s">
        <v>43</v>
      </c>
      <c r="AP29" s="285" t="s">
        <v>44</v>
      </c>
    </row>
    <row r="30" spans="1:42">
      <c r="A30" s="75" t="s">
        <v>9</v>
      </c>
      <c r="B30" s="188">
        <f t="shared" ref="B30:B37" si="38">SUM(G30,M30,S30,Y30,AE30,AK30)</f>
        <v>1903534931.5408704</v>
      </c>
      <c r="C30" s="378">
        <f>'6 - Lists'!$E$91</f>
        <v>6184496.2983403476</v>
      </c>
      <c r="D30" s="378">
        <f>'6 - Lists'!$F$91</f>
        <v>243115</v>
      </c>
      <c r="E30" s="40"/>
      <c r="F30" s="40"/>
      <c r="G30" s="188">
        <f>IFERROR(VLOOKUP("England",'6 - Lists'!$D$25:$AE$29,8,0),"")</f>
        <v>926817252.28349602</v>
      </c>
      <c r="H30" s="211">
        <f>'6 - Lists'!$J$91</f>
        <v>108648</v>
      </c>
      <c r="I30" s="211">
        <f>'6 - Lists'!$H$91</f>
        <v>2629636.5232839999</v>
      </c>
      <c r="J30" s="211"/>
      <c r="K30" s="40"/>
      <c r="L30" s="40"/>
      <c r="M30" s="188">
        <f>IFERROR(VLOOKUP("England",'6 - Lists'!$D$25:$AE$29,12,0),"")</f>
        <v>141382277.57780161</v>
      </c>
      <c r="N30" s="221">
        <f>'6 - Lists'!$M$91</f>
        <v>4362</v>
      </c>
      <c r="O30" s="221">
        <f>'6 - Lists'!$K$91</f>
        <v>70010.814225999886</v>
      </c>
      <c r="P30" s="221"/>
      <c r="Q30" s="132">
        <f t="shared" ref="Q30:Q37" si="39">M30-M$30</f>
        <v>0</v>
      </c>
      <c r="R30" s="40"/>
      <c r="S30" s="188">
        <f>IFERROR(VLOOKUP("England",'6 - Lists'!$D$25:$AE$29,16,0),"")</f>
        <v>458472618.87177402</v>
      </c>
      <c r="T30" s="221">
        <f>'6 - Lists'!$P$91</f>
        <v>22583</v>
      </c>
      <c r="U30" s="221">
        <f>'6 - Lists'!$N$91</f>
        <v>983541.73816034943</v>
      </c>
      <c r="V30" s="221"/>
      <c r="W30" s="70"/>
      <c r="X30" s="70"/>
      <c r="Y30" s="188">
        <f>IFERROR(VLOOKUP("England",'6 - Lists'!$D$25:$AE$29,20,0),"")</f>
        <v>107378741.66719955</v>
      </c>
      <c r="Z30" s="221">
        <f>'6 - Lists'!$S$91</f>
        <v>49531</v>
      </c>
      <c r="AA30" s="221">
        <f>'6 - Lists'!$Q$91</f>
        <v>1190402.464953</v>
      </c>
      <c r="AB30" s="221"/>
      <c r="AC30" s="70"/>
      <c r="AD30" s="70"/>
      <c r="AE30" s="188">
        <f>IFERROR(VLOOKUP("England",'6 - Lists'!$D$25:$AE$29,24,0),"")</f>
        <v>152189784.37710053</v>
      </c>
      <c r="AF30" s="221">
        <f>'6 - Lists'!$V$91</f>
        <v>50692</v>
      </c>
      <c r="AG30" s="221">
        <f>'6 - Lists'!$T$91</f>
        <v>1208771.4111229985</v>
      </c>
      <c r="AH30" s="221"/>
      <c r="AI30" s="40"/>
      <c r="AJ30" s="40"/>
      <c r="AK30" s="188">
        <f>IFERROR(VLOOKUP("England",'6 - Lists'!$D$25:$AE$29,28,0),"")</f>
        <v>117294256.76349877</v>
      </c>
      <c r="AL30" s="221">
        <f>'6 - Lists'!$Y$91</f>
        <v>7299</v>
      </c>
      <c r="AM30" s="221">
        <f>'6 - Lists'!$W$91</f>
        <v>102133.34659399996</v>
      </c>
      <c r="AN30" s="221"/>
      <c r="AO30" s="40"/>
      <c r="AP30" s="60"/>
    </row>
    <row r="31" spans="1:42" ht="30">
      <c r="A31" s="75" t="s">
        <v>31</v>
      </c>
      <c r="B31" s="189">
        <f t="shared" si="38"/>
        <v>1607953736.1795015</v>
      </c>
      <c r="C31" s="378">
        <f>'6 - Lists'!$E$91</f>
        <v>6184496.2983403476</v>
      </c>
      <c r="D31" s="378">
        <f>'6 - Lists'!$F$91</f>
        <v>243115</v>
      </c>
      <c r="E31" s="132">
        <f t="shared" ref="E31:E37" si="40">B31-B$30</f>
        <v>-295581195.36136889</v>
      </c>
      <c r="F31" s="277">
        <f t="shared" ref="F31:F37" si="41">E31/B$30</f>
        <v>-0.15528015297418382</v>
      </c>
      <c r="G31" s="189">
        <f>$G$30+'1 - SA SP Orchards'!K162*'6 - Lists'!H$25*0.0393</f>
        <v>908536746.63000834</v>
      </c>
      <c r="H31" s="211">
        <f>'6 - Lists'!$J$91</f>
        <v>108648</v>
      </c>
      <c r="I31" s="211">
        <f>'6 - Lists'!$H$91</f>
        <v>2629636.5232839999</v>
      </c>
      <c r="J31" s="211">
        <f>(I31/$C31)*$D31</f>
        <v>103372.05368362034</v>
      </c>
      <c r="K31" s="132">
        <f t="shared" ref="K31:K37" si="42">G31-G$30</f>
        <v>-18280505.653487682</v>
      </c>
      <c r="L31" s="277">
        <f t="shared" ref="L31:L37" si="43">K31/G$30</f>
        <v>-1.9723959182296295E-2</v>
      </c>
      <c r="M31" s="189">
        <f>$M$30+'1 - SA SP Orchards'!K163*'6 - Lists'!L$25*0.0393</f>
        <v>138288549.30570987</v>
      </c>
      <c r="N31" s="221">
        <f>'6 - Lists'!$M$91</f>
        <v>4362</v>
      </c>
      <c r="O31" s="221">
        <f>'6 - Lists'!$K$91</f>
        <v>70010.814225999886</v>
      </c>
      <c r="P31" s="211">
        <f>(O31/$C31)*$D31</f>
        <v>2752.1528479403532</v>
      </c>
      <c r="Q31" s="132">
        <f t="shared" si="39"/>
        <v>-3093728.2720917463</v>
      </c>
      <c r="R31" s="277">
        <f t="shared" ref="R31:R37" si="44">Q31/M$30</f>
        <v>-2.1882009011980237E-2</v>
      </c>
      <c r="S31" s="189">
        <f>$M$30+'1 - SA SP Orchards'!Q164*'6 - Lists'!P$25*0.0393</f>
        <v>141382277.57780161</v>
      </c>
      <c r="T31" s="221">
        <f>'6 - Lists'!$P$91</f>
        <v>22583</v>
      </c>
      <c r="U31" s="221">
        <f>'6 - Lists'!$N$91</f>
        <v>983541.73816034943</v>
      </c>
      <c r="V31" s="211">
        <f>(U31/$C31)*$D31</f>
        <v>38663.415440481578</v>
      </c>
      <c r="W31" s="132">
        <f t="shared" ref="W31:W37" si="45">S31-S$30</f>
        <v>-317090341.29397237</v>
      </c>
      <c r="X31" s="277">
        <f t="shared" ref="X31:X37" si="46">W31/S$30</f>
        <v>-0.69162329055610727</v>
      </c>
      <c r="Y31" s="189">
        <f>$M$30+'1 - SA SP Orchards'!K165*'6 - Lists'!T$25*0.0393</f>
        <v>137664510.05357996</v>
      </c>
      <c r="Z31" s="221">
        <f>'6 - Lists'!$S$91</f>
        <v>49531</v>
      </c>
      <c r="AA31" s="221">
        <f>'6 - Lists'!$Q$91</f>
        <v>1190402.464953</v>
      </c>
      <c r="AB31" s="211">
        <f>(AA31/$C31)*$D31</f>
        <v>46795.192576105568</v>
      </c>
      <c r="AC31" s="132">
        <f t="shared" ref="AC31:AC37" si="47">Y31-Y$30</f>
        <v>30285768.386380404</v>
      </c>
      <c r="AD31" s="277">
        <f t="shared" ref="AD31:AD37" si="48">AC31/Y$30</f>
        <v>0.28204622177679745</v>
      </c>
      <c r="AE31" s="189">
        <f>$M$30+'1 - SA SP Orchards'!K166*'6 - Lists'!X$25*0.0393</f>
        <v>138199505.53141665</v>
      </c>
      <c r="AF31" s="221">
        <f>'6 - Lists'!$V$91</f>
        <v>50692</v>
      </c>
      <c r="AG31" s="221">
        <f>'6 - Lists'!$T$91</f>
        <v>1208771.4111229985</v>
      </c>
      <c r="AH31" s="211">
        <f>(AG31/$C31)*$D31</f>
        <v>47517.283128462688</v>
      </c>
      <c r="AI31" s="132">
        <f t="shared" ref="AI31:AI37" si="49">AE31-AE$30</f>
        <v>-13990278.845683873</v>
      </c>
      <c r="AJ31" s="277">
        <f t="shared" ref="AJ31:AJ37" si="50">AI31/AE$30</f>
        <v>-9.1926530436618067E-2</v>
      </c>
      <c r="AK31" s="189">
        <f>$M$30+'1 - SA SP Orchards'!K167*'6 - Lists'!AB$25*0.0393</f>
        <v>143882147.08098519</v>
      </c>
      <c r="AL31" s="221">
        <f>'6 - Lists'!$Y$91</f>
        <v>7299</v>
      </c>
      <c r="AM31" s="221">
        <f>'6 - Lists'!$W$91</f>
        <v>102133.34659399996</v>
      </c>
      <c r="AN31" s="211">
        <f>(AM31/$C31)*$D31</f>
        <v>4014.9023233894795</v>
      </c>
      <c r="AO31" s="132">
        <f t="shared" ref="AO31:AO37" si="51">AK31-AK$30</f>
        <v>26587890.31748642</v>
      </c>
      <c r="AP31" s="278">
        <f t="shared" ref="AP31:AP37" si="52">AO31/AK$30</f>
        <v>0.22667683014604686</v>
      </c>
    </row>
    <row r="32" spans="1:42" ht="45">
      <c r="A32" s="75" t="s">
        <v>32</v>
      </c>
      <c r="B32" s="189">
        <f t="shared" si="38"/>
        <v>1878242044.5340209</v>
      </c>
      <c r="C32" s="378">
        <f>'6 - Lists'!$E$91</f>
        <v>6184496.2983403476</v>
      </c>
      <c r="D32" s="378">
        <f>'6 - Lists'!$F$91</f>
        <v>243115</v>
      </c>
      <c r="E32" s="132">
        <f t="shared" si="40"/>
        <v>-25292887.006849527</v>
      </c>
      <c r="F32" s="277">
        <f t="shared" si="41"/>
        <v>-1.3287324854278078E-2</v>
      </c>
      <c r="G32" s="189">
        <f>G$30+'2 - SA SP Timber Production'!$K148*'6 - Lists'!H25*0.0393</f>
        <v>906431931.08537948</v>
      </c>
      <c r="H32" s="211">
        <f>'6 - Lists'!$J$91</f>
        <v>108648</v>
      </c>
      <c r="I32" s="211">
        <f>'6 - Lists'!$H$91</f>
        <v>2629636.5232839999</v>
      </c>
      <c r="J32" s="211">
        <f t="shared" ref="J32:J37" si="53">(I32/$C32)*$D32</f>
        <v>103372.05368362034</v>
      </c>
      <c r="K32" s="132">
        <f t="shared" si="42"/>
        <v>-20385321.198116541</v>
      </c>
      <c r="L32" s="277">
        <f t="shared" si="43"/>
        <v>-2.19949738180759E-2</v>
      </c>
      <c r="M32" s="189">
        <f>M$30+'2 - SA SP Timber Production'!$K149*'6 - Lists'!L25*0.0393</f>
        <v>136721151.14229372</v>
      </c>
      <c r="N32" s="221">
        <f>'6 - Lists'!$M$91</f>
        <v>4362</v>
      </c>
      <c r="O32" s="221">
        <f>'6 - Lists'!$K$91</f>
        <v>70010.814225999886</v>
      </c>
      <c r="P32" s="211">
        <f t="shared" ref="P32:P37" si="54">(O32/$C32)*$D32</f>
        <v>2752.1528479403532</v>
      </c>
      <c r="Q32" s="132">
        <f t="shared" si="39"/>
        <v>-4661126.4355078936</v>
      </c>
      <c r="R32" s="277">
        <f t="shared" si="44"/>
        <v>-3.2968251151159381E-2</v>
      </c>
      <c r="S32" s="189">
        <f>S$30+'2 - SA SP Timber Production'!$K150*'6 - Lists'!P25*0.0393</f>
        <v>460777452.88820523</v>
      </c>
      <c r="T32" s="221">
        <f>'6 - Lists'!$P$91</f>
        <v>22583</v>
      </c>
      <c r="U32" s="221">
        <f>'6 - Lists'!$N$91</f>
        <v>983541.73816034943</v>
      </c>
      <c r="V32" s="211">
        <f t="shared" ref="V32:V37" si="55">(U32/$C32)*$D32</f>
        <v>38663.415440481578</v>
      </c>
      <c r="W32" s="132">
        <f t="shared" si="45"/>
        <v>2304834.0164312124</v>
      </c>
      <c r="X32" s="277">
        <f t="shared" si="46"/>
        <v>5.0272010182484421E-3</v>
      </c>
      <c r="Y32" s="189">
        <f>Y$30+'2 - SA SP Timber Production'!$K151*'6 - Lists'!T25*0.0393</f>
        <v>104541124.46755067</v>
      </c>
      <c r="Z32" s="221">
        <f>'6 - Lists'!$S$91</f>
        <v>49531</v>
      </c>
      <c r="AA32" s="221">
        <f>'6 - Lists'!$Q$91</f>
        <v>1190402.464953</v>
      </c>
      <c r="AB32" s="211">
        <f t="shared" ref="AB32:AB37" si="56">(AA32/$C32)*$D32</f>
        <v>46795.192576105568</v>
      </c>
      <c r="AC32" s="132">
        <f t="shared" si="47"/>
        <v>-2837617.1996488869</v>
      </c>
      <c r="AD32" s="277">
        <f t="shared" si="48"/>
        <v>-2.6426247463800179E-2</v>
      </c>
      <c r="AE32" s="189">
        <f>AE$30+'2 - SA SP Timber Production'!$K152*'6 - Lists'!X25*0.0393</f>
        <v>149900744.14088634</v>
      </c>
      <c r="AF32" s="221">
        <f>'6 - Lists'!$V$91</f>
        <v>50692</v>
      </c>
      <c r="AG32" s="221">
        <f>'6 - Lists'!$T$91</f>
        <v>1208771.4111229985</v>
      </c>
      <c r="AH32" s="211">
        <f t="shared" ref="AH32:AH37" si="57">(AG32/$C32)*$D32</f>
        <v>47517.283128462688</v>
      </c>
      <c r="AI32" s="132">
        <f t="shared" si="49"/>
        <v>-2289040.2362141907</v>
      </c>
      <c r="AJ32" s="277">
        <f t="shared" si="50"/>
        <v>-1.5040695704925479E-2</v>
      </c>
      <c r="AK32" s="189">
        <f>AK$30+'2 - SA SP Timber Production'!$K153*'6 - Lists'!AB25*0.0393</f>
        <v>119869640.80970538</v>
      </c>
      <c r="AL32" s="221">
        <f>'6 - Lists'!$Y$91</f>
        <v>7299</v>
      </c>
      <c r="AM32" s="221">
        <f>'6 - Lists'!$W$91</f>
        <v>102133.34659399996</v>
      </c>
      <c r="AN32" s="211">
        <f t="shared" ref="AN32:AN37" si="58">(AM32/$C32)*$D32</f>
        <v>4014.9023233894795</v>
      </c>
      <c r="AO32" s="132">
        <f t="shared" si="51"/>
        <v>2575384.0462066084</v>
      </c>
      <c r="AP32" s="278">
        <f t="shared" si="52"/>
        <v>2.195660825405436E-2</v>
      </c>
    </row>
    <row r="33" spans="1:42">
      <c r="A33" s="75" t="s">
        <v>6</v>
      </c>
      <c r="B33" s="189">
        <f t="shared" si="38"/>
        <v>1903439106.6128447</v>
      </c>
      <c r="C33" s="378">
        <f>'6 - Lists'!$E$91</f>
        <v>6184496.2983403476</v>
      </c>
      <c r="D33" s="378">
        <f>'6 - Lists'!$F$91</f>
        <v>243115</v>
      </c>
      <c r="E33" s="132">
        <f t="shared" si="40"/>
        <v>-95824.928025722504</v>
      </c>
      <c r="F33" s="277">
        <f t="shared" si="41"/>
        <v>-5.0340514606765996E-5</v>
      </c>
      <c r="G33" s="189">
        <f>G$30+'3 - Silvopastoral'!$K113*'6 - Lists'!H$25*0</f>
        <v>926817252.28349602</v>
      </c>
      <c r="H33" s="211">
        <f>'6 - Lists'!$J$91</f>
        <v>108648</v>
      </c>
      <c r="I33" s="211">
        <f>'6 - Lists'!$H$91</f>
        <v>2629636.5232839999</v>
      </c>
      <c r="J33" s="211">
        <v>0</v>
      </c>
      <c r="K33" s="132">
        <f t="shared" si="42"/>
        <v>0</v>
      </c>
      <c r="L33" s="277">
        <f t="shared" si="43"/>
        <v>0</v>
      </c>
      <c r="M33" s="189">
        <f>M$30+'3 - Silvopastoral'!$K114*'6 - Lists'!L$25*0</f>
        <v>141382277.57780161</v>
      </c>
      <c r="N33" s="221">
        <v>0</v>
      </c>
      <c r="O33" s="221">
        <f>'6 - Lists'!$K$91</f>
        <v>70010.814225999886</v>
      </c>
      <c r="P33" s="211">
        <v>0</v>
      </c>
      <c r="Q33" s="132">
        <f t="shared" si="39"/>
        <v>0</v>
      </c>
      <c r="R33" s="277">
        <f t="shared" si="44"/>
        <v>0</v>
      </c>
      <c r="S33" s="189">
        <f>S$30+'3 - Silvopastoral'!$K115*'6 - Lists'!P$25*0.0698</f>
        <v>467070189.82648379</v>
      </c>
      <c r="T33" s="221">
        <f>'6 - Lists'!$P$91</f>
        <v>22583</v>
      </c>
      <c r="U33" s="221">
        <f>'6 - Lists'!$N$91</f>
        <v>983541.73816034943</v>
      </c>
      <c r="V33" s="211">
        <f>(U33/($C33-$O33-$I33)*$D33)</f>
        <v>68615.240534235039</v>
      </c>
      <c r="W33" s="132">
        <f t="shared" si="45"/>
        <v>8597570.9547097683</v>
      </c>
      <c r="X33" s="277">
        <f t="shared" si="46"/>
        <v>1.8752637782092595E-2</v>
      </c>
      <c r="Y33" s="189">
        <f>Y$30+'3 - Silvopastoral'!$K116*'6 - Lists'!T$25*0.0698</f>
        <v>98361270.557658046</v>
      </c>
      <c r="Z33" s="221">
        <f>'6 - Lists'!$S$91</f>
        <v>49531</v>
      </c>
      <c r="AA33" s="221">
        <f>'6 - Lists'!$Q$91</f>
        <v>1190402.464953</v>
      </c>
      <c r="AB33" s="211">
        <f>(AA33/($C33-$O33-$I33)*$D33)</f>
        <v>83046.55338580042</v>
      </c>
      <c r="AC33" s="132">
        <f t="shared" si="47"/>
        <v>-9017471.1095415056</v>
      </c>
      <c r="AD33" s="277">
        <f t="shared" si="48"/>
        <v>-8.3978178264460218E-2</v>
      </c>
      <c r="AE33" s="189">
        <f>AE$30+'3 - Silvopastoral'!$K117*'6 - Lists'!X$25*0.0698</f>
        <v>145471211.106637</v>
      </c>
      <c r="AF33" s="221">
        <f>'6 - Lists'!$V$91</f>
        <v>50692</v>
      </c>
      <c r="AG33" s="221">
        <f>'6 - Lists'!$T$91</f>
        <v>1208771.4111229985</v>
      </c>
      <c r="AH33" s="211">
        <f>(AG33/($C33-$O33-$I33)*$D33)</f>
        <v>84328.033988923911</v>
      </c>
      <c r="AI33" s="132">
        <f t="shared" si="49"/>
        <v>-6718573.2704635262</v>
      </c>
      <c r="AJ33" s="277">
        <f t="shared" si="50"/>
        <v>-4.4146020036509408E-2</v>
      </c>
      <c r="AK33" s="189">
        <f>AK$30+'3 - Silvopastoral'!$K118*'6 - Lists'!AB$25*0.0698</f>
        <v>124336905.26076831</v>
      </c>
      <c r="AL33" s="221">
        <f>'6 - Lists'!$Y$91</f>
        <v>7299</v>
      </c>
      <c r="AM33" s="221">
        <f>'6 - Lists'!$W$91</f>
        <v>102133.34659399996</v>
      </c>
      <c r="AN33" s="211">
        <f>(AM33/($C33-$O33-$I33)*$D33)</f>
        <v>7125.1720910406193</v>
      </c>
      <c r="AO33" s="132">
        <f t="shared" si="51"/>
        <v>7042648.497269541</v>
      </c>
      <c r="AP33" s="278">
        <f t="shared" si="52"/>
        <v>6.0042568933871013E-2</v>
      </c>
    </row>
    <row r="34" spans="1:42">
      <c r="A34" s="75" t="s">
        <v>33</v>
      </c>
      <c r="B34" s="189">
        <f t="shared" si="38"/>
        <v>1907997101.9531801</v>
      </c>
      <c r="C34" s="378">
        <f>'6 - Lists'!$E$91</f>
        <v>6184496.2983403476</v>
      </c>
      <c r="D34" s="378">
        <f>'6 - Lists'!$F$91/2</f>
        <v>121557.5</v>
      </c>
      <c r="E34" s="132">
        <f t="shared" si="40"/>
        <v>4462170.4123096466</v>
      </c>
      <c r="F34" s="277">
        <f t="shared" si="41"/>
        <v>2.3441494759949668E-3</v>
      </c>
      <c r="G34" s="189">
        <f>G$30+'4 - Shelterbelts'!$L171*'6 - Lists'!H$25*0.0196</f>
        <v>926919222.08555603</v>
      </c>
      <c r="H34" s="211">
        <f>'6 - Lists'!$J$91/2</f>
        <v>54324</v>
      </c>
      <c r="I34" s="211">
        <f>'6 - Lists'!$H$91</f>
        <v>2629636.5232839999</v>
      </c>
      <c r="J34" s="211">
        <f t="shared" si="53"/>
        <v>51686.02684181017</v>
      </c>
      <c r="K34" s="132">
        <f t="shared" si="42"/>
        <v>101969.80206000805</v>
      </c>
      <c r="L34" s="277">
        <f t="shared" si="43"/>
        <v>1.1002147598005372E-4</v>
      </c>
      <c r="M34" s="189">
        <f>M$30+'4 - Shelterbelts'!$L172*'6 - Lists'!L$25*0.0196</f>
        <v>142698498.821729</v>
      </c>
      <c r="N34" s="221">
        <f>'6 - Lists'!$M$91/2</f>
        <v>2181</v>
      </c>
      <c r="O34" s="221">
        <f>'6 - Lists'!$K$91</f>
        <v>70010.814225999886</v>
      </c>
      <c r="P34" s="211">
        <f t="shared" si="54"/>
        <v>1376.0764239701766</v>
      </c>
      <c r="Q34" s="132">
        <f t="shared" si="39"/>
        <v>1316221.2439273894</v>
      </c>
      <c r="R34" s="277">
        <f t="shared" si="44"/>
        <v>9.3096621901785585E-3</v>
      </c>
      <c r="S34" s="189">
        <f>S$30+'4 - Shelterbelts'!$L173*'6 - Lists'!P$25*0.0196</f>
        <v>460811948.4932732</v>
      </c>
      <c r="T34" s="221">
        <f>'6 - Lists'!$P$91</f>
        <v>22583</v>
      </c>
      <c r="U34" s="221">
        <f>'6 - Lists'!$N$91</f>
        <v>983541.73816034943</v>
      </c>
      <c r="V34" s="211">
        <f t="shared" si="55"/>
        <v>19331.707720240789</v>
      </c>
      <c r="W34" s="132">
        <f t="shared" si="45"/>
        <v>2339329.6214991808</v>
      </c>
      <c r="X34" s="277">
        <f t="shared" si="46"/>
        <v>5.1024412913815605E-3</v>
      </c>
      <c r="Y34" s="189">
        <f>Y$30+'4 - Shelterbelts'!$L174*'6 - Lists'!T$25*0.0196</f>
        <v>106702027.81355587</v>
      </c>
      <c r="Z34" s="221">
        <f>'6 - Lists'!$S$91</f>
        <v>49531</v>
      </c>
      <c r="AA34" s="221">
        <f>'6 - Lists'!$Q$91</f>
        <v>1190402.464953</v>
      </c>
      <c r="AB34" s="211">
        <f t="shared" si="56"/>
        <v>23397.596288052784</v>
      </c>
      <c r="AC34" s="132">
        <f t="shared" si="47"/>
        <v>-676713.85364368558</v>
      </c>
      <c r="AD34" s="277">
        <f t="shared" si="48"/>
        <v>-6.3021212871075946E-3</v>
      </c>
      <c r="AE34" s="189">
        <f>AE$30+'4 - Shelterbelts'!$L175*'6 - Lists'!X$25*0.0196</f>
        <v>151871913.60187626</v>
      </c>
      <c r="AF34" s="221">
        <f>'6 - Lists'!$V$91</f>
        <v>50692</v>
      </c>
      <c r="AG34" s="221">
        <f>'6 - Lists'!$T$91</f>
        <v>1208771.4111229985</v>
      </c>
      <c r="AH34" s="211">
        <f t="shared" si="57"/>
        <v>23758.641564231344</v>
      </c>
      <c r="AI34" s="132">
        <f t="shared" si="49"/>
        <v>-317870.77522426844</v>
      </c>
      <c r="AJ34" s="277">
        <f t="shared" si="50"/>
        <v>-2.0886472539880761E-3</v>
      </c>
      <c r="AK34" s="189">
        <f>AK$30+'4 - Shelterbelts'!$L176*'6 - Lists'!AB$25*0.0196</f>
        <v>118993491.13718952</v>
      </c>
      <c r="AL34" s="221">
        <f>'6 - Lists'!$Y$91</f>
        <v>7299</v>
      </c>
      <c r="AM34" s="221">
        <f>'6 - Lists'!$W$91</f>
        <v>102133.34659399996</v>
      </c>
      <c r="AN34" s="211">
        <f t="shared" si="58"/>
        <v>2007.4511616947398</v>
      </c>
      <c r="AO34" s="132">
        <f t="shared" si="51"/>
        <v>1699234.3736907542</v>
      </c>
      <c r="AP34" s="278">
        <f t="shared" si="52"/>
        <v>1.4486935853278241E-2</v>
      </c>
    </row>
    <row r="35" spans="1:42">
      <c r="A35" s="75" t="s">
        <v>35</v>
      </c>
      <c r="B35" s="189">
        <f t="shared" si="38"/>
        <v>1701086705.7126362</v>
      </c>
      <c r="C35" s="378">
        <f>'6 - Lists'!$E$91</f>
        <v>6184496.2983403476</v>
      </c>
      <c r="D35" s="378">
        <f>'6 - Lists'!$F$91</f>
        <v>243115</v>
      </c>
      <c r="E35" s="132">
        <f t="shared" si="40"/>
        <v>-202448225.8282342</v>
      </c>
      <c r="F35" s="277">
        <f t="shared" si="41"/>
        <v>-0.10635382754145559</v>
      </c>
      <c r="G35" s="189">
        <f>G$30+'5 - Farm woodland'!$G175*'6 - Lists'!H$25*0.0393</f>
        <v>854350406.83469748</v>
      </c>
      <c r="H35" s="211">
        <f>'6 - Lists'!$J$91</f>
        <v>108648</v>
      </c>
      <c r="I35" s="211">
        <f>'6 - Lists'!$H$91</f>
        <v>2629636.5232839999</v>
      </c>
      <c r="J35" s="211">
        <f t="shared" si="53"/>
        <v>103372.05368362034</v>
      </c>
      <c r="K35" s="132">
        <f t="shared" si="42"/>
        <v>-72466845.448798537</v>
      </c>
      <c r="L35" s="277">
        <f t="shared" si="43"/>
        <v>-7.8188925886149008E-2</v>
      </c>
      <c r="M35" s="189">
        <f>M$30+'5 - Farm woodland'!$G176*'6 - Lists'!L$25*0.0393</f>
        <v>119009889.47104292</v>
      </c>
      <c r="N35" s="221">
        <f>'6 - Lists'!$M$91</f>
        <v>4362</v>
      </c>
      <c r="O35" s="221">
        <f>'6 - Lists'!$K$91</f>
        <v>70010.814225999886</v>
      </c>
      <c r="P35" s="211">
        <f t="shared" si="54"/>
        <v>2752.1528479403532</v>
      </c>
      <c r="Q35" s="132">
        <f t="shared" si="39"/>
        <v>-22372388.106758699</v>
      </c>
      <c r="R35" s="277">
        <f t="shared" si="44"/>
        <v>-0.15824039964589862</v>
      </c>
      <c r="S35" s="189">
        <f>S$30+'5 - Farm woodland'!$G177*'6 - Lists'!P$25*0.0393</f>
        <v>397081830.3813256</v>
      </c>
      <c r="T35" s="221">
        <f>'6 - Lists'!$P$91</f>
        <v>22583</v>
      </c>
      <c r="U35" s="221">
        <f>'6 - Lists'!$N$91</f>
        <v>983541.73816034943</v>
      </c>
      <c r="V35" s="211">
        <f t="shared" si="55"/>
        <v>38663.415440481578</v>
      </c>
      <c r="W35" s="132">
        <f t="shared" si="45"/>
        <v>-61390788.490448415</v>
      </c>
      <c r="X35" s="277">
        <f t="shared" si="46"/>
        <v>-0.13390284602278121</v>
      </c>
      <c r="Y35" s="189">
        <f>Y$30+'5 - Farm woodland'!$G178*'6 - Lists'!T$25*0.0393</f>
        <v>99436525.662113488</v>
      </c>
      <c r="Z35" s="221">
        <f>'6 - Lists'!$S$91</f>
        <v>49531</v>
      </c>
      <c r="AA35" s="221">
        <f>'6 - Lists'!$Q$91</f>
        <v>1190402.464953</v>
      </c>
      <c r="AB35" s="211">
        <f t="shared" si="56"/>
        <v>46795.192576105568</v>
      </c>
      <c r="AC35" s="132">
        <f t="shared" si="47"/>
        <v>-7942216.0050860643</v>
      </c>
      <c r="AD35" s="277">
        <f t="shared" si="48"/>
        <v>-7.3964509937185577E-2</v>
      </c>
      <c r="AE35" s="189">
        <f>AE$30+'5 - Farm woodland'!$G179*'6 - Lists'!X$25*0.0393</f>
        <v>134370682.63920784</v>
      </c>
      <c r="AF35" s="221">
        <f>'6 - Lists'!$V$91</f>
        <v>50692</v>
      </c>
      <c r="AG35" s="221">
        <f>'6 - Lists'!$T$91</f>
        <v>1208771.4111229985</v>
      </c>
      <c r="AH35" s="211">
        <f t="shared" si="57"/>
        <v>47517.283128462688</v>
      </c>
      <c r="AI35" s="132">
        <f t="shared" si="49"/>
        <v>-17819101.737892687</v>
      </c>
      <c r="AJ35" s="277">
        <f t="shared" si="50"/>
        <v>-0.11708474265092569</v>
      </c>
      <c r="AK35" s="189">
        <f>AK$30+'5 - Farm woodland'!$G180*'6 - Lists'!AB$25*0.0393</f>
        <v>96837370.724248871</v>
      </c>
      <c r="AL35" s="221">
        <f>'6 - Lists'!$Y$91</f>
        <v>7299</v>
      </c>
      <c r="AM35" s="221">
        <f>'6 - Lists'!$W$91</f>
        <v>102133.34659399996</v>
      </c>
      <c r="AN35" s="211">
        <f t="shared" si="58"/>
        <v>4014.9023233894795</v>
      </c>
      <c r="AO35" s="132">
        <f t="shared" si="51"/>
        <v>-20456886.039249897</v>
      </c>
      <c r="AP35" s="278">
        <f t="shared" si="52"/>
        <v>-0.1744065447338761</v>
      </c>
    </row>
    <row r="36" spans="1:42">
      <c r="A36" s="75" t="s">
        <v>37</v>
      </c>
      <c r="B36" s="189">
        <f t="shared" si="38"/>
        <v>1654603258.4722726</v>
      </c>
      <c r="C36" s="378">
        <f>'6 - Lists'!$E$91</f>
        <v>6184496.2983403476</v>
      </c>
      <c r="D36" s="378">
        <f>'6 - Lists'!$F$91</f>
        <v>243115</v>
      </c>
      <c r="E36" s="132">
        <f t="shared" si="40"/>
        <v>-248931673.06859779</v>
      </c>
      <c r="F36" s="277">
        <f t="shared" si="41"/>
        <v>-0.13077336745645796</v>
      </c>
      <c r="G36" s="189">
        <f>G$30+'5 - Farm woodland'!$G183*'6 - Lists'!H$25*0.0393</f>
        <v>834585730.02112949</v>
      </c>
      <c r="H36" s="211">
        <f>'6 - Lists'!$J$91</f>
        <v>108648</v>
      </c>
      <c r="I36" s="211">
        <f>'6 - Lists'!$H$91</f>
        <v>2629636.5232839999</v>
      </c>
      <c r="J36" s="211">
        <f t="shared" si="53"/>
        <v>103372.05368362034</v>
      </c>
      <c r="K36" s="132">
        <f t="shared" si="42"/>
        <v>-92231522.262366533</v>
      </c>
      <c r="L36" s="277">
        <f t="shared" si="43"/>
        <v>-9.9514248397001834E-2</v>
      </c>
      <c r="M36" s="189">
        <f>M$30+'5 - Farm woodland'!$G184*'6 - Lists'!L$25*0.0393</f>
        <v>118483679.43996853</v>
      </c>
      <c r="N36" s="221">
        <f>'6 - Lists'!$M$91</f>
        <v>4362</v>
      </c>
      <c r="O36" s="221">
        <f>'6 - Lists'!$K$91</f>
        <v>70010.814225999886</v>
      </c>
      <c r="P36" s="211">
        <f t="shared" si="54"/>
        <v>2752.1528479403532</v>
      </c>
      <c r="Q36" s="132">
        <f t="shared" si="39"/>
        <v>-22898598.137833089</v>
      </c>
      <c r="R36" s="277">
        <f t="shared" si="44"/>
        <v>-0.16196229492223424</v>
      </c>
      <c r="S36" s="189">
        <f>S$30+'5 - Farm woodland'!$G185*'6 - Lists'!P$25*0.0393</f>
        <v>389689407.73459518</v>
      </c>
      <c r="T36" s="221">
        <f>'6 - Lists'!$P$91</f>
        <v>22583</v>
      </c>
      <c r="U36" s="221">
        <f>'6 - Lists'!$N$91</f>
        <v>983541.73816034943</v>
      </c>
      <c r="V36" s="211">
        <f t="shared" si="55"/>
        <v>38663.415440481578</v>
      </c>
      <c r="W36" s="132">
        <f t="shared" si="45"/>
        <v>-68783211.137178838</v>
      </c>
      <c r="X36" s="277">
        <f t="shared" si="46"/>
        <v>-0.15002686813978783</v>
      </c>
      <c r="Y36" s="189">
        <f>Y$30+'5 - Farm woodland'!$G186*'6 - Lists'!T$25*0.0393</f>
        <v>90489311.935218617</v>
      </c>
      <c r="Z36" s="221">
        <f>'6 - Lists'!$S$91</f>
        <v>49531</v>
      </c>
      <c r="AA36" s="221">
        <f>'6 - Lists'!$Q$91</f>
        <v>1190402.464953</v>
      </c>
      <c r="AB36" s="211">
        <f t="shared" si="56"/>
        <v>46795.192576105568</v>
      </c>
      <c r="AC36" s="132">
        <f t="shared" si="47"/>
        <v>-16889429.731980935</v>
      </c>
      <c r="AD36" s="277">
        <f t="shared" si="48"/>
        <v>-0.15728839311906431</v>
      </c>
      <c r="AE36" s="189">
        <f>AE$30+'5 - Farm woodland'!$G187*'6 - Lists'!X$25*0.0393</f>
        <v>125285405.616781</v>
      </c>
      <c r="AF36" s="221">
        <f>'6 - Lists'!$V$91</f>
        <v>50692</v>
      </c>
      <c r="AG36" s="221">
        <f>'6 - Lists'!$T$91</f>
        <v>1208771.4111229985</v>
      </c>
      <c r="AH36" s="211">
        <f t="shared" si="57"/>
        <v>47517.283128462688</v>
      </c>
      <c r="AI36" s="132">
        <f t="shared" si="49"/>
        <v>-26904378.760319531</v>
      </c>
      <c r="AJ36" s="277">
        <f t="shared" si="50"/>
        <v>-0.17678176541504936</v>
      </c>
      <c r="AK36" s="189">
        <f>AK$30+'5 - Farm woodland'!$G188*'6 - Lists'!AB$25*0.0393</f>
        <v>96069723.72458005</v>
      </c>
      <c r="AL36" s="221">
        <f>'6 - Lists'!$Y$91</f>
        <v>7299</v>
      </c>
      <c r="AM36" s="221">
        <f>'6 - Lists'!$W$91</f>
        <v>102133.34659399996</v>
      </c>
      <c r="AN36" s="211">
        <f t="shared" si="58"/>
        <v>4014.9023233894795</v>
      </c>
      <c r="AO36" s="132">
        <f t="shared" si="51"/>
        <v>-21224533.038918719</v>
      </c>
      <c r="AP36" s="278">
        <f t="shared" si="52"/>
        <v>-0.18095117036901384</v>
      </c>
    </row>
    <row r="37" spans="1:42" ht="15.75" thickBot="1">
      <c r="A37" s="77" t="s">
        <v>51</v>
      </c>
      <c r="B37" s="279">
        <f t="shared" si="38"/>
        <v>1647737379.8828285</v>
      </c>
      <c r="C37" s="378">
        <f>'6 - Lists'!$E$91</f>
        <v>6184496.2983403476</v>
      </c>
      <c r="D37" s="378">
        <f>'6 - Lists'!$F$91</f>
        <v>243115</v>
      </c>
      <c r="E37" s="280">
        <f t="shared" si="40"/>
        <v>-255797551.65804195</v>
      </c>
      <c r="F37" s="281">
        <f t="shared" si="41"/>
        <v>-0.13438027714625619</v>
      </c>
      <c r="G37" s="279">
        <f>G$30+'5 - Farm woodland'!$G191*'6 - Lists'!H$25*0.0393</f>
        <v>831666370.99296069</v>
      </c>
      <c r="H37" s="211">
        <f>'6 - Lists'!$J$91</f>
        <v>108648</v>
      </c>
      <c r="I37" s="211">
        <f>'6 - Lists'!$H$91</f>
        <v>2629636.5232839999</v>
      </c>
      <c r="J37" s="211">
        <f t="shared" si="53"/>
        <v>103372.05368362034</v>
      </c>
      <c r="K37" s="280">
        <f t="shared" si="42"/>
        <v>-95150881.290535331</v>
      </c>
      <c r="L37" s="281">
        <f t="shared" si="43"/>
        <v>-0.1026641239749284</v>
      </c>
      <c r="M37" s="279">
        <f>M$30+'5 - Farm woodland'!$G192*'6 - Lists'!L$25*0.0393</f>
        <v>118405955.12302572</v>
      </c>
      <c r="N37" s="221">
        <f>'6 - Lists'!$M$91</f>
        <v>4362</v>
      </c>
      <c r="O37" s="221">
        <f>'6 - Lists'!$K$91</f>
        <v>70010.814225999886</v>
      </c>
      <c r="P37" s="211">
        <f t="shared" si="54"/>
        <v>2752.1528479403532</v>
      </c>
      <c r="Q37" s="280">
        <f t="shared" si="39"/>
        <v>-22976322.4547759</v>
      </c>
      <c r="R37" s="281">
        <f t="shared" si="44"/>
        <v>-0.16251204074805062</v>
      </c>
      <c r="S37" s="279">
        <f>S$30+'5 - Farm woodland'!$G193*'6 - Lists'!P$25*0.0393</f>
        <v>388597503.42483395</v>
      </c>
      <c r="T37" s="221">
        <f>'6 - Lists'!$P$91</f>
        <v>22583</v>
      </c>
      <c r="U37" s="221">
        <f>'6 - Lists'!$N$91</f>
        <v>983541.73816034943</v>
      </c>
      <c r="V37" s="211">
        <f t="shared" si="55"/>
        <v>38663.415440481578</v>
      </c>
      <c r="W37" s="280">
        <f t="shared" si="45"/>
        <v>-69875115.446940064</v>
      </c>
      <c r="X37" s="281">
        <f t="shared" si="46"/>
        <v>-0.15240848105365873</v>
      </c>
      <c r="Y37" s="279">
        <f>Y$30+'5 - Farm woodland'!$G194*'6 - Lists'!T$25*0.0393</f>
        <v>89167755.837087274</v>
      </c>
      <c r="Z37" s="221">
        <f>'6 - Lists'!$S$91</f>
        <v>49531</v>
      </c>
      <c r="AA37" s="221">
        <f>'6 - Lists'!$Q$91</f>
        <v>1190402.464953</v>
      </c>
      <c r="AB37" s="211">
        <f t="shared" si="56"/>
        <v>46795.192576105568</v>
      </c>
      <c r="AC37" s="280">
        <f t="shared" si="47"/>
        <v>-18210985.830112278</v>
      </c>
      <c r="AD37" s="281">
        <f t="shared" si="48"/>
        <v>-0.16959582080551702</v>
      </c>
      <c r="AE37" s="279">
        <f>AE$30+'5 - Farm woodland'!$G195*'6 - Lists'!X$25*0.0393</f>
        <v>123943456.75776254</v>
      </c>
      <c r="AF37" s="221">
        <f>'6 - Lists'!$V$91</f>
        <v>50692</v>
      </c>
      <c r="AG37" s="221">
        <f>'6 - Lists'!$T$91</f>
        <v>1208771.4111229985</v>
      </c>
      <c r="AH37" s="211">
        <f t="shared" si="57"/>
        <v>47517.283128462688</v>
      </c>
      <c r="AI37" s="280">
        <f t="shared" si="49"/>
        <v>-28246327.619337991</v>
      </c>
      <c r="AJ37" s="281">
        <f t="shared" si="50"/>
        <v>-0.18559936683626788</v>
      </c>
      <c r="AK37" s="279">
        <f>AK$30+'5 - Farm woodland'!$G196*'6 - Lists'!AB$25*0.0393</f>
        <v>95956337.747158363</v>
      </c>
      <c r="AL37" s="221">
        <f>'6 - Lists'!$Y$91</f>
        <v>7299</v>
      </c>
      <c r="AM37" s="221">
        <f>'6 - Lists'!$W$91</f>
        <v>102133.34659399996</v>
      </c>
      <c r="AN37" s="211">
        <f t="shared" si="58"/>
        <v>4014.9023233894795</v>
      </c>
      <c r="AO37" s="280">
        <f t="shared" si="51"/>
        <v>-21337919.016340405</v>
      </c>
      <c r="AP37" s="282">
        <f t="shared" si="52"/>
        <v>-0.18191785007312167</v>
      </c>
    </row>
    <row r="38" spans="1:42" ht="15.75" thickBot="1"/>
    <row r="39" spans="1:42">
      <c r="A39" s="442" t="s">
        <v>52</v>
      </c>
      <c r="B39" s="443"/>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3"/>
      <c r="AN39" s="443"/>
      <c r="AO39" s="443"/>
      <c r="AP39" s="444"/>
    </row>
    <row r="40" spans="1:42">
      <c r="A40" s="283" t="s">
        <v>2</v>
      </c>
      <c r="B40" s="445" t="s">
        <v>24</v>
      </c>
      <c r="C40" s="445"/>
      <c r="D40" s="445"/>
      <c r="E40" s="445"/>
      <c r="F40" s="445"/>
      <c r="G40" s="445" t="s">
        <v>41</v>
      </c>
      <c r="H40" s="445"/>
      <c r="I40" s="445"/>
      <c r="J40" s="445"/>
      <c r="K40" s="445"/>
      <c r="L40" s="445"/>
      <c r="M40" s="445" t="s">
        <v>42</v>
      </c>
      <c r="N40" s="445"/>
      <c r="O40" s="445"/>
      <c r="P40" s="445"/>
      <c r="Q40" s="445"/>
      <c r="R40" s="445"/>
      <c r="S40" s="445" t="s">
        <v>27</v>
      </c>
      <c r="T40" s="445"/>
      <c r="U40" s="445"/>
      <c r="V40" s="445"/>
      <c r="W40" s="445"/>
      <c r="X40" s="445"/>
      <c r="Y40" s="445" t="s">
        <v>28</v>
      </c>
      <c r="Z40" s="445"/>
      <c r="AA40" s="445"/>
      <c r="AB40" s="445"/>
      <c r="AC40" s="445"/>
      <c r="AD40" s="445"/>
      <c r="AE40" s="445" t="s">
        <v>29</v>
      </c>
      <c r="AF40" s="445"/>
      <c r="AG40" s="445"/>
      <c r="AH40" s="445"/>
      <c r="AI40" s="445"/>
      <c r="AJ40" s="445"/>
      <c r="AK40" s="445" t="s">
        <v>30</v>
      </c>
      <c r="AL40" s="445"/>
      <c r="AM40" s="445"/>
      <c r="AN40" s="445"/>
      <c r="AO40" s="445"/>
      <c r="AP40" s="446"/>
    </row>
    <row r="41" spans="1:42" ht="30">
      <c r="A41" s="283"/>
      <c r="B41" s="284" t="s">
        <v>3</v>
      </c>
      <c r="C41" s="284" t="s">
        <v>563</v>
      </c>
      <c r="D41" s="284" t="s">
        <v>698</v>
      </c>
      <c r="E41" s="284" t="s">
        <v>43</v>
      </c>
      <c r="F41" s="284" t="s">
        <v>44</v>
      </c>
      <c r="G41" s="284" t="s">
        <v>3</v>
      </c>
      <c r="H41" s="284" t="s">
        <v>700</v>
      </c>
      <c r="I41" s="284" t="s">
        <v>699</v>
      </c>
      <c r="J41" s="284" t="s">
        <v>697</v>
      </c>
      <c r="K41" s="284" t="s">
        <v>43</v>
      </c>
      <c r="L41" s="284" t="s">
        <v>44</v>
      </c>
      <c r="M41" s="284" t="s">
        <v>3</v>
      </c>
      <c r="N41" s="284" t="s">
        <v>700</v>
      </c>
      <c r="O41" s="284" t="s">
        <v>699</v>
      </c>
      <c r="P41" s="284" t="s">
        <v>697</v>
      </c>
      <c r="Q41" s="284" t="s">
        <v>43</v>
      </c>
      <c r="R41" s="284" t="s">
        <v>44</v>
      </c>
      <c r="S41" s="284" t="s">
        <v>3</v>
      </c>
      <c r="T41" s="284" t="s">
        <v>700</v>
      </c>
      <c r="U41" s="284" t="s">
        <v>699</v>
      </c>
      <c r="V41" s="284" t="s">
        <v>697</v>
      </c>
      <c r="W41" s="284" t="s">
        <v>43</v>
      </c>
      <c r="X41" s="284" t="s">
        <v>44</v>
      </c>
      <c r="Y41" s="284" t="s">
        <v>3</v>
      </c>
      <c r="Z41" s="284" t="s">
        <v>700</v>
      </c>
      <c r="AA41" s="284" t="s">
        <v>699</v>
      </c>
      <c r="AB41" s="284" t="s">
        <v>697</v>
      </c>
      <c r="AC41" s="284" t="s">
        <v>43</v>
      </c>
      <c r="AD41" s="284" t="s">
        <v>44</v>
      </c>
      <c r="AE41" s="284" t="s">
        <v>3</v>
      </c>
      <c r="AF41" s="284" t="s">
        <v>700</v>
      </c>
      <c r="AG41" s="284" t="s">
        <v>699</v>
      </c>
      <c r="AH41" s="284" t="s">
        <v>697</v>
      </c>
      <c r="AI41" s="284" t="s">
        <v>43</v>
      </c>
      <c r="AJ41" s="284" t="s">
        <v>44</v>
      </c>
      <c r="AK41" s="284" t="s">
        <v>3</v>
      </c>
      <c r="AL41" s="284" t="s">
        <v>700</v>
      </c>
      <c r="AM41" s="284" t="s">
        <v>699</v>
      </c>
      <c r="AN41" s="284" t="s">
        <v>697</v>
      </c>
      <c r="AO41" s="284" t="s">
        <v>43</v>
      </c>
      <c r="AP41" s="285" t="s">
        <v>44</v>
      </c>
    </row>
    <row r="42" spans="1:42">
      <c r="A42" s="75" t="s">
        <v>9</v>
      </c>
      <c r="B42" s="188">
        <f t="shared" ref="B42:B49" si="59">SUM(G42,M42,S42,Y42,AE42,AK42)</f>
        <v>596752326</v>
      </c>
      <c r="C42" s="378">
        <f>'6 - Lists'!$E$92</f>
        <v>4975229</v>
      </c>
      <c r="D42" s="378">
        <f>'6 - Lists'!$F$92</f>
        <v>531500</v>
      </c>
      <c r="E42" s="40"/>
      <c r="F42" s="40"/>
      <c r="G42" s="188">
        <f>IFERROR(VLOOKUP("Scotland",'6 - Lists'!$D$25:$AE$29,8,0),"")</f>
        <v>151430492</v>
      </c>
      <c r="H42" s="221">
        <f>'6 - Lists'!$J$92</f>
        <v>50113.602811046483</v>
      </c>
      <c r="I42" s="211">
        <f>'6 - Lists'!$H$92</f>
        <v>469100</v>
      </c>
      <c r="J42" s="211"/>
      <c r="K42" s="40"/>
      <c r="L42" s="40"/>
      <c r="M42" s="188">
        <f>IFERROR(VLOOKUP("Scotland",'6 - Lists'!$D$25:$AE$29,12,0),"")</f>
        <v>0</v>
      </c>
      <c r="N42" s="221">
        <f>'6 - Lists'!$M$92</f>
        <v>0</v>
      </c>
      <c r="O42" s="221">
        <f>'6 - Lists'!$K$92</f>
        <v>0</v>
      </c>
      <c r="P42" s="221"/>
      <c r="Q42" s="132">
        <f t="shared" ref="Q42:Q49" si="60">M42-M$42</f>
        <v>0</v>
      </c>
      <c r="R42" s="40"/>
      <c r="S42" s="188">
        <f>IFERROR(VLOOKUP("Scotland",'6 - Lists'!$D$25:$AE$29,16,0),"")</f>
        <v>42962094</v>
      </c>
      <c r="T42" s="377"/>
      <c r="U42" s="221">
        <f>'6 - Lists'!$N$92</f>
        <v>104722</v>
      </c>
      <c r="V42" s="221"/>
      <c r="W42" s="70"/>
      <c r="X42" s="70"/>
      <c r="Y42" s="188">
        <f>IFERROR(VLOOKUP("Scotland",'6 - Lists'!$D$25:$AE$29,20,0),"")</f>
        <v>369395910</v>
      </c>
      <c r="Z42" s="377"/>
      <c r="AA42" s="221">
        <f>'6 - Lists'!$Q$92</f>
        <v>3192072</v>
      </c>
      <c r="AB42" s="221"/>
      <c r="AC42" s="70"/>
      <c r="AD42" s="70"/>
      <c r="AE42" s="188">
        <f>IFERROR(VLOOKUP("Scotland",'6 - Lists'!$D$25:$AE$29,24,0),"")</f>
        <v>32963830</v>
      </c>
      <c r="AF42" s="221">
        <f>'6 - Lists'!$V$92</f>
        <v>129192.35526646111</v>
      </c>
      <c r="AG42" s="221">
        <f>'6 - Lists'!$T$92</f>
        <v>1209335</v>
      </c>
      <c r="AH42" s="221"/>
      <c r="AI42" s="40"/>
      <c r="AJ42" s="40"/>
      <c r="AK42" s="188">
        <f>IFERROR(VLOOKUP("Scotland",'6 - Lists'!$D$25:$AE$29,28,0),"")</f>
        <v>0</v>
      </c>
      <c r="AL42" s="221">
        <f>'6 - Lists'!$Y$92</f>
        <v>0</v>
      </c>
      <c r="AM42" s="221">
        <f>'6 - Lists'!$W$92</f>
        <v>0</v>
      </c>
      <c r="AN42" s="221"/>
      <c r="AO42" s="40"/>
      <c r="AP42" s="60"/>
    </row>
    <row r="43" spans="1:42" ht="30">
      <c r="A43" s="75" t="s">
        <v>31</v>
      </c>
      <c r="B43" s="189">
        <f t="shared" si="59"/>
        <v>229223494.77797607</v>
      </c>
      <c r="C43" s="378">
        <f>'6 - Lists'!$E$92</f>
        <v>4975229</v>
      </c>
      <c r="D43" s="378">
        <f>'6 - Lists'!$F$92</f>
        <v>531500</v>
      </c>
      <c r="E43" s="132">
        <f t="shared" ref="E43:E49" si="61">B43-B$42</f>
        <v>-367528831.22202396</v>
      </c>
      <c r="F43" s="277">
        <f t="shared" ref="F43:F49" si="62">E43/B$42</f>
        <v>-0.61588169029109741</v>
      </c>
      <c r="G43" s="189">
        <f>$G$42+'1 - SA SP Orchards'!$K172*'6 - Lists'!H$26*0.1453</f>
        <v>136634389.23360479</v>
      </c>
      <c r="H43" s="221">
        <f>'6 - Lists'!$J$92</f>
        <v>50113.602811046483</v>
      </c>
      <c r="I43" s="211">
        <f>'6 - Lists'!$H$92</f>
        <v>469100</v>
      </c>
      <c r="J43" s="211">
        <f>(I43/$C43)*$D43</f>
        <v>50113.602811046483</v>
      </c>
      <c r="K43" s="132">
        <f t="shared" ref="K43:K49" si="63">G43-G$42</f>
        <v>-14796102.766395211</v>
      </c>
      <c r="L43" s="277">
        <f t="shared" ref="L43:L49" si="64">K43/G$42</f>
        <v>-9.7708873364785814E-2</v>
      </c>
      <c r="M43" s="189">
        <f>$M$42+'1 - SA SP Orchards'!$K173*'6 - Lists'!L$26*0.1453</f>
        <v>0</v>
      </c>
      <c r="N43" s="221">
        <f>'6 - Lists'!$M$92</f>
        <v>0</v>
      </c>
      <c r="O43" s="221">
        <f>'6 - Lists'!$K$92</f>
        <v>0</v>
      </c>
      <c r="P43" s="211">
        <f>(O43/$C43)*$D43</f>
        <v>0</v>
      </c>
      <c r="Q43" s="132">
        <f t="shared" si="60"/>
        <v>0</v>
      </c>
      <c r="R43" s="277" t="e">
        <f t="shared" ref="R43:R49" si="65">Q43/M$42</f>
        <v>#DIV/0!</v>
      </c>
      <c r="S43" s="189">
        <f>$G$42+'1 - SA SP Orchards'!$K174*'6 - Lists'!P$26*0.1453</f>
        <v>151886516.9246718</v>
      </c>
      <c r="T43" s="221">
        <f>'6 - Lists'!$P$92</f>
        <v>11187.373083731422</v>
      </c>
      <c r="U43" s="221">
        <f>'6 - Lists'!$N$92</f>
        <v>104722</v>
      </c>
      <c r="V43" s="211">
        <f>(U43/$C43)*$D43</f>
        <v>11187.373083731422</v>
      </c>
      <c r="W43" s="132">
        <f t="shared" ref="W43:W49" si="66">S43-S$42</f>
        <v>108924422.9246718</v>
      </c>
      <c r="X43" s="277">
        <f t="shared" ref="X43:X49" si="67">W43/S$42</f>
        <v>2.5353611238007114</v>
      </c>
      <c r="Y43" s="189">
        <f>$M$42+'1 - SA SP Orchards'!K175*'6 - Lists'!T$26*0.1453</f>
        <v>-41975993.949012496</v>
      </c>
      <c r="Z43" s="221">
        <f>'6 - Lists'!$S$92</f>
        <v>341006.66883876099</v>
      </c>
      <c r="AA43" s="221">
        <f>'6 - Lists'!$Q$92</f>
        <v>3192072</v>
      </c>
      <c r="AB43" s="211">
        <f>(AA43/$C43)*$D43</f>
        <v>341006.66883876099</v>
      </c>
      <c r="AC43" s="132">
        <f t="shared" ref="AC43:AC49" si="68">Y43-Y$42</f>
        <v>-411371903.94901252</v>
      </c>
      <c r="AD43" s="277">
        <f t="shared" ref="AD43:AD49" si="69">AC43/Y$42</f>
        <v>-1.1136341600236248</v>
      </c>
      <c r="AE43" s="189">
        <f>$M$42+'1 - SA SP Orchards'!K173*'6 - Lists'!X$26*0.1453</f>
        <v>-17321417.431288</v>
      </c>
      <c r="AF43" s="221">
        <f>'6 - Lists'!$V$92</f>
        <v>129192.35526646111</v>
      </c>
      <c r="AG43" s="221">
        <f>'6 - Lists'!$T$92</f>
        <v>1209335</v>
      </c>
      <c r="AH43" s="211">
        <f>(AG43/$C43)*$D43</f>
        <v>129192.35526646111</v>
      </c>
      <c r="AI43" s="132">
        <f t="shared" ref="AI43:AI49" si="70">AE43-AE$42</f>
        <v>-50285247.431288004</v>
      </c>
      <c r="AJ43" s="277">
        <f t="shared" ref="AJ43:AJ49" si="71">AI43/AE$42</f>
        <v>-1.5254673814082891</v>
      </c>
      <c r="AK43" s="189">
        <f>$M$42+'1 - SA SP Orchards'!K173*'6 - Lists'!AB$26*0.1453</f>
        <v>0</v>
      </c>
      <c r="AL43" s="221">
        <f>'6 - Lists'!$Y$92</f>
        <v>0</v>
      </c>
      <c r="AM43" s="221">
        <f>'6 - Lists'!$W$92</f>
        <v>0</v>
      </c>
      <c r="AN43" s="211">
        <f>(AM43/$C43)*$D43</f>
        <v>0</v>
      </c>
      <c r="AO43" s="132">
        <f t="shared" ref="AO43:AO49" si="72">AK43-AK$42</f>
        <v>0</v>
      </c>
      <c r="AP43" s="278" t="e">
        <f t="shared" ref="AP43:AP49" si="73">AO43/AK$42</f>
        <v>#DIV/0!</v>
      </c>
    </row>
    <row r="44" spans="1:42" ht="45">
      <c r="A44" s="75" t="s">
        <v>32</v>
      </c>
      <c r="B44" s="189">
        <f t="shared" si="59"/>
        <v>540646444.77965224</v>
      </c>
      <c r="C44" s="378">
        <f>'6 - Lists'!$E$92</f>
        <v>4975229</v>
      </c>
      <c r="D44" s="378">
        <f>'6 - Lists'!$F$92</f>
        <v>531500</v>
      </c>
      <c r="E44" s="132">
        <f t="shared" si="61"/>
        <v>-56105881.220347762</v>
      </c>
      <c r="F44" s="277">
        <f t="shared" si="62"/>
        <v>-9.4018705543089512E-2</v>
      </c>
      <c r="G44" s="189">
        <f>G$42+'2 - SA SP Timber Production'!$K158*'6 - Lists'!H$26*0.1453</f>
        <v>133936232.34407791</v>
      </c>
      <c r="H44" s="221">
        <f>'6 - Lists'!$J$92</f>
        <v>50113.602811046483</v>
      </c>
      <c r="I44" s="211">
        <f>'6 - Lists'!$H$92</f>
        <v>469100</v>
      </c>
      <c r="J44" s="211">
        <f t="shared" ref="J44:J49" si="74">(I44/$C44)*$D44</f>
        <v>50113.602811046483</v>
      </c>
      <c r="K44" s="132">
        <f t="shared" si="63"/>
        <v>-17494259.655922085</v>
      </c>
      <c r="L44" s="277">
        <f t="shared" si="64"/>
        <v>-0.11552666457639248</v>
      </c>
      <c r="M44" s="189">
        <f>M$42+'2 - SA SP Timber Production'!$K159*'6 - Lists'!L26*0.1453</f>
        <v>0</v>
      </c>
      <c r="N44" s="221">
        <f>'6 - Lists'!$M$92</f>
        <v>0</v>
      </c>
      <c r="O44" s="221">
        <f>'6 - Lists'!$K$92</f>
        <v>0</v>
      </c>
      <c r="P44" s="211">
        <f t="shared" ref="P44:P49" si="75">(O44/$C44)*$D44</f>
        <v>0</v>
      </c>
      <c r="Q44" s="132">
        <f t="shared" si="60"/>
        <v>0</v>
      </c>
      <c r="R44" s="277" t="e">
        <f t="shared" si="65"/>
        <v>#DIV/0!</v>
      </c>
      <c r="S44" s="189">
        <f>S$42+'2 - SA SP Timber Production'!$K160*'6 - Lists'!P26*0.1453</f>
        <v>43704387.731425785</v>
      </c>
      <c r="T44" s="221">
        <f>'6 - Lists'!$P$92</f>
        <v>11187.373083731422</v>
      </c>
      <c r="U44" s="221">
        <f>'6 - Lists'!$N$92</f>
        <v>104722</v>
      </c>
      <c r="V44" s="211">
        <f t="shared" ref="V44:V49" si="76">(U44/$C44)*$D44</f>
        <v>11187.373083731422</v>
      </c>
      <c r="W44" s="132">
        <f t="shared" si="66"/>
        <v>742293.73142578453</v>
      </c>
      <c r="X44" s="277">
        <f t="shared" si="67"/>
        <v>1.7277875967260454E-2</v>
      </c>
      <c r="Y44" s="189">
        <f>Y$42+'2 - SA SP Timber Production'!$K161*'6 - Lists'!T26*0.1453</f>
        <v>336145786.85667074</v>
      </c>
      <c r="Z44" s="221">
        <f>'6 - Lists'!$S$92</f>
        <v>341006.66883876099</v>
      </c>
      <c r="AA44" s="221">
        <f>'6 - Lists'!$Q$92</f>
        <v>3192072</v>
      </c>
      <c r="AB44" s="211">
        <f t="shared" ref="AB44:AB49" si="77">(AA44/$C44)*$D44</f>
        <v>341006.66883876099</v>
      </c>
      <c r="AC44" s="132">
        <f t="shared" si="68"/>
        <v>-33250123.143329263</v>
      </c>
      <c r="AD44" s="277">
        <f t="shared" si="69"/>
        <v>-9.0012158346120461E-2</v>
      </c>
      <c r="AE44" s="189">
        <f>AE$42+'2 - SA SP Timber Production'!$K162*'6 - Lists'!X26*0.1453</f>
        <v>26860037.847477846</v>
      </c>
      <c r="AF44" s="221">
        <f>'6 - Lists'!$V$92</f>
        <v>129192.35526646111</v>
      </c>
      <c r="AG44" s="221">
        <f>'6 - Lists'!$T$92</f>
        <v>1209335</v>
      </c>
      <c r="AH44" s="211">
        <f t="shared" ref="AH44:AH49" si="78">(AG44/$C44)*$D44</f>
        <v>129192.35526646111</v>
      </c>
      <c r="AI44" s="132">
        <f t="shared" si="70"/>
        <v>-6103792.1525221542</v>
      </c>
      <c r="AJ44" s="277">
        <f t="shared" si="71"/>
        <v>-0.18516635210538807</v>
      </c>
      <c r="AK44" s="189">
        <f>AK$42+'2 - SA SP Timber Production'!$K163*'6 - Lists'!AB26*0.1453</f>
        <v>0</v>
      </c>
      <c r="AL44" s="221">
        <f>'6 - Lists'!$Y$92</f>
        <v>0</v>
      </c>
      <c r="AM44" s="221">
        <f>'6 - Lists'!$W$92</f>
        <v>0</v>
      </c>
      <c r="AN44" s="211">
        <f t="shared" ref="AN44:AN49" si="79">(AM44/$C44)*$D44</f>
        <v>0</v>
      </c>
      <c r="AO44" s="132">
        <f t="shared" si="72"/>
        <v>0</v>
      </c>
      <c r="AP44" s="278" t="e">
        <f t="shared" si="73"/>
        <v>#DIV/0!</v>
      </c>
    </row>
    <row r="45" spans="1:42">
      <c r="A45" s="75" t="s">
        <v>6</v>
      </c>
      <c r="B45" s="189">
        <f t="shared" si="59"/>
        <v>524265866.86362702</v>
      </c>
      <c r="C45" s="378">
        <f>'6 - Lists'!$E$92</f>
        <v>4975229</v>
      </c>
      <c r="D45" s="378">
        <f>'6 - Lists'!$F$92</f>
        <v>531500</v>
      </c>
      <c r="E45" s="132">
        <f t="shared" si="61"/>
        <v>-72486459.136372983</v>
      </c>
      <c r="F45" s="277">
        <f t="shared" si="62"/>
        <v>-0.12146824734181762</v>
      </c>
      <c r="G45" s="189">
        <f>G$42+'3 - Silvopastoral'!$K123*'6 - Lists'!H$26*0</f>
        <v>151430492</v>
      </c>
      <c r="H45" s="221">
        <v>0</v>
      </c>
      <c r="I45" s="211">
        <f>'6 - Lists'!$H$92</f>
        <v>469100</v>
      </c>
      <c r="J45" s="211">
        <v>0</v>
      </c>
      <c r="K45" s="132">
        <f t="shared" si="63"/>
        <v>0</v>
      </c>
      <c r="L45" s="277">
        <f t="shared" si="64"/>
        <v>0</v>
      </c>
      <c r="M45" s="189">
        <f>M$42+'3 - Silvopastoral'!$K124*'6 - Lists'!L$26*0</f>
        <v>0</v>
      </c>
      <c r="N45" s="221">
        <f>'6 - Lists'!$M$92</f>
        <v>0</v>
      </c>
      <c r="O45" s="221">
        <f>'6 - Lists'!$K$92</f>
        <v>0</v>
      </c>
      <c r="P45" s="211">
        <v>0</v>
      </c>
      <c r="Q45" s="132">
        <f t="shared" si="60"/>
        <v>0</v>
      </c>
      <c r="R45" s="277" t="e">
        <f t="shared" si="65"/>
        <v>#DIV/0!</v>
      </c>
      <c r="S45" s="189">
        <f>S$42+'3 - Silvopastoral'!$K125*'6 - Lists'!P$26*0.0698</f>
        <v>43788941.444865249</v>
      </c>
      <c r="T45" s="221">
        <f>'6 - Lists'!$P$92</f>
        <v>11187.373083731422</v>
      </c>
      <c r="U45" s="221">
        <f>'6 - Lists'!$N$92</f>
        <v>104722</v>
      </c>
      <c r="V45" s="211">
        <f>(U45/($C45-$O45-$I45)*$D45)</f>
        <v>12352.008342415407</v>
      </c>
      <c r="W45" s="132">
        <f t="shared" si="66"/>
        <v>826847.4448652491</v>
      </c>
      <c r="X45" s="277">
        <f t="shared" si="67"/>
        <v>1.924597634522305E-2</v>
      </c>
      <c r="Y45" s="189">
        <f>Y$42+'3 - Silvopastoral'!$K126*'6 - Lists'!T$26*0.1557</f>
        <v>307171083.58217365</v>
      </c>
      <c r="Z45" s="221">
        <f>'6 - Lists'!$S$92</f>
        <v>341006.66883876099</v>
      </c>
      <c r="AA45" s="221">
        <f>'6 - Lists'!$Q$92</f>
        <v>3192072</v>
      </c>
      <c r="AB45" s="211">
        <f>(AA45/($C45-$O45-$I45)*$D45)</f>
        <v>376506.36899209942</v>
      </c>
      <c r="AC45" s="132">
        <f t="shared" si="68"/>
        <v>-62224826.417826355</v>
      </c>
      <c r="AD45" s="277">
        <f t="shared" si="69"/>
        <v>-0.16845023112959306</v>
      </c>
      <c r="AE45" s="189">
        <f>AE$42+'3 - Silvopastoral'!$K127*'6 - Lists'!X$26*0.1557</f>
        <v>21875349.836588062</v>
      </c>
      <c r="AF45" s="221">
        <f>'6 - Lists'!$V$92</f>
        <v>129192.35526646111</v>
      </c>
      <c r="AG45" s="221">
        <f>'6 - Lists'!$T$92</f>
        <v>1209335</v>
      </c>
      <c r="AH45" s="211">
        <f>(AG45/($C45-$O45-$I45)*$D45)</f>
        <v>142641.62266548516</v>
      </c>
      <c r="AI45" s="132">
        <f t="shared" si="70"/>
        <v>-11088480.163411938</v>
      </c>
      <c r="AJ45" s="277">
        <f t="shared" si="71"/>
        <v>-0.33638324683181348</v>
      </c>
      <c r="AK45" s="189">
        <f>AK$42+'3 - Silvopastoral'!$K128*'6 - Lists'!AB$26*0.1557</f>
        <v>0</v>
      </c>
      <c r="AL45" s="221">
        <f>'6 - Lists'!$Y$92</f>
        <v>0</v>
      </c>
      <c r="AM45" s="221">
        <f>'6 - Lists'!$W$92</f>
        <v>0</v>
      </c>
      <c r="AN45" s="211">
        <f>(AM45/($C45-$O45-$I45)*$D45)</f>
        <v>0</v>
      </c>
      <c r="AO45" s="132">
        <f t="shared" si="72"/>
        <v>0</v>
      </c>
      <c r="AP45" s="278" t="e">
        <f t="shared" si="73"/>
        <v>#DIV/0!</v>
      </c>
    </row>
    <row r="46" spans="1:42">
      <c r="A46" s="75" t="s">
        <v>33</v>
      </c>
      <c r="B46" s="189">
        <f t="shared" si="59"/>
        <v>588849440.18415213</v>
      </c>
      <c r="C46" s="378">
        <f>'6 - Lists'!$E$92</f>
        <v>4975229</v>
      </c>
      <c r="D46" s="378">
        <f>'6 - Lists'!$F$92/2</f>
        <v>265750</v>
      </c>
      <c r="E46" s="132">
        <f t="shared" si="61"/>
        <v>-7902885.8158478737</v>
      </c>
      <c r="F46" s="277">
        <f t="shared" si="62"/>
        <v>-1.3243158797252637E-2</v>
      </c>
      <c r="G46" s="189">
        <f>G$42+'4 - Shelterbelts'!$L181*'6 - Lists'!H$26*0.0727</f>
        <v>152340066.04189867</v>
      </c>
      <c r="H46" s="221">
        <f>'6 - Lists'!$J$92/2</f>
        <v>25056.801405523242</v>
      </c>
      <c r="I46" s="211">
        <f>'6 - Lists'!$H$92</f>
        <v>469100</v>
      </c>
      <c r="J46" s="211">
        <f t="shared" si="74"/>
        <v>25056.801405523242</v>
      </c>
      <c r="K46" s="132">
        <f t="shared" si="63"/>
        <v>909574.04189866781</v>
      </c>
      <c r="L46" s="277">
        <f t="shared" si="64"/>
        <v>6.00654485028463E-3</v>
      </c>
      <c r="M46" s="189">
        <f>M$42+'4 - Shelterbelts'!$L182*'6 - Lists'!L$26*0.0727</f>
        <v>0</v>
      </c>
      <c r="N46" s="221">
        <f>'6 - Lists'!$M$92</f>
        <v>0</v>
      </c>
      <c r="O46" s="221">
        <f>'6 - Lists'!$K$92</f>
        <v>0</v>
      </c>
      <c r="P46" s="211">
        <f t="shared" si="75"/>
        <v>0</v>
      </c>
      <c r="Q46" s="132">
        <f t="shared" si="60"/>
        <v>0</v>
      </c>
      <c r="R46" s="277" t="e">
        <f t="shared" si="65"/>
        <v>#DIV/0!</v>
      </c>
      <c r="S46" s="189">
        <f>S$42+'4 - Shelterbelts'!$L183*'6 - Lists'!P$26*0.0727</f>
        <v>43782763.604626916</v>
      </c>
      <c r="T46" s="221">
        <f>'6 - Lists'!$P$92</f>
        <v>11187.373083731422</v>
      </c>
      <c r="U46" s="221">
        <f>'6 - Lists'!$N$92</f>
        <v>104722</v>
      </c>
      <c r="V46" s="211">
        <f t="shared" si="76"/>
        <v>5593.6865418657108</v>
      </c>
      <c r="W46" s="132">
        <f t="shared" si="66"/>
        <v>820669.60462691635</v>
      </c>
      <c r="X46" s="277">
        <f t="shared" si="67"/>
        <v>1.9102178879523805E-2</v>
      </c>
      <c r="Y46" s="189">
        <f>Y$42+'4 - Shelterbelts'!$L184*'6 - Lists'!T$26*0.0727</f>
        <v>359464357.57235986</v>
      </c>
      <c r="Z46" s="221">
        <f>'6 - Lists'!$S$92</f>
        <v>341006.66883876099</v>
      </c>
      <c r="AA46" s="221">
        <f>'6 - Lists'!$Q$92</f>
        <v>3192072</v>
      </c>
      <c r="AB46" s="211">
        <f t="shared" si="77"/>
        <v>170503.3344193805</v>
      </c>
      <c r="AC46" s="132">
        <f t="shared" si="68"/>
        <v>-9931552.4276401401</v>
      </c>
      <c r="AD46" s="277">
        <f t="shared" si="69"/>
        <v>-2.6885929591478532E-2</v>
      </c>
      <c r="AE46" s="189">
        <f>AE$42+'4 - Shelterbelts'!$L185*'6 - Lists'!X$26*0.0727</f>
        <v>33262252.965266693</v>
      </c>
      <c r="AF46" s="221">
        <f>'6 - Lists'!$V$92</f>
        <v>129192.35526646111</v>
      </c>
      <c r="AG46" s="221">
        <f>'6 - Lists'!$T$92</f>
        <v>1209335</v>
      </c>
      <c r="AH46" s="211">
        <f t="shared" si="78"/>
        <v>64596.177633230553</v>
      </c>
      <c r="AI46" s="132">
        <f t="shared" si="70"/>
        <v>298422.96526669338</v>
      </c>
      <c r="AJ46" s="277">
        <f t="shared" si="71"/>
        <v>9.0530428432222046E-3</v>
      </c>
      <c r="AK46" s="189">
        <f>AK$42+'4 - Shelterbelts'!$L186*'6 - Lists'!AB$26*0.0727</f>
        <v>0</v>
      </c>
      <c r="AL46" s="221">
        <f>'6 - Lists'!$Y$92</f>
        <v>0</v>
      </c>
      <c r="AM46" s="221">
        <f>'6 - Lists'!$W$92</f>
        <v>0</v>
      </c>
      <c r="AN46" s="211">
        <f t="shared" si="79"/>
        <v>0</v>
      </c>
      <c r="AO46" s="132">
        <f t="shared" si="72"/>
        <v>0</v>
      </c>
      <c r="AP46" s="278" t="e">
        <f t="shared" si="73"/>
        <v>#DIV/0!</v>
      </c>
    </row>
    <row r="47" spans="1:42">
      <c r="A47" s="75" t="s">
        <v>35</v>
      </c>
      <c r="B47" s="189">
        <f t="shared" si="59"/>
        <v>373340743.00619137</v>
      </c>
      <c r="C47" s="378">
        <f>'6 - Lists'!$E$92</f>
        <v>4975229</v>
      </c>
      <c r="D47" s="378">
        <f>'6 - Lists'!$F$92</f>
        <v>531500</v>
      </c>
      <c r="E47" s="132">
        <f t="shared" si="61"/>
        <v>-223411582.99380863</v>
      </c>
      <c r="F47" s="277">
        <f t="shared" si="62"/>
        <v>-0.3743790736289625</v>
      </c>
      <c r="G47" s="189">
        <f>G$42+'5 - Farm woodland'!$G201*'6 - Lists'!H$26*0.1453</f>
        <v>79920186.695499986</v>
      </c>
      <c r="H47" s="221">
        <f>'6 - Lists'!$J$92</f>
        <v>50113.602811046483</v>
      </c>
      <c r="I47" s="211">
        <f>'6 - Lists'!$H$92</f>
        <v>469100</v>
      </c>
      <c r="J47" s="211">
        <f t="shared" si="74"/>
        <v>50113.602811046483</v>
      </c>
      <c r="K47" s="132">
        <f t="shared" si="63"/>
        <v>-71510305.304500014</v>
      </c>
      <c r="L47" s="277">
        <f t="shared" si="64"/>
        <v>-0.47223187589260435</v>
      </c>
      <c r="M47" s="189">
        <f>M$42+'5 - Farm woodland'!$G202*'6 - Lists'!L$26*0.1453</f>
        <v>0</v>
      </c>
      <c r="N47" s="221">
        <f>'6 - Lists'!$M$92</f>
        <v>0</v>
      </c>
      <c r="O47" s="221">
        <f>'6 - Lists'!$K$92</f>
        <v>0</v>
      </c>
      <c r="P47" s="211">
        <f t="shared" si="75"/>
        <v>0</v>
      </c>
      <c r="Q47" s="132">
        <f t="shared" si="60"/>
        <v>0</v>
      </c>
      <c r="R47" s="277" t="e">
        <f t="shared" si="65"/>
        <v>#DIV/0!</v>
      </c>
      <c r="S47" s="189">
        <f>S$42+'5 - Farm woodland'!$G203*'6 - Lists'!P$26*0.1453</f>
        <v>19037162.704865612</v>
      </c>
      <c r="T47" s="221">
        <f>'6 - Lists'!$P$92</f>
        <v>11187.373083731422</v>
      </c>
      <c r="U47" s="221">
        <f>'6 - Lists'!$N$92</f>
        <v>104722</v>
      </c>
      <c r="V47" s="211">
        <f t="shared" si="76"/>
        <v>11187.373083731422</v>
      </c>
      <c r="W47" s="132">
        <f t="shared" si="66"/>
        <v>-23924931.295134388</v>
      </c>
      <c r="X47" s="277">
        <f t="shared" si="67"/>
        <v>-0.55688466430743311</v>
      </c>
      <c r="Y47" s="189">
        <f>Y$42+'5 - Farm woodland'!$G204*'6 - Lists'!T$26*0.1453</f>
        <v>323347323.68270081</v>
      </c>
      <c r="Z47" s="221">
        <f>'6 - Lists'!$S$92</f>
        <v>341006.66883876099</v>
      </c>
      <c r="AA47" s="221">
        <f>'6 - Lists'!$Q$92</f>
        <v>3192072</v>
      </c>
      <c r="AB47" s="211">
        <f t="shared" si="77"/>
        <v>341006.66883876099</v>
      </c>
      <c r="AC47" s="132">
        <f t="shared" si="68"/>
        <v>-46048586.317299187</v>
      </c>
      <c r="AD47" s="277">
        <f t="shared" si="69"/>
        <v>-0.12465916668459916</v>
      </c>
      <c r="AE47" s="287">
        <f>AE$42+'5 - Farm woodland'!$G205*'6 - Lists'!X$26*0.1453</f>
        <v>-48963930.076875001</v>
      </c>
      <c r="AF47" s="221">
        <f>'6 - Lists'!$V$92</f>
        <v>129192.35526646111</v>
      </c>
      <c r="AG47" s="221">
        <f>'6 - Lists'!$T$92</f>
        <v>1209335</v>
      </c>
      <c r="AH47" s="211">
        <f t="shared" si="78"/>
        <v>129192.35526646111</v>
      </c>
      <c r="AI47" s="132">
        <f t="shared" si="70"/>
        <v>-81927760.076875001</v>
      </c>
      <c r="AJ47" s="277">
        <f t="shared" si="71"/>
        <v>-2.4853835272441036</v>
      </c>
      <c r="AK47" s="189">
        <f>AK$42+'5 - Farm woodland'!$G206*'6 - Lists'!AB$26*0.1453</f>
        <v>0</v>
      </c>
      <c r="AL47" s="221">
        <f>'6 - Lists'!$Y$92</f>
        <v>0</v>
      </c>
      <c r="AM47" s="221">
        <f>'6 - Lists'!$W$92</f>
        <v>0</v>
      </c>
      <c r="AN47" s="211">
        <f t="shared" si="79"/>
        <v>0</v>
      </c>
      <c r="AO47" s="132">
        <f t="shared" si="72"/>
        <v>0</v>
      </c>
      <c r="AP47" s="278" t="e">
        <f t="shared" si="73"/>
        <v>#DIV/0!</v>
      </c>
    </row>
    <row r="48" spans="1:42">
      <c r="A48" s="75" t="s">
        <v>37</v>
      </c>
      <c r="B48" s="189">
        <f t="shared" si="59"/>
        <v>235085970.03606641</v>
      </c>
      <c r="C48" s="378">
        <f>'6 - Lists'!$E$92</f>
        <v>4975229</v>
      </c>
      <c r="D48" s="378">
        <f>'6 - Lists'!$F$92</f>
        <v>531500</v>
      </c>
      <c r="E48" s="132">
        <f t="shared" si="61"/>
        <v>-361666355.96393359</v>
      </c>
      <c r="F48" s="277">
        <f t="shared" si="62"/>
        <v>-0.60605772312303241</v>
      </c>
      <c r="G48" s="189">
        <f>G$42+'5 - Farm woodland'!$G209*'6 - Lists'!H$26*0.1453</f>
        <v>66884542.707999989</v>
      </c>
      <c r="H48" s="221">
        <f>'6 - Lists'!$J$92</f>
        <v>50113.602811046483</v>
      </c>
      <c r="I48" s="211">
        <f>'6 - Lists'!$H$92</f>
        <v>469100</v>
      </c>
      <c r="J48" s="211">
        <f t="shared" si="74"/>
        <v>50113.602811046483</v>
      </c>
      <c r="K48" s="132">
        <f t="shared" si="63"/>
        <v>-84545949.292000011</v>
      </c>
      <c r="L48" s="277">
        <f t="shared" si="64"/>
        <v>-0.55831522552274349</v>
      </c>
      <c r="M48" s="189">
        <f>M$42+'5 - Farm woodland'!$G210*'6 - Lists'!L$26*0.1453</f>
        <v>0</v>
      </c>
      <c r="N48" s="221">
        <f>'6 - Lists'!$M$92</f>
        <v>0</v>
      </c>
      <c r="O48" s="221">
        <f>'6 - Lists'!$K$92</f>
        <v>0</v>
      </c>
      <c r="P48" s="211">
        <f t="shared" si="75"/>
        <v>0</v>
      </c>
      <c r="Q48" s="132">
        <f t="shared" si="60"/>
        <v>0</v>
      </c>
      <c r="R48" s="277" t="e">
        <f t="shared" si="65"/>
        <v>#DIV/0!</v>
      </c>
      <c r="S48" s="189">
        <f>S$42+'5 - Farm woodland'!$G211*'6 - Lists'!P$26*0.1453</f>
        <v>16127082.31761561</v>
      </c>
      <c r="T48" s="221">
        <f>'6 - Lists'!$P$92</f>
        <v>11187.373083731422</v>
      </c>
      <c r="U48" s="221">
        <f>'6 - Lists'!$N$92</f>
        <v>104722</v>
      </c>
      <c r="V48" s="211">
        <f t="shared" si="76"/>
        <v>11187.373083731422</v>
      </c>
      <c r="W48" s="132">
        <f t="shared" si="66"/>
        <v>-26835011.68238439</v>
      </c>
      <c r="X48" s="277">
        <f t="shared" si="67"/>
        <v>-0.62462066402965344</v>
      </c>
      <c r="Y48" s="189">
        <f>Y$42+'5 - Farm woodland'!$G212*'6 - Lists'!T$26*0.1453</f>
        <v>234644031.90170082</v>
      </c>
      <c r="Z48" s="221">
        <f>'6 - Lists'!$S$92</f>
        <v>341006.66883876099</v>
      </c>
      <c r="AA48" s="221">
        <f>'6 - Lists'!$Q$92</f>
        <v>3192072</v>
      </c>
      <c r="AB48" s="211">
        <f t="shared" si="77"/>
        <v>341006.66883876099</v>
      </c>
      <c r="AC48" s="132">
        <f t="shared" si="68"/>
        <v>-134751878.09829918</v>
      </c>
      <c r="AD48" s="277">
        <f t="shared" si="69"/>
        <v>-0.36478984864315139</v>
      </c>
      <c r="AE48" s="189">
        <f>AE$42+'5 - Farm woodland'!$G213*'6 - Lists'!X$26*0.1453</f>
        <v>-82569686.891250014</v>
      </c>
      <c r="AF48" s="221">
        <f>'6 - Lists'!$V$92</f>
        <v>129192.35526646111</v>
      </c>
      <c r="AG48" s="221">
        <f>'6 - Lists'!$T$92</f>
        <v>1209335</v>
      </c>
      <c r="AH48" s="211">
        <f t="shared" si="78"/>
        <v>129192.35526646111</v>
      </c>
      <c r="AI48" s="132">
        <f t="shared" si="70"/>
        <v>-115533516.89125001</v>
      </c>
      <c r="AJ48" s="277">
        <f t="shared" si="71"/>
        <v>-3.5048571992772084</v>
      </c>
      <c r="AK48" s="287">
        <f>AK$42+'5 - Farm woodland'!$G214*'6 - Lists'!AB$26*0.1453</f>
        <v>0</v>
      </c>
      <c r="AL48" s="221">
        <f>'6 - Lists'!$Y$92</f>
        <v>0</v>
      </c>
      <c r="AM48" s="221">
        <f>'6 - Lists'!$W$92</f>
        <v>0</v>
      </c>
      <c r="AN48" s="211">
        <f t="shared" si="79"/>
        <v>0</v>
      </c>
      <c r="AO48" s="132">
        <f t="shared" si="72"/>
        <v>0</v>
      </c>
      <c r="AP48" s="278" t="e">
        <f t="shared" si="73"/>
        <v>#DIV/0!</v>
      </c>
    </row>
    <row r="49" spans="1:42" ht="15.75" thickBot="1">
      <c r="A49" s="77" t="s">
        <v>51</v>
      </c>
      <c r="B49" s="279">
        <f t="shared" si="59"/>
        <v>214664926.80500853</v>
      </c>
      <c r="C49" s="378">
        <f>'6 - Lists'!$E$92</f>
        <v>4975229</v>
      </c>
      <c r="D49" s="378">
        <f>'6 - Lists'!$F$92</f>
        <v>531500</v>
      </c>
      <c r="E49" s="280">
        <f t="shared" si="61"/>
        <v>-382087399.19499147</v>
      </c>
      <c r="F49" s="281">
        <f t="shared" si="62"/>
        <v>-0.64027802246889187</v>
      </c>
      <c r="G49" s="279">
        <f>G$42+'5 - Farm woodland'!$G217*'6 - Lists'!H$26*0.1453</f>
        <v>64959101.410787493</v>
      </c>
      <c r="H49" s="221">
        <f>'6 - Lists'!$J$92</f>
        <v>50113.602811046483</v>
      </c>
      <c r="I49" s="211">
        <f>'6 - Lists'!$H$92</f>
        <v>469100</v>
      </c>
      <c r="J49" s="211">
        <f t="shared" si="74"/>
        <v>50113.602811046483</v>
      </c>
      <c r="K49" s="280">
        <f t="shared" si="63"/>
        <v>-86471390.589212507</v>
      </c>
      <c r="L49" s="281">
        <f t="shared" si="64"/>
        <v>-0.57103024263575997</v>
      </c>
      <c r="M49" s="279">
        <f>M$42+'5 - Farm woodland'!$G218*'6 - Lists'!L$26*0.1453</f>
        <v>0</v>
      </c>
      <c r="N49" s="221">
        <f>'6 - Lists'!$M$92</f>
        <v>0</v>
      </c>
      <c r="O49" s="221">
        <f>'6 - Lists'!$K$92</f>
        <v>0</v>
      </c>
      <c r="P49" s="211">
        <f t="shared" si="75"/>
        <v>0</v>
      </c>
      <c r="Q49" s="280">
        <f t="shared" si="60"/>
        <v>0</v>
      </c>
      <c r="R49" s="281" t="e">
        <f t="shared" si="65"/>
        <v>#DIV/0!</v>
      </c>
      <c r="S49" s="279">
        <f>S$42+'5 - Farm woodland'!$G219*'6 - Lists'!P$26*0.1453</f>
        <v>15697246.326298859</v>
      </c>
      <c r="T49" s="221">
        <f>'6 - Lists'!$P$92</f>
        <v>11187.373083731422</v>
      </c>
      <c r="U49" s="221">
        <f>'6 - Lists'!$N$92</f>
        <v>104722</v>
      </c>
      <c r="V49" s="211">
        <f t="shared" si="76"/>
        <v>11187.373083731422</v>
      </c>
      <c r="W49" s="280">
        <f t="shared" si="66"/>
        <v>-27264847.673701141</v>
      </c>
      <c r="X49" s="281">
        <f t="shared" si="67"/>
        <v>-0.63462566963568257</v>
      </c>
      <c r="Y49" s="279">
        <f>Y$42+'5 - Farm woodland'!$G220*'6 - Lists'!T$26*0.1453</f>
        <v>221542033.92157781</v>
      </c>
      <c r="Z49" s="221">
        <f>'6 - Lists'!$S$92</f>
        <v>341006.66883876099</v>
      </c>
      <c r="AA49" s="221">
        <f>'6 - Lists'!$Q$92</f>
        <v>3192072</v>
      </c>
      <c r="AB49" s="211">
        <f t="shared" si="77"/>
        <v>341006.66883876099</v>
      </c>
      <c r="AC49" s="280">
        <f t="shared" si="68"/>
        <v>-147853876.07842219</v>
      </c>
      <c r="AD49" s="281">
        <f t="shared" si="69"/>
        <v>-0.40025856290185291</v>
      </c>
      <c r="AE49" s="279">
        <f>AE$42+'5 - Farm woodland'!$G221*'6 - Lists'!X$26*0.1453</f>
        <v>-87533454.853655621</v>
      </c>
      <c r="AF49" s="221">
        <f>'6 - Lists'!$V$92</f>
        <v>129192.35526646111</v>
      </c>
      <c r="AG49" s="221">
        <f>'6 - Lists'!$T$92</f>
        <v>1209335</v>
      </c>
      <c r="AH49" s="211">
        <f t="shared" si="78"/>
        <v>129192.35526646111</v>
      </c>
      <c r="AI49" s="280">
        <f t="shared" si="70"/>
        <v>-120497284.85365562</v>
      </c>
      <c r="AJ49" s="281">
        <f t="shared" si="71"/>
        <v>-3.6554394575404503</v>
      </c>
      <c r="AK49" s="288">
        <f>AK$42+'5 - Farm woodland'!$G222*'6 - Lists'!AB$26*0.1453</f>
        <v>0</v>
      </c>
      <c r="AL49" s="221">
        <f>'6 - Lists'!$Y$92</f>
        <v>0</v>
      </c>
      <c r="AM49" s="221">
        <f>'6 - Lists'!$W$92</f>
        <v>0</v>
      </c>
      <c r="AN49" s="211">
        <f t="shared" si="79"/>
        <v>0</v>
      </c>
      <c r="AO49" s="280">
        <f t="shared" si="72"/>
        <v>0</v>
      </c>
      <c r="AP49" s="282" t="e">
        <f t="shared" si="73"/>
        <v>#DIV/0!</v>
      </c>
    </row>
    <row r="50" spans="1:42" ht="15.75" thickBot="1"/>
    <row r="51" spans="1:42">
      <c r="A51" s="289" t="s">
        <v>53</v>
      </c>
      <c r="B51" s="290"/>
      <c r="C51" s="346"/>
      <c r="D51" s="346"/>
      <c r="E51" s="290"/>
      <c r="F51" s="290"/>
      <c r="G51" s="290"/>
      <c r="H51" s="346"/>
      <c r="I51" s="346"/>
      <c r="J51" s="346"/>
      <c r="K51" s="290"/>
      <c r="L51" s="290"/>
      <c r="M51" s="290"/>
      <c r="N51" s="346"/>
      <c r="O51" s="346"/>
      <c r="P51" s="346"/>
      <c r="Q51" s="290"/>
      <c r="R51" s="290"/>
      <c r="S51" s="290"/>
      <c r="T51" s="346"/>
      <c r="U51" s="346"/>
      <c r="V51" s="346"/>
      <c r="W51" s="290"/>
      <c r="X51" s="290"/>
      <c r="Y51" s="290"/>
      <c r="Z51" s="346"/>
      <c r="AA51" s="346"/>
      <c r="AB51" s="346"/>
      <c r="AC51" s="290"/>
      <c r="AD51" s="290"/>
      <c r="AE51" s="290"/>
      <c r="AF51" s="346"/>
      <c r="AG51" s="346"/>
      <c r="AH51" s="346"/>
      <c r="AI51" s="290"/>
      <c r="AJ51" s="290"/>
      <c r="AK51" s="290"/>
      <c r="AL51" s="346"/>
      <c r="AM51" s="346"/>
      <c r="AN51" s="346"/>
      <c r="AO51" s="290"/>
      <c r="AP51" s="291"/>
    </row>
    <row r="52" spans="1:42">
      <c r="A52" s="283" t="s">
        <v>2</v>
      </c>
      <c r="B52" s="292" t="s">
        <v>24</v>
      </c>
      <c r="C52" s="347"/>
      <c r="D52" s="347"/>
      <c r="E52" s="292"/>
      <c r="F52" s="292"/>
      <c r="G52" s="292" t="s">
        <v>41</v>
      </c>
      <c r="H52" s="347"/>
      <c r="I52" s="347"/>
      <c r="J52" s="347"/>
      <c r="K52" s="292"/>
      <c r="L52" s="292"/>
      <c r="M52" s="292" t="s">
        <v>42</v>
      </c>
      <c r="N52" s="347"/>
      <c r="O52" s="347"/>
      <c r="P52" s="347"/>
      <c r="Q52" s="292"/>
      <c r="R52" s="292"/>
      <c r="S52" s="292" t="s">
        <v>27</v>
      </c>
      <c r="T52" s="347"/>
      <c r="U52" s="347"/>
      <c r="V52" s="347"/>
      <c r="W52" s="292"/>
      <c r="X52" s="292"/>
      <c r="Y52" s="292" t="s">
        <v>28</v>
      </c>
      <c r="Z52" s="347"/>
      <c r="AA52" s="347"/>
      <c r="AB52" s="347"/>
      <c r="AC52" s="292"/>
      <c r="AD52" s="292"/>
      <c r="AE52" s="292" t="s">
        <v>29</v>
      </c>
      <c r="AF52" s="347"/>
      <c r="AG52" s="347"/>
      <c r="AH52" s="347"/>
      <c r="AI52" s="292"/>
      <c r="AJ52" s="292"/>
      <c r="AK52" s="292" t="s">
        <v>30</v>
      </c>
      <c r="AL52" s="347"/>
      <c r="AM52" s="347"/>
      <c r="AN52" s="347"/>
      <c r="AO52" s="292"/>
      <c r="AP52" s="293"/>
    </row>
    <row r="53" spans="1:42" ht="30">
      <c r="A53" s="283"/>
      <c r="B53" s="284" t="s">
        <v>3</v>
      </c>
      <c r="C53" s="284" t="s">
        <v>563</v>
      </c>
      <c r="D53" s="284" t="s">
        <v>698</v>
      </c>
      <c r="E53" s="284" t="s">
        <v>43</v>
      </c>
      <c r="F53" s="284" t="s">
        <v>44</v>
      </c>
      <c r="G53" s="284" t="s">
        <v>3</v>
      </c>
      <c r="H53" s="284" t="s">
        <v>700</v>
      </c>
      <c r="I53" s="284" t="s">
        <v>699</v>
      </c>
      <c r="J53" s="284" t="s">
        <v>697</v>
      </c>
      <c r="K53" s="284" t="s">
        <v>43</v>
      </c>
      <c r="L53" s="284" t="s">
        <v>44</v>
      </c>
      <c r="M53" s="284" t="s">
        <v>3</v>
      </c>
      <c r="N53" s="284" t="s">
        <v>700</v>
      </c>
      <c r="O53" s="284" t="s">
        <v>699</v>
      </c>
      <c r="P53" s="284" t="s">
        <v>697</v>
      </c>
      <c r="Q53" s="284" t="s">
        <v>43</v>
      </c>
      <c r="R53" s="284" t="s">
        <v>44</v>
      </c>
      <c r="S53" s="284" t="s">
        <v>3</v>
      </c>
      <c r="T53" s="284" t="s">
        <v>700</v>
      </c>
      <c r="U53" s="284" t="s">
        <v>699</v>
      </c>
      <c r="V53" s="284" t="s">
        <v>697</v>
      </c>
      <c r="W53" s="284" t="s">
        <v>43</v>
      </c>
      <c r="X53" s="284" t="s">
        <v>44</v>
      </c>
      <c r="Y53" s="284" t="s">
        <v>3</v>
      </c>
      <c r="Z53" s="284" t="s">
        <v>700</v>
      </c>
      <c r="AA53" s="284" t="s">
        <v>699</v>
      </c>
      <c r="AB53" s="284" t="s">
        <v>697</v>
      </c>
      <c r="AC53" s="284" t="s">
        <v>43</v>
      </c>
      <c r="AD53" s="284" t="s">
        <v>44</v>
      </c>
      <c r="AE53" s="284" t="s">
        <v>3</v>
      </c>
      <c r="AF53" s="284" t="s">
        <v>700</v>
      </c>
      <c r="AG53" s="284" t="s">
        <v>699</v>
      </c>
      <c r="AH53" s="284" t="s">
        <v>697</v>
      </c>
      <c r="AI53" s="284" t="s">
        <v>43</v>
      </c>
      <c r="AJ53" s="284" t="s">
        <v>44</v>
      </c>
      <c r="AK53" s="284" t="s">
        <v>3</v>
      </c>
      <c r="AL53" s="284" t="s">
        <v>700</v>
      </c>
      <c r="AM53" s="284" t="s">
        <v>699</v>
      </c>
      <c r="AN53" s="284" t="s">
        <v>697</v>
      </c>
      <c r="AO53" s="284" t="s">
        <v>43</v>
      </c>
      <c r="AP53" s="285" t="s">
        <v>44</v>
      </c>
    </row>
    <row r="54" spans="1:42">
      <c r="A54" s="75" t="s">
        <v>9</v>
      </c>
      <c r="B54" s="188">
        <f t="shared" ref="B54:B61" si="80">SUM(G54,M54,S54,Y54,AE54,AK54)</f>
        <v>191289815.01307702</v>
      </c>
      <c r="C54" s="378">
        <f>'6 - Lists'!$E$93</f>
        <v>1043000</v>
      </c>
      <c r="D54" s="378">
        <f>'6 - Lists'!$F$93</f>
        <v>96800</v>
      </c>
      <c r="E54" s="40"/>
      <c r="F54" s="40"/>
      <c r="G54" s="188">
        <f>IFERROR(VLOOKUP("Wales",'6 - Lists'!$D$25:$AE$29,8,0),"")</f>
        <v>0</v>
      </c>
      <c r="H54" s="378">
        <f>'6 - Lists'!$J$93</f>
        <v>0</v>
      </c>
      <c r="I54" s="211">
        <f>'6 - Lists'!$H$93</f>
        <v>0</v>
      </c>
      <c r="J54" s="211"/>
      <c r="K54" s="40"/>
      <c r="L54" s="40"/>
      <c r="M54" s="188">
        <f>IFERROR(VLOOKUP("Wales",'6 - Lists'!$D$25:$AE$29,12,0),"")</f>
        <v>0</v>
      </c>
      <c r="N54" s="378">
        <f>'6 - Lists'!$M$93</f>
        <v>0</v>
      </c>
      <c r="O54" s="221">
        <f>'6 - Lists'!$K$93</f>
        <v>0</v>
      </c>
      <c r="P54" s="221"/>
      <c r="Q54" s="132">
        <f t="shared" ref="Q54:Q61" si="81">M54-M$54</f>
        <v>0</v>
      </c>
      <c r="R54" s="40"/>
      <c r="S54" s="188">
        <f>IFERROR(VLOOKUP("Wales",'6 - Lists'!$D$25:$AE$29,16,0),"")</f>
        <v>68984556.293510437</v>
      </c>
      <c r="T54" s="377"/>
      <c r="U54" s="221">
        <f>'6 - Lists'!$N$93</f>
        <v>185000</v>
      </c>
      <c r="V54" s="221"/>
      <c r="W54" s="70"/>
      <c r="X54" s="70"/>
      <c r="Y54" s="188">
        <f>IFERROR(VLOOKUP("Wales",'6 - Lists'!$D$25:$AE$29,20,0),"")</f>
        <v>107552447.55244756</v>
      </c>
      <c r="Z54" s="377"/>
      <c r="AA54" s="221">
        <f>'6 - Lists'!$Q$93</f>
        <v>769000</v>
      </c>
      <c r="AB54" s="221"/>
      <c r="AC54" s="70"/>
      <c r="AD54" s="70"/>
      <c r="AE54" s="188">
        <f>IFERROR(VLOOKUP("Wales",'6 - Lists'!$D$25:$AE$29,24,0),"")</f>
        <v>14752811.167119037</v>
      </c>
      <c r="AF54" s="378">
        <f>'6 - Lists'!$V$93</f>
        <v>8260.0191754554162</v>
      </c>
      <c r="AG54" s="221">
        <f>'6 - Lists'!$T$93</f>
        <v>89000</v>
      </c>
      <c r="AH54" s="221"/>
      <c r="AI54" s="40"/>
      <c r="AJ54" s="40"/>
      <c r="AK54" s="188">
        <f>IFERROR(VLOOKUP("Wales",'6 - Lists'!$D$25:$AE$29,28,0),"")</f>
        <v>0</v>
      </c>
      <c r="AL54" s="378">
        <f>'6 - Lists'!$Y$93</f>
        <v>0</v>
      </c>
      <c r="AM54" s="221">
        <f>'6 - Lists'!$W$93</f>
        <v>0</v>
      </c>
      <c r="AN54" s="221"/>
      <c r="AO54" s="40"/>
      <c r="AP54" s="60"/>
    </row>
    <row r="55" spans="1:42" ht="30">
      <c r="A55" s="75" t="s">
        <v>31</v>
      </c>
      <c r="B55" s="189">
        <f t="shared" si="80"/>
        <v>186424529.41340721</v>
      </c>
      <c r="C55" s="378">
        <f>'6 - Lists'!$E$93</f>
        <v>1043000</v>
      </c>
      <c r="D55" s="378">
        <f>'6 - Lists'!$F$93</f>
        <v>96800</v>
      </c>
      <c r="E55" s="132">
        <f t="shared" ref="E55:E61" si="82">B55-B$54</f>
        <v>-4865285.5996698141</v>
      </c>
      <c r="F55" s="277">
        <f t="shared" ref="F55:F61" si="83">E55/B$54</f>
        <v>-2.5434106877761431E-2</v>
      </c>
      <c r="G55" s="189">
        <f>$G$54+'1 - SA SP Orchards'!$K182*'6 - Lists'!H$27*0.0928</f>
        <v>0</v>
      </c>
      <c r="H55" s="378">
        <f>'6 - Lists'!$J$93</f>
        <v>0</v>
      </c>
      <c r="I55" s="211">
        <f>'6 - Lists'!$H$93</f>
        <v>0</v>
      </c>
      <c r="J55" s="211">
        <f>(I55/$C55)*$D55</f>
        <v>0</v>
      </c>
      <c r="K55" s="132">
        <f t="shared" ref="K55:K61" si="84">G55-G$54</f>
        <v>0</v>
      </c>
      <c r="L55" s="277" t="e">
        <f t="shared" ref="L55:L61" si="85">K55/G$54</f>
        <v>#DIV/0!</v>
      </c>
      <c r="M55" s="189">
        <f>$M$54+'1 - SA SP Orchards'!K183*'6 - Lists'!L$27*0.0928</f>
        <v>0</v>
      </c>
      <c r="N55" s="378">
        <f>'6 - Lists'!$M$93</f>
        <v>0</v>
      </c>
      <c r="O55" s="221">
        <f>'6 - Lists'!$K$93</f>
        <v>0</v>
      </c>
      <c r="P55" s="211">
        <f>(O55/$C55)*$D55</f>
        <v>0</v>
      </c>
      <c r="Q55" s="132">
        <f t="shared" si="81"/>
        <v>0</v>
      </c>
      <c r="R55" s="277" t="e">
        <f t="shared" ref="R55:R61" si="86">Q55/M$54</f>
        <v>#DIV/0!</v>
      </c>
      <c r="S55" s="189">
        <f>$S$54+'1 - SA SP Orchards'!K184*'6 - Lists'!P$27*0.0928</f>
        <v>69844118.129015282</v>
      </c>
      <c r="T55" s="378">
        <f>'6 - Lists'!$P$93</f>
        <v>17169.702780441035</v>
      </c>
      <c r="U55" s="221">
        <f>'6 - Lists'!$N$93</f>
        <v>185000</v>
      </c>
      <c r="V55" s="211">
        <f>(U55/$C55)*$D55</f>
        <v>17169.702780441035</v>
      </c>
      <c r="W55" s="132">
        <f t="shared" ref="W55:W61" si="87">S55-S$54</f>
        <v>859561.83550484478</v>
      </c>
      <c r="X55" s="277">
        <f t="shared" ref="X55:X61" si="88">W55/S$54</f>
        <v>1.2460206772188894E-2</v>
      </c>
      <c r="Y55" s="189">
        <f>$Y$54+'1 - SA SP Orchards'!K185*'6 - Lists'!T$27*0.0928</f>
        <v>102418866.2983651</v>
      </c>
      <c r="Z55" s="378">
        <f>'6 - Lists'!$S$93</f>
        <v>71370.278044103557</v>
      </c>
      <c r="AA55" s="221">
        <f>'6 - Lists'!$Q$93</f>
        <v>769000</v>
      </c>
      <c r="AB55" s="211">
        <f>(AA55/$C55)*$D55</f>
        <v>71370.278044103557</v>
      </c>
      <c r="AC55" s="132">
        <f t="shared" ref="AC55:AC61" si="89">Y55-Y$54</f>
        <v>-5133581.2540824562</v>
      </c>
      <c r="AD55" s="277">
        <f t="shared" ref="AD55:AD61" si="90">AC55/Y$54</f>
        <v>-4.7730957043809571E-2</v>
      </c>
      <c r="AE55" s="189">
        <f>$AE$54+'1 - SA SP Orchards'!K186*'6 - Lists'!X$27*0.0928</f>
        <v>14161544.986026831</v>
      </c>
      <c r="AF55" s="378">
        <f>'6 - Lists'!$V$93</f>
        <v>8260.0191754554162</v>
      </c>
      <c r="AG55" s="221">
        <f>'6 - Lists'!$T$93</f>
        <v>89000</v>
      </c>
      <c r="AH55" s="211">
        <f>(AG55/$C55)*$D55</f>
        <v>8260.0191754554162</v>
      </c>
      <c r="AI55" s="132">
        <f t="shared" ref="AI55:AI61" si="91">AE55-AE$54</f>
        <v>-591266.18109220639</v>
      </c>
      <c r="AJ55" s="277">
        <f t="shared" ref="AJ55:AJ61" si="92">AI55/AE$54</f>
        <v>-4.0078204377076036E-2</v>
      </c>
      <c r="AK55" s="189">
        <f>$AK$54+'1 - SA SP Orchards'!K187*'6 - Lists'!AB$27*0.0928</f>
        <v>0</v>
      </c>
      <c r="AL55" s="378">
        <f>'6 - Lists'!$Y$93</f>
        <v>0</v>
      </c>
      <c r="AM55" s="221">
        <f>'6 - Lists'!$W$93</f>
        <v>0</v>
      </c>
      <c r="AN55" s="211">
        <f>(AM55/$C55)*$D55</f>
        <v>0</v>
      </c>
      <c r="AO55" s="132">
        <f t="shared" ref="AO55:AO61" si="93">AK55-AK$54</f>
        <v>0</v>
      </c>
      <c r="AP55" s="277" t="e">
        <f t="shared" ref="AP55:AP61" si="94">AO55/AK$54</f>
        <v>#DIV/0!</v>
      </c>
    </row>
    <row r="56" spans="1:42" ht="45">
      <c r="A56" s="75" t="s">
        <v>32</v>
      </c>
      <c r="B56" s="189">
        <f t="shared" si="80"/>
        <v>188245499.3265149</v>
      </c>
      <c r="C56" s="378">
        <f>'6 - Lists'!$E$93</f>
        <v>1043000</v>
      </c>
      <c r="D56" s="378">
        <f>'6 - Lists'!$F$93</f>
        <v>96800</v>
      </c>
      <c r="E56" s="132">
        <f t="shared" si="82"/>
        <v>-3044315.6865621209</v>
      </c>
      <c r="F56" s="277">
        <f t="shared" si="83"/>
        <v>-1.5914677351504598E-2</v>
      </c>
      <c r="G56" s="189">
        <f>G$54+'2 - SA SP Timber Production'!$K168*'6 - Lists'!H$27*0.0928</f>
        <v>0</v>
      </c>
      <c r="H56" s="378">
        <f>'6 - Lists'!$J$93</f>
        <v>0</v>
      </c>
      <c r="I56" s="211">
        <f>'6 - Lists'!$H$93</f>
        <v>0</v>
      </c>
      <c r="J56" s="211">
        <f t="shared" ref="J56:J61" si="95">(I56/$C56)*$D56</f>
        <v>0</v>
      </c>
      <c r="K56" s="132">
        <f t="shared" si="84"/>
        <v>0</v>
      </c>
      <c r="L56" s="277" t="e">
        <f t="shared" si="85"/>
        <v>#DIV/0!</v>
      </c>
      <c r="M56" s="189">
        <f>M$54+'2 - SA SP Timber Production'!$K169*'6 - Lists'!L27*0.0928</f>
        <v>0</v>
      </c>
      <c r="N56" s="378">
        <f>'6 - Lists'!$M$93</f>
        <v>0</v>
      </c>
      <c r="O56" s="221">
        <f>'6 - Lists'!$K$93</f>
        <v>0</v>
      </c>
      <c r="P56" s="211">
        <f t="shared" ref="P56:P61" si="96">(O56/$C56)*$D56</f>
        <v>0</v>
      </c>
      <c r="Q56" s="132">
        <f t="shared" si="81"/>
        <v>0</v>
      </c>
      <c r="R56" s="277" t="e">
        <f t="shared" si="86"/>
        <v>#DIV/0!</v>
      </c>
      <c r="S56" s="189">
        <f>S$54+'2 - SA SP Timber Production'!$K170*'6 - Lists'!P27*0.0928</f>
        <v>70167108.95732297</v>
      </c>
      <c r="T56" s="378">
        <f>'6 - Lists'!$P$93</f>
        <v>17169.702780441035</v>
      </c>
      <c r="U56" s="221">
        <f>'6 - Lists'!$N$93</f>
        <v>185000</v>
      </c>
      <c r="V56" s="211">
        <f t="shared" ref="V56:V61" si="97">(U56/$C56)*$D56</f>
        <v>17169.702780441035</v>
      </c>
      <c r="W56" s="132">
        <f t="shared" si="87"/>
        <v>1182552.663812533</v>
      </c>
      <c r="X56" s="277">
        <f t="shared" si="88"/>
        <v>1.7142281219887746E-2</v>
      </c>
      <c r="Y56" s="287">
        <f>Y$54+'2 - SA SP Timber Production'!$K171*'6 - Lists'!T27*0.0928</f>
        <v>103761460.60630357</v>
      </c>
      <c r="Z56" s="378">
        <f>'6 - Lists'!$S$93</f>
        <v>71370.278044103557</v>
      </c>
      <c r="AA56" s="221">
        <f>'6 - Lists'!$Q$93</f>
        <v>769000</v>
      </c>
      <c r="AB56" s="211">
        <f t="shared" ref="AB56:AB61" si="98">(AA56/$C56)*$D56</f>
        <v>71370.278044103557</v>
      </c>
      <c r="AC56" s="132">
        <f t="shared" si="89"/>
        <v>-3790986.9461439848</v>
      </c>
      <c r="AD56" s="277">
        <f t="shared" si="90"/>
        <v>-3.5247798003809477E-2</v>
      </c>
      <c r="AE56" s="189">
        <f>AE$54+'2 - SA SP Timber Production'!$K172*'6 - Lists'!X27*0.0928</f>
        <v>14316929.76288837</v>
      </c>
      <c r="AF56" s="378">
        <f>'6 - Lists'!$V$93</f>
        <v>8260.0191754554162</v>
      </c>
      <c r="AG56" s="221">
        <f>'6 - Lists'!$T$93</f>
        <v>89000</v>
      </c>
      <c r="AH56" s="211">
        <f t="shared" ref="AH56:AH61" si="99">(AG56/$C56)*$D56</f>
        <v>8260.0191754554162</v>
      </c>
      <c r="AI56" s="132">
        <f t="shared" si="91"/>
        <v>-435881.40423066728</v>
      </c>
      <c r="AJ56" s="277">
        <f t="shared" si="92"/>
        <v>-2.9545650608079139E-2</v>
      </c>
      <c r="AK56" s="189">
        <f>AK$54+'2 - SA SP Timber Production'!$K173*'6 - Lists'!AB27*0.0928</f>
        <v>0</v>
      </c>
      <c r="AL56" s="378">
        <f>'6 - Lists'!$Y$93</f>
        <v>0</v>
      </c>
      <c r="AM56" s="221">
        <f>'6 - Lists'!$W$93</f>
        <v>0</v>
      </c>
      <c r="AN56" s="211">
        <f t="shared" ref="AN56:AN61" si="100">(AM56/$C56)*$D56</f>
        <v>0</v>
      </c>
      <c r="AO56" s="132">
        <f t="shared" si="93"/>
        <v>0</v>
      </c>
      <c r="AP56" s="277" t="e">
        <f t="shared" si="94"/>
        <v>#DIV/0!</v>
      </c>
    </row>
    <row r="57" spans="1:42">
      <c r="A57" s="75" t="s">
        <v>6</v>
      </c>
      <c r="B57" s="189">
        <f t="shared" si="80"/>
        <v>185988872.45842353</v>
      </c>
      <c r="C57" s="378">
        <f>'6 - Lists'!$E$93</f>
        <v>1043000</v>
      </c>
      <c r="D57" s="378">
        <f>'6 - Lists'!$F$93</f>
        <v>96800</v>
      </c>
      <c r="E57" s="132">
        <f t="shared" si="82"/>
        <v>-5300942.5546534956</v>
      </c>
      <c r="F57" s="277">
        <f t="shared" si="83"/>
        <v>-2.7711577609561232E-2</v>
      </c>
      <c r="G57" s="189">
        <f>G$54+'3 - Silvopastoral'!$K133*'6 - Lists'!H$27*0.0928</f>
        <v>0</v>
      </c>
      <c r="H57" s="378">
        <f>'6 - Lists'!$J$93</f>
        <v>0</v>
      </c>
      <c r="I57" s="211">
        <f>'6 - Lists'!$H$93</f>
        <v>0</v>
      </c>
      <c r="J57" s="211">
        <v>0</v>
      </c>
      <c r="K57" s="132">
        <f t="shared" si="84"/>
        <v>0</v>
      </c>
      <c r="L57" s="277" t="e">
        <f t="shared" si="85"/>
        <v>#DIV/0!</v>
      </c>
      <c r="M57" s="189">
        <f>M$54+'3 - Silvopastoral'!$K134*'6 - Lists'!L$27*0.0928</f>
        <v>0</v>
      </c>
      <c r="N57" s="378">
        <f>'6 - Lists'!$M$93</f>
        <v>0</v>
      </c>
      <c r="O57" s="221">
        <f>'6 - Lists'!$K$93</f>
        <v>0</v>
      </c>
      <c r="P57" s="211">
        <v>0</v>
      </c>
      <c r="Q57" s="132">
        <f t="shared" si="81"/>
        <v>0</v>
      </c>
      <c r="R57" s="277" t="e">
        <f t="shared" si="86"/>
        <v>#DIV/0!</v>
      </c>
      <c r="S57" s="189">
        <f>S$54+'3 - Silvopastoral'!$K135*'6 - Lists'!P$27*0.0928</f>
        <v>71001765.012224749</v>
      </c>
      <c r="T57" s="378">
        <f>'6 - Lists'!$P$93</f>
        <v>17169.702780441035</v>
      </c>
      <c r="U57" s="221">
        <f>'6 - Lists'!$N$93</f>
        <v>185000</v>
      </c>
      <c r="V57" s="211">
        <f>(U57/($C57-$O57-$I57)*$D57)</f>
        <v>17169.702780441035</v>
      </c>
      <c r="W57" s="132">
        <f t="shared" si="87"/>
        <v>2017208.7187143117</v>
      </c>
      <c r="X57" s="277">
        <f t="shared" si="88"/>
        <v>2.924145384267806E-2</v>
      </c>
      <c r="Y57" s="286">
        <f>Y$54+'3 - Silvopastoral'!$K136*'6 - Lists'!T$27*0.0928</f>
        <v>100889297.31605445</v>
      </c>
      <c r="Z57" s="378">
        <f>'6 - Lists'!$S$93</f>
        <v>71370.278044103557</v>
      </c>
      <c r="AA57" s="221">
        <f>'6 - Lists'!$Q$93</f>
        <v>769000</v>
      </c>
      <c r="AB57" s="211">
        <f>(AA57/($C57-$O57-$I57)*$D57)</f>
        <v>71370.278044103557</v>
      </c>
      <c r="AC57" s="132">
        <f t="shared" si="89"/>
        <v>-6663150.236393109</v>
      </c>
      <c r="AD57" s="277">
        <f t="shared" si="90"/>
        <v>-6.1952567217439178E-2</v>
      </c>
      <c r="AE57" s="189">
        <f>AE$54+'3 - Silvopastoral'!$K137*'6 - Lists'!X$27*0.0928</f>
        <v>14097810.130144333</v>
      </c>
      <c r="AF57" s="378">
        <f>'6 - Lists'!$V$93</f>
        <v>8260.0191754554162</v>
      </c>
      <c r="AG57" s="221">
        <f>'6 - Lists'!$T$93</f>
        <v>89000</v>
      </c>
      <c r="AH57" s="211">
        <f>(AG57/($C57-$O57-$I57)*$D57)</f>
        <v>8260.0191754554162</v>
      </c>
      <c r="AI57" s="132">
        <f t="shared" si="91"/>
        <v>-655001.03697470389</v>
      </c>
      <c r="AJ57" s="277">
        <f t="shared" si="92"/>
        <v>-4.4398388182081909E-2</v>
      </c>
      <c r="AK57" s="189">
        <f>AK$54+'3 - Silvopastoral'!$K138*'6 - Lists'!AB$27*0.0928</f>
        <v>0</v>
      </c>
      <c r="AL57" s="378">
        <f>'6 - Lists'!$Y$93</f>
        <v>0</v>
      </c>
      <c r="AM57" s="221">
        <f>'6 - Lists'!$W$93</f>
        <v>0</v>
      </c>
      <c r="AN57" s="211">
        <f>(AM57/($C57-$O57-$I57)*$D57)</f>
        <v>0</v>
      </c>
      <c r="AO57" s="132">
        <f t="shared" si="93"/>
        <v>0</v>
      </c>
      <c r="AP57" s="277" t="e">
        <f t="shared" si="94"/>
        <v>#DIV/0!</v>
      </c>
    </row>
    <row r="58" spans="1:42">
      <c r="A58" s="75" t="s">
        <v>33</v>
      </c>
      <c r="B58" s="189">
        <f t="shared" si="80"/>
        <v>191768024.16845042</v>
      </c>
      <c r="C58" s="378">
        <f>'6 - Lists'!$E$93</f>
        <v>1043000</v>
      </c>
      <c r="D58" s="378">
        <f>'6 - Lists'!$F$93/2</f>
        <v>48400</v>
      </c>
      <c r="E58" s="132">
        <f t="shared" si="82"/>
        <v>478209.15537339449</v>
      </c>
      <c r="F58" s="277">
        <f t="shared" si="83"/>
        <v>2.4999195871494937E-3</v>
      </c>
      <c r="G58" s="189">
        <f>G$54+'4 - Shelterbelts'!$L191*'6 - Lists'!H$27*0.0727</f>
        <v>0</v>
      </c>
      <c r="H58" s="378">
        <f>'6 - Lists'!$J$93</f>
        <v>0</v>
      </c>
      <c r="I58" s="211">
        <f>'6 - Lists'!$H$93</f>
        <v>0</v>
      </c>
      <c r="J58" s="211">
        <f t="shared" si="95"/>
        <v>0</v>
      </c>
      <c r="K58" s="132">
        <f t="shared" si="84"/>
        <v>0</v>
      </c>
      <c r="L58" s="277" t="e">
        <f t="shared" si="85"/>
        <v>#DIV/0!</v>
      </c>
      <c r="M58" s="189">
        <f>M$54+'4 - Shelterbelts'!$L192*'6 - Lists'!L$27*0.0928</f>
        <v>0</v>
      </c>
      <c r="N58" s="378">
        <f>'6 - Lists'!$M$93</f>
        <v>0</v>
      </c>
      <c r="O58" s="221">
        <f>'6 - Lists'!$K$93</f>
        <v>0</v>
      </c>
      <c r="P58" s="211">
        <f t="shared" si="96"/>
        <v>0</v>
      </c>
      <c r="Q58" s="132">
        <f t="shared" si="81"/>
        <v>0</v>
      </c>
      <c r="R58" s="277" t="e">
        <f t="shared" si="86"/>
        <v>#DIV/0!</v>
      </c>
      <c r="S58" s="189">
        <f>S$54+'4 - Shelterbelts'!$L193*'6 - Lists'!P$27*0.0928</f>
        <v>71266468.363891482</v>
      </c>
      <c r="T58" s="378">
        <f>'6 - Lists'!$P$93</f>
        <v>17169.702780441035</v>
      </c>
      <c r="U58" s="221">
        <f>'6 - Lists'!$N$93</f>
        <v>185000</v>
      </c>
      <c r="V58" s="211">
        <f t="shared" si="97"/>
        <v>8584.8513902205177</v>
      </c>
      <c r="W58" s="132">
        <f t="shared" si="87"/>
        <v>2281912.0703810453</v>
      </c>
      <c r="X58" s="277">
        <f t="shared" si="88"/>
        <v>3.3078593137167295E-2</v>
      </c>
      <c r="Y58" s="189">
        <f>Y$54+'4 - Shelterbelts'!$L195*'6 - Lists'!T$27*0.0928</f>
        <v>106185557.20703988</v>
      </c>
      <c r="Z58" s="378">
        <f>'6 - Lists'!$S$93</f>
        <v>71370.278044103557</v>
      </c>
      <c r="AA58" s="221">
        <f>'6 - Lists'!$Q$93</f>
        <v>769000</v>
      </c>
      <c r="AB58" s="211">
        <f t="shared" si="98"/>
        <v>35685.139022051779</v>
      </c>
      <c r="AC58" s="132">
        <f t="shared" si="89"/>
        <v>-1366890.3454076797</v>
      </c>
      <c r="AD58" s="277">
        <f t="shared" si="90"/>
        <v>-1.2709058478107814E-2</v>
      </c>
      <c r="AE58" s="189">
        <f>AE$54+'4 - Shelterbelts'!$L196*'6 - Lists'!X$27*0.0928</f>
        <v>14315998.597519038</v>
      </c>
      <c r="AF58" s="378">
        <f>'6 - Lists'!$V$93</f>
        <v>8260.0191754554162</v>
      </c>
      <c r="AG58" s="221">
        <f>'6 - Lists'!$T$93</f>
        <v>89000</v>
      </c>
      <c r="AH58" s="211">
        <f t="shared" si="99"/>
        <v>4130.0095877277081</v>
      </c>
      <c r="AI58" s="132">
        <f t="shared" si="91"/>
        <v>-436812.56959999911</v>
      </c>
      <c r="AJ58" s="277">
        <f t="shared" si="92"/>
        <v>-2.9608768434151989E-2</v>
      </c>
      <c r="AK58" s="189">
        <f>AK$54+'4 - Shelterbelts'!$L197*'6 - Lists'!AB$27*0.0928</f>
        <v>0</v>
      </c>
      <c r="AL58" s="378">
        <f>'6 - Lists'!$Y$93</f>
        <v>0</v>
      </c>
      <c r="AM58" s="221">
        <f>'6 - Lists'!$W$93</f>
        <v>0</v>
      </c>
      <c r="AN58" s="211">
        <f t="shared" si="100"/>
        <v>0</v>
      </c>
      <c r="AO58" s="132">
        <f t="shared" si="93"/>
        <v>0</v>
      </c>
      <c r="AP58" s="277" t="e">
        <f t="shared" si="94"/>
        <v>#DIV/0!</v>
      </c>
    </row>
    <row r="59" spans="1:42">
      <c r="A59" s="75" t="s">
        <v>35</v>
      </c>
      <c r="B59" s="189">
        <f t="shared" si="80"/>
        <v>145147211.65437302</v>
      </c>
      <c r="C59" s="378">
        <f>'6 - Lists'!$E$93</f>
        <v>1043000</v>
      </c>
      <c r="D59" s="378">
        <f>'6 - Lists'!$F$93</f>
        <v>96800</v>
      </c>
      <c r="E59" s="132">
        <f t="shared" si="82"/>
        <v>-46142603.358704001</v>
      </c>
      <c r="F59" s="277">
        <f t="shared" si="83"/>
        <v>-0.24121829672713932</v>
      </c>
      <c r="G59" s="189">
        <f>G$54+'5 - Farm woodland'!$G227*'6 - Lists'!H$27*0.0928</f>
        <v>0</v>
      </c>
      <c r="H59" s="378">
        <f>'6 - Lists'!$J$93</f>
        <v>0</v>
      </c>
      <c r="I59" s="211">
        <f>'6 - Lists'!$H$93</f>
        <v>0</v>
      </c>
      <c r="J59" s="211">
        <f t="shared" si="95"/>
        <v>0</v>
      </c>
      <c r="K59" s="132">
        <f t="shared" si="84"/>
        <v>0</v>
      </c>
      <c r="L59" s="277" t="e">
        <f t="shared" si="85"/>
        <v>#DIV/0!</v>
      </c>
      <c r="M59" s="189">
        <f>M$54+'5 - Farm woodland'!$G228*'6 - Lists'!L$27*0.0928</f>
        <v>0</v>
      </c>
      <c r="N59" s="378">
        <f>'6 - Lists'!$M$93</f>
        <v>0</v>
      </c>
      <c r="O59" s="221">
        <f>'6 - Lists'!$K$93</f>
        <v>0</v>
      </c>
      <c r="P59" s="211">
        <f t="shared" si="96"/>
        <v>0</v>
      </c>
      <c r="Q59" s="132">
        <f t="shared" si="81"/>
        <v>0</v>
      </c>
      <c r="R59" s="277" t="e">
        <f t="shared" si="86"/>
        <v>#DIV/0!</v>
      </c>
      <c r="S59" s="189">
        <f>S$54+'5 - Farm woodland'!$G229*'6 - Lists'!P$27*0.0928</f>
        <v>45363597.933392011</v>
      </c>
      <c r="T59" s="378">
        <f>'6 - Lists'!$P$93</f>
        <v>17169.702780441035</v>
      </c>
      <c r="U59" s="221">
        <f>'6 - Lists'!$N$93</f>
        <v>185000</v>
      </c>
      <c r="V59" s="211">
        <f t="shared" si="97"/>
        <v>17169.702780441035</v>
      </c>
      <c r="W59" s="132">
        <f t="shared" si="87"/>
        <v>-23620958.360118426</v>
      </c>
      <c r="X59" s="277">
        <f t="shared" si="88"/>
        <v>-0.34240936854935622</v>
      </c>
      <c r="Y59" s="287">
        <f>Y$54+'5 - Farm woodland'!$G230*'6 - Lists'!T$27*0.0928</f>
        <v>88636187.863330752</v>
      </c>
      <c r="Z59" s="378">
        <f>'6 - Lists'!$S$93</f>
        <v>71370.278044103557</v>
      </c>
      <c r="AA59" s="221">
        <f>'6 - Lists'!$Q$93</f>
        <v>769000</v>
      </c>
      <c r="AB59" s="211">
        <f t="shared" si="98"/>
        <v>71370.278044103557</v>
      </c>
      <c r="AC59" s="132">
        <f t="shared" si="89"/>
        <v>-18916259.689116806</v>
      </c>
      <c r="AD59" s="277">
        <f t="shared" si="90"/>
        <v>-0.17587939762962959</v>
      </c>
      <c r="AE59" s="287">
        <f>AE$54+'5 - Farm woodland'!$G231*'6 - Lists'!X$27*0.0928</f>
        <v>11147425.857650252</v>
      </c>
      <c r="AF59" s="378">
        <f>'6 - Lists'!$V$93</f>
        <v>8260.0191754554162</v>
      </c>
      <c r="AG59" s="221">
        <f>'6 - Lists'!$T$93</f>
        <v>89000</v>
      </c>
      <c r="AH59" s="211">
        <f t="shared" si="99"/>
        <v>8260.0191754554162</v>
      </c>
      <c r="AI59" s="132">
        <f t="shared" si="91"/>
        <v>-3605385.3094687853</v>
      </c>
      <c r="AJ59" s="277">
        <f t="shared" si="92"/>
        <v>-0.24438632533333329</v>
      </c>
      <c r="AK59" s="189">
        <f>AK$54+'5 - Farm woodland'!$G232*'6 - Lists'!AB$27*0.0928</f>
        <v>0</v>
      </c>
      <c r="AL59" s="378">
        <f>'6 - Lists'!$Y$93</f>
        <v>0</v>
      </c>
      <c r="AM59" s="221">
        <f>'6 - Lists'!$W$93</f>
        <v>0</v>
      </c>
      <c r="AN59" s="211">
        <f t="shared" si="100"/>
        <v>0</v>
      </c>
      <c r="AO59" s="132">
        <f t="shared" si="93"/>
        <v>0</v>
      </c>
      <c r="AP59" s="277" t="e">
        <f t="shared" si="94"/>
        <v>#DIV/0!</v>
      </c>
    </row>
    <row r="60" spans="1:42">
      <c r="A60" s="75" t="s">
        <v>37</v>
      </c>
      <c r="B60" s="189">
        <f t="shared" si="80"/>
        <v>126636047.65437301</v>
      </c>
      <c r="C60" s="378">
        <f>'6 - Lists'!$E$93</f>
        <v>1043000</v>
      </c>
      <c r="D60" s="378">
        <f>'6 - Lists'!$F$93</f>
        <v>96800</v>
      </c>
      <c r="E60" s="132">
        <f t="shared" si="82"/>
        <v>-64653767.358704016</v>
      </c>
      <c r="F60" s="277">
        <f t="shared" si="83"/>
        <v>-0.33798855079808682</v>
      </c>
      <c r="G60" s="189">
        <f>G$54+'5 - Farm woodland'!$G235*'6 - Lists'!H$27*0.0928</f>
        <v>0</v>
      </c>
      <c r="H60" s="378">
        <f>'6 - Lists'!$J$93</f>
        <v>0</v>
      </c>
      <c r="I60" s="211">
        <f>'6 - Lists'!$H$93</f>
        <v>0</v>
      </c>
      <c r="J60" s="211">
        <f t="shared" si="95"/>
        <v>0</v>
      </c>
      <c r="K60" s="132">
        <f t="shared" si="84"/>
        <v>0</v>
      </c>
      <c r="L60" s="277" t="e">
        <f t="shared" si="85"/>
        <v>#DIV/0!</v>
      </c>
      <c r="M60" s="189">
        <f>M$54+'5 - Farm woodland'!$G236*'6 - Lists'!L$27*0.0928</f>
        <v>0</v>
      </c>
      <c r="N60" s="378">
        <f>'6 - Lists'!$M$93</f>
        <v>0</v>
      </c>
      <c r="O60" s="221">
        <f>'6 - Lists'!$K$93</f>
        <v>0</v>
      </c>
      <c r="P60" s="211">
        <f t="shared" si="96"/>
        <v>0</v>
      </c>
      <c r="Q60" s="132">
        <f t="shared" si="81"/>
        <v>0</v>
      </c>
      <c r="R60" s="277" t="e">
        <f t="shared" si="86"/>
        <v>#DIV/0!</v>
      </c>
      <c r="S60" s="189">
        <f>S$54+'5 - Farm woodland'!$G237*'6 - Lists'!P$27*0.0928</f>
        <v>42080217.933392003</v>
      </c>
      <c r="T60" s="378">
        <f>'6 - Lists'!$P$93</f>
        <v>17169.702780441035</v>
      </c>
      <c r="U60" s="221">
        <f>'6 - Lists'!$N$93</f>
        <v>185000</v>
      </c>
      <c r="V60" s="211">
        <f t="shared" si="97"/>
        <v>17169.702780441035</v>
      </c>
      <c r="W60" s="132">
        <f t="shared" si="87"/>
        <v>-26904338.360118434</v>
      </c>
      <c r="X60" s="277">
        <f t="shared" si="88"/>
        <v>-0.39000523893562244</v>
      </c>
      <c r="Y60" s="189">
        <f>Y$54+'5 - Farm woodland'!$G238*'6 - Lists'!T$27*0.0928</f>
        <v>74987975.863330752</v>
      </c>
      <c r="Z60" s="378">
        <f>'6 - Lists'!$S$93</f>
        <v>71370.278044103557</v>
      </c>
      <c r="AA60" s="221">
        <f>'6 - Lists'!$Q$93</f>
        <v>769000</v>
      </c>
      <c r="AB60" s="211">
        <f t="shared" si="98"/>
        <v>71370.278044103557</v>
      </c>
      <c r="AC60" s="132">
        <f t="shared" si="89"/>
        <v>-32564471.689116806</v>
      </c>
      <c r="AD60" s="277">
        <f t="shared" si="90"/>
        <v>-0.30277759762962958</v>
      </c>
      <c r="AE60" s="189">
        <f>AE$54+'5 - Farm woodland'!$G239*'6 - Lists'!X$27*0.0928</f>
        <v>9567853.8576502502</v>
      </c>
      <c r="AF60" s="378">
        <f>'6 - Lists'!$V$93</f>
        <v>8260.0191754554162</v>
      </c>
      <c r="AG60" s="221">
        <f>'6 - Lists'!$T$93</f>
        <v>89000</v>
      </c>
      <c r="AH60" s="211">
        <f t="shared" si="99"/>
        <v>8260.0191754554162</v>
      </c>
      <c r="AI60" s="132">
        <f t="shared" si="91"/>
        <v>-5184957.3094687872</v>
      </c>
      <c r="AJ60" s="277">
        <f t="shared" si="92"/>
        <v>-0.35145554638596499</v>
      </c>
      <c r="AK60" s="287">
        <f>AK$54+'5 - Farm woodland'!$G240*'6 - Lists'!AB$27*0.0928</f>
        <v>0</v>
      </c>
      <c r="AL60" s="378">
        <f>'6 - Lists'!$Y$93</f>
        <v>0</v>
      </c>
      <c r="AM60" s="221">
        <f>'6 - Lists'!$W$93</f>
        <v>0</v>
      </c>
      <c r="AN60" s="211">
        <f t="shared" si="100"/>
        <v>0</v>
      </c>
      <c r="AO60" s="132">
        <f t="shared" si="93"/>
        <v>0</v>
      </c>
      <c r="AP60" s="277" t="e">
        <f t="shared" si="94"/>
        <v>#DIV/0!</v>
      </c>
    </row>
    <row r="61" spans="1:42" ht="15.75" thickBot="1">
      <c r="A61" s="77" t="s">
        <v>51</v>
      </c>
      <c r="B61" s="279">
        <f t="shared" si="80"/>
        <v>123901839.842373</v>
      </c>
      <c r="C61" s="378">
        <f>'6 - Lists'!$E$93</f>
        <v>1043000</v>
      </c>
      <c r="D61" s="378">
        <f>'6 - Lists'!$F$93</f>
        <v>96800</v>
      </c>
      <c r="E61" s="132">
        <f t="shared" si="82"/>
        <v>-67387975.170704022</v>
      </c>
      <c r="F61" s="277">
        <f t="shared" si="83"/>
        <v>-0.35228208656115445</v>
      </c>
      <c r="G61" s="279">
        <f>G$54+'5 - Farm woodland'!$G243*'6 - Lists'!H$27*0.0928</f>
        <v>0</v>
      </c>
      <c r="H61" s="378">
        <f>'6 - Lists'!$J$93</f>
        <v>0</v>
      </c>
      <c r="I61" s="211">
        <f>'6 - Lists'!$H$93</f>
        <v>0</v>
      </c>
      <c r="J61" s="211">
        <f t="shared" si="95"/>
        <v>0</v>
      </c>
      <c r="K61" s="132">
        <f t="shared" si="84"/>
        <v>0</v>
      </c>
      <c r="L61" s="277" t="e">
        <f t="shared" si="85"/>
        <v>#DIV/0!</v>
      </c>
      <c r="M61" s="279">
        <f>M$54+'5 - Farm woodland'!$G244*'6 - Lists'!L$27*0.0928</f>
        <v>0</v>
      </c>
      <c r="N61" s="378">
        <f>'6 - Lists'!$M$93</f>
        <v>0</v>
      </c>
      <c r="O61" s="221">
        <f>'6 - Lists'!$K$93</f>
        <v>0</v>
      </c>
      <c r="P61" s="211">
        <f t="shared" si="96"/>
        <v>0</v>
      </c>
      <c r="Q61" s="132">
        <f t="shared" si="81"/>
        <v>0</v>
      </c>
      <c r="R61" s="277" t="e">
        <f t="shared" si="86"/>
        <v>#DIV/0!</v>
      </c>
      <c r="S61" s="279">
        <f>S$54+'5 - Farm woodland'!$G245*'6 - Lists'!P$27*0.0928</f>
        <v>41595243.393392012</v>
      </c>
      <c r="T61" s="378">
        <f>'6 - Lists'!$P$93</f>
        <v>17169.702780441035</v>
      </c>
      <c r="U61" s="221">
        <f>'6 - Lists'!$N$93</f>
        <v>185000</v>
      </c>
      <c r="V61" s="211">
        <f t="shared" si="97"/>
        <v>17169.702780441035</v>
      </c>
      <c r="W61" s="132">
        <f t="shared" si="87"/>
        <v>-27389312.900118425</v>
      </c>
      <c r="X61" s="277">
        <f t="shared" si="88"/>
        <v>-0.39703542896738198</v>
      </c>
      <c r="Y61" s="279">
        <f>Y$54+'5 - Farm woodland'!$G246*'6 - Lists'!T$27*0.0928</f>
        <v>72972054.667330742</v>
      </c>
      <c r="Z61" s="378">
        <f>'6 - Lists'!$S$93</f>
        <v>71370.278044103557</v>
      </c>
      <c r="AA61" s="221">
        <f>'6 - Lists'!$Q$93</f>
        <v>769000</v>
      </c>
      <c r="AB61" s="211">
        <f t="shared" si="98"/>
        <v>71370.278044103557</v>
      </c>
      <c r="AC61" s="132">
        <f t="shared" si="89"/>
        <v>-34580392.885116816</v>
      </c>
      <c r="AD61" s="277">
        <f t="shared" si="90"/>
        <v>-0.32152120822962965</v>
      </c>
      <c r="AE61" s="279">
        <f>AE$54+'5 - Farm woodland'!$G247*'6 - Lists'!X$27*0.0928</f>
        <v>9334541.7816502508</v>
      </c>
      <c r="AF61" s="378">
        <f>'6 - Lists'!$V$93</f>
        <v>8260.0191754554162</v>
      </c>
      <c r="AG61" s="221">
        <f>'6 - Lists'!$T$93</f>
        <v>89000</v>
      </c>
      <c r="AH61" s="211">
        <f t="shared" si="99"/>
        <v>8260.0191754554162</v>
      </c>
      <c r="AI61" s="132">
        <f t="shared" si="91"/>
        <v>-5418269.3854687866</v>
      </c>
      <c r="AJ61" s="277">
        <f t="shared" si="92"/>
        <v>-0.367270300154386</v>
      </c>
      <c r="AK61" s="288">
        <f>AK$54+'5 - Farm woodland'!$G248*'6 - Lists'!AB$27*0.0928</f>
        <v>0</v>
      </c>
      <c r="AL61" s="378">
        <f>'6 - Lists'!$Y$93</f>
        <v>0</v>
      </c>
      <c r="AM61" s="221">
        <f>'6 - Lists'!$W$93</f>
        <v>0</v>
      </c>
      <c r="AN61" s="211">
        <f t="shared" si="100"/>
        <v>0</v>
      </c>
      <c r="AO61" s="132">
        <f t="shared" si="93"/>
        <v>0</v>
      </c>
      <c r="AP61" s="277" t="e">
        <f t="shared" si="94"/>
        <v>#DIV/0!</v>
      </c>
    </row>
    <row r="62" spans="1:42" ht="15.75" thickBot="1">
      <c r="A62"/>
      <c r="AO62" s="275"/>
      <c r="AP62" s="275"/>
    </row>
    <row r="63" spans="1:42">
      <c r="A63" s="289" t="s">
        <v>54</v>
      </c>
      <c r="B63" s="290"/>
      <c r="C63" s="346"/>
      <c r="D63" s="346"/>
      <c r="E63" s="290"/>
      <c r="F63" s="290"/>
      <c r="G63" s="290"/>
      <c r="H63" s="346"/>
      <c r="I63" s="346"/>
      <c r="J63" s="346"/>
      <c r="K63" s="290"/>
      <c r="L63" s="290"/>
      <c r="M63" s="290"/>
      <c r="N63" s="346"/>
      <c r="O63" s="346"/>
      <c r="P63" s="346"/>
      <c r="Q63" s="290"/>
      <c r="R63" s="290"/>
      <c r="S63" s="290"/>
      <c r="T63" s="346"/>
      <c r="U63" s="346"/>
      <c r="V63" s="346"/>
      <c r="W63" s="290"/>
      <c r="X63" s="290"/>
      <c r="Y63" s="290"/>
      <c r="Z63" s="346"/>
      <c r="AA63" s="346"/>
      <c r="AB63" s="346"/>
      <c r="AC63" s="290"/>
      <c r="AD63" s="290"/>
      <c r="AE63" s="290"/>
      <c r="AF63" s="346"/>
      <c r="AG63" s="346"/>
      <c r="AH63" s="346"/>
      <c r="AI63" s="290"/>
      <c r="AJ63" s="290"/>
      <c r="AK63" s="290"/>
      <c r="AL63" s="346"/>
      <c r="AM63" s="346"/>
      <c r="AN63" s="346"/>
      <c r="AO63" s="290"/>
      <c r="AP63" s="291"/>
    </row>
    <row r="64" spans="1:42">
      <c r="A64" s="283" t="s">
        <v>2</v>
      </c>
      <c r="B64" s="292" t="s">
        <v>24</v>
      </c>
      <c r="C64" s="347"/>
      <c r="D64" s="347"/>
      <c r="E64" s="292"/>
      <c r="F64" s="292"/>
      <c r="G64" s="292" t="s">
        <v>41</v>
      </c>
      <c r="H64" s="347"/>
      <c r="I64" s="347"/>
      <c r="J64" s="347"/>
      <c r="K64" s="292"/>
      <c r="L64" s="292"/>
      <c r="M64" s="292" t="s">
        <v>42</v>
      </c>
      <c r="N64" s="347"/>
      <c r="O64" s="347"/>
      <c r="P64" s="347"/>
      <c r="Q64" s="292"/>
      <c r="R64" s="292"/>
      <c r="S64" s="292" t="s">
        <v>27</v>
      </c>
      <c r="T64" s="347"/>
      <c r="U64" s="347"/>
      <c r="V64" s="347"/>
      <c r="W64" s="292"/>
      <c r="X64" s="292"/>
      <c r="Y64" s="292" t="s">
        <v>28</v>
      </c>
      <c r="Z64" s="347"/>
      <c r="AA64" s="347"/>
      <c r="AB64" s="347"/>
      <c r="AC64" s="292"/>
      <c r="AD64" s="292"/>
      <c r="AE64" s="292" t="s">
        <v>29</v>
      </c>
      <c r="AF64" s="347"/>
      <c r="AG64" s="347"/>
      <c r="AH64" s="347"/>
      <c r="AI64" s="292"/>
      <c r="AJ64" s="292"/>
      <c r="AK64" s="292" t="s">
        <v>30</v>
      </c>
      <c r="AL64" s="347"/>
      <c r="AM64" s="347"/>
      <c r="AN64" s="347"/>
      <c r="AO64" s="292"/>
      <c r="AP64" s="293"/>
    </row>
    <row r="65" spans="1:42" ht="30">
      <c r="A65" s="283"/>
      <c r="B65" s="284" t="s">
        <v>3</v>
      </c>
      <c r="C65" s="284" t="s">
        <v>563</v>
      </c>
      <c r="D65" s="284" t="s">
        <v>698</v>
      </c>
      <c r="E65" s="284" t="s">
        <v>43</v>
      </c>
      <c r="F65" s="284" t="s">
        <v>44</v>
      </c>
      <c r="G65" s="284" t="s">
        <v>3</v>
      </c>
      <c r="H65" s="284" t="s">
        <v>700</v>
      </c>
      <c r="I65" s="284" t="s">
        <v>699</v>
      </c>
      <c r="J65" s="284" t="s">
        <v>697</v>
      </c>
      <c r="K65" s="284" t="s">
        <v>43</v>
      </c>
      <c r="L65" s="284" t="s">
        <v>44</v>
      </c>
      <c r="M65" s="284" t="s">
        <v>3</v>
      </c>
      <c r="N65" s="284" t="s">
        <v>700</v>
      </c>
      <c r="O65" s="284" t="s">
        <v>699</v>
      </c>
      <c r="P65" s="284" t="s">
        <v>697</v>
      </c>
      <c r="Q65" s="284" t="s">
        <v>43</v>
      </c>
      <c r="R65" s="284" t="s">
        <v>44</v>
      </c>
      <c r="S65" s="284" t="s">
        <v>3</v>
      </c>
      <c r="T65" s="284" t="s">
        <v>700</v>
      </c>
      <c r="U65" s="284" t="s">
        <v>699</v>
      </c>
      <c r="V65" s="284" t="s">
        <v>697</v>
      </c>
      <c r="W65" s="284" t="s">
        <v>43</v>
      </c>
      <c r="X65" s="284" t="s">
        <v>44</v>
      </c>
      <c r="Y65" s="284" t="s">
        <v>3</v>
      </c>
      <c r="Z65" s="284" t="s">
        <v>700</v>
      </c>
      <c r="AA65" s="284" t="s">
        <v>699</v>
      </c>
      <c r="AB65" s="284" t="s">
        <v>697</v>
      </c>
      <c r="AC65" s="284" t="s">
        <v>43</v>
      </c>
      <c r="AD65" s="284" t="s">
        <v>44</v>
      </c>
      <c r="AE65" s="284" t="s">
        <v>3</v>
      </c>
      <c r="AF65" s="284" t="s">
        <v>700</v>
      </c>
      <c r="AG65" s="284" t="s">
        <v>699</v>
      </c>
      <c r="AH65" s="284" t="s">
        <v>697</v>
      </c>
      <c r="AI65" s="284" t="s">
        <v>43</v>
      </c>
      <c r="AJ65" s="284" t="s">
        <v>44</v>
      </c>
      <c r="AK65" s="284" t="s">
        <v>3</v>
      </c>
      <c r="AL65" s="284" t="s">
        <v>700</v>
      </c>
      <c r="AM65" s="284" t="s">
        <v>699</v>
      </c>
      <c r="AN65" s="284" t="s">
        <v>697</v>
      </c>
      <c r="AO65" s="284" t="s">
        <v>43</v>
      </c>
      <c r="AP65" s="285" t="s">
        <v>44</v>
      </c>
    </row>
    <row r="66" spans="1:42">
      <c r="A66" s="75" t="s">
        <v>9</v>
      </c>
      <c r="B66" s="188">
        <f t="shared" ref="B66:B73" si="101">SUM(G66,M66,S66,Y66,AE66,AK66)</f>
        <v>215706770.0647884</v>
      </c>
      <c r="C66" s="378">
        <f>'6 - Lists'!$E$94</f>
        <v>845359</v>
      </c>
      <c r="D66" s="378">
        <f>'6 - Lists'!$F$94</f>
        <v>16300</v>
      </c>
      <c r="E66" s="40"/>
      <c r="F66" s="40"/>
      <c r="G66" s="188">
        <f>IFERROR(VLOOKUP("Northern Ireland",'6 - Lists'!$D$25:$AE$29,8,0),"")</f>
        <v>15841485.466666669</v>
      </c>
      <c r="H66" s="378">
        <f>'6 - Lists'!$J$94</f>
        <v>571.9352369821579</v>
      </c>
      <c r="I66" s="211">
        <f>'6 - Lists'!$H$94</f>
        <v>29662</v>
      </c>
      <c r="J66" s="211"/>
      <c r="K66" s="40"/>
      <c r="L66" s="40"/>
      <c r="M66" s="188">
        <f>IFERROR(VLOOKUP("Northern Ireland",'6 - Lists'!$D$25:$AE$29,12,0),"")</f>
        <v>0</v>
      </c>
      <c r="N66" s="378">
        <f>'6 - Lists'!$M$94</f>
        <v>0</v>
      </c>
      <c r="O66" s="221">
        <f>'6 - Lists'!$K$94</f>
        <v>0</v>
      </c>
      <c r="P66" s="221"/>
      <c r="Q66" s="132">
        <f t="shared" ref="Q66:Q73" si="102">M66-M$66</f>
        <v>0</v>
      </c>
      <c r="R66" s="40"/>
      <c r="S66" s="188">
        <f>IFERROR(VLOOKUP("Northern Ireland",'6 - Lists'!$D$25:$AE$29,16,0),"")</f>
        <v>95263161.632653058</v>
      </c>
      <c r="T66" s="377"/>
      <c r="U66" s="221">
        <f>'6 - Lists'!$N$94</f>
        <v>145372</v>
      </c>
      <c r="V66" s="221"/>
      <c r="W66" s="70"/>
      <c r="X66" s="70"/>
      <c r="Y66" s="188">
        <f>IFERROR(VLOOKUP("Northern Ireland",'6 - Lists'!$D$25:$AE$29,20,0),"")</f>
        <v>90770371.585623696</v>
      </c>
      <c r="Z66" s="377"/>
      <c r="AA66" s="221">
        <f>'6 - Lists'!$Q$94</f>
        <v>597639</v>
      </c>
      <c r="AB66" s="221"/>
      <c r="AC66" s="70"/>
      <c r="AD66" s="70"/>
      <c r="AE66" s="188">
        <f>IFERROR(VLOOKUP("Northern Ireland",'6 - Lists'!$D$25:$AE$29,24,0),"")</f>
        <v>13831751.37984496</v>
      </c>
      <c r="AF66" s="378">
        <f>'6 - Lists'!$V$94</f>
        <v>1401.5132032663046</v>
      </c>
      <c r="AG66" s="221">
        <f>'6 - Lists'!$T$94</f>
        <v>72686</v>
      </c>
      <c r="AH66" s="221"/>
      <c r="AI66" s="40"/>
      <c r="AJ66" s="40"/>
      <c r="AK66" s="188">
        <f>IFERROR(VLOOKUP("Northern Ireland",'6 - Lists'!$D$25:$AE$29,28,0),"")</f>
        <v>0</v>
      </c>
      <c r="AL66" s="378">
        <f>'6 - Lists'!$Y$94</f>
        <v>0</v>
      </c>
      <c r="AM66" s="221">
        <f>'6 - Lists'!$W$94</f>
        <v>0</v>
      </c>
      <c r="AN66" s="221"/>
      <c r="AO66" s="40"/>
      <c r="AP66" s="60"/>
    </row>
    <row r="67" spans="1:42" ht="30">
      <c r="A67" s="75" t="s">
        <v>31</v>
      </c>
      <c r="B67" s="189">
        <f t="shared" si="101"/>
        <v>214812703.6412189</v>
      </c>
      <c r="C67" s="378">
        <f>'6 - Lists'!$E$94</f>
        <v>845359</v>
      </c>
      <c r="D67" s="378">
        <f>'6 - Lists'!$F$94</f>
        <v>16300</v>
      </c>
      <c r="E67" s="132">
        <f t="shared" ref="E67:E73" si="103">B67-B$66</f>
        <v>-894066.42356950045</v>
      </c>
      <c r="F67" s="277">
        <f t="shared" ref="F67:F73" si="104">E67/B$66</f>
        <v>-4.1448231935463315E-3</v>
      </c>
      <c r="G67" s="189">
        <f>$G$66+'1 - SA SP Orchards'!$K192*'6 - Lists'!H$28*0.0193</f>
        <v>15722989.160186291</v>
      </c>
      <c r="H67" s="378">
        <f>'6 - Lists'!$J$94</f>
        <v>571.9352369821579</v>
      </c>
      <c r="I67" s="211">
        <f>'6 - Lists'!$H$94</f>
        <v>29662</v>
      </c>
      <c r="J67" s="211">
        <f>(I67/$C67)*$D67</f>
        <v>571.9352369821579</v>
      </c>
      <c r="K67" s="132">
        <f t="shared" ref="K67:K73" si="105">G67-G$66</f>
        <v>-118496.30648037791</v>
      </c>
      <c r="L67" s="277">
        <f t="shared" ref="L67:L73" si="106">K67/G$66</f>
        <v>-7.4801259471351618E-3</v>
      </c>
      <c r="M67" s="189">
        <f>$M$66+'1 - SA SP Orchards'!K193*'6 - Lists'!L$27*0.0193</f>
        <v>0</v>
      </c>
      <c r="N67" s="378">
        <f>'6 - Lists'!$M$94</f>
        <v>0</v>
      </c>
      <c r="O67" s="221">
        <f>'6 - Lists'!$K$94</f>
        <v>0</v>
      </c>
      <c r="P67" s="211">
        <f>(O67/$C67)*$D67</f>
        <v>0</v>
      </c>
      <c r="Q67" s="132">
        <f t="shared" si="102"/>
        <v>0</v>
      </c>
      <c r="R67" s="277" t="e">
        <f t="shared" ref="R67:R73" si="107">Q67/M$66</f>
        <v>#DIV/0!</v>
      </c>
      <c r="S67" s="189">
        <f>$S$66+'1 - SA SP Orchards'!K194*'6 - Lists'!P$28*0.0193</f>
        <v>95402351.232194841</v>
      </c>
      <c r="T67" s="378">
        <f>'6 - Lists'!$P$94</f>
        <v>2803.0264065326091</v>
      </c>
      <c r="U67" s="221">
        <f>'6 - Lists'!$N$94</f>
        <v>145372</v>
      </c>
      <c r="V67" s="211">
        <f>(U67/$C67)*$D67</f>
        <v>2803.0264065326091</v>
      </c>
      <c r="W67" s="132">
        <f t="shared" ref="W67:W73" si="108">S67-S$66</f>
        <v>139189.59954178333</v>
      </c>
      <c r="X67" s="277">
        <f t="shared" ref="X67:X73" si="109">W67/S$66</f>
        <v>1.461106236201946E-3</v>
      </c>
      <c r="Y67" s="189">
        <f>$Y$66+'1 - SA SP Orchards'!K195*'6 - Lists'!T$28*0.0193</f>
        <v>89932556.044312641</v>
      </c>
      <c r="Z67" s="378">
        <f>'6 - Lists'!$S$94</f>
        <v>11523.525153218929</v>
      </c>
      <c r="AA67" s="221">
        <f>'6 - Lists'!$Q$94</f>
        <v>597639</v>
      </c>
      <c r="AB67" s="211">
        <f>(AA67/$C67)*$D67</f>
        <v>11523.525153218929</v>
      </c>
      <c r="AC67" s="132">
        <f t="shared" ref="AC67:AC73" si="110">Y67-Y$66</f>
        <v>-837815.54131105542</v>
      </c>
      <c r="AD67" s="277">
        <f t="shared" ref="AD67:AD73" si="111">AC67/Y$66</f>
        <v>-9.2300552115812812E-3</v>
      </c>
      <c r="AE67" s="189">
        <f>$AE$66+'1 - SA SP Orchards'!K196*'6 - Lists'!X$28*0.0193</f>
        <v>13754807.204525121</v>
      </c>
      <c r="AF67" s="378">
        <f>'6 - Lists'!$V$94</f>
        <v>1401.5132032663046</v>
      </c>
      <c r="AG67" s="221">
        <f>'6 - Lists'!$T$94</f>
        <v>72686</v>
      </c>
      <c r="AH67" s="211">
        <f>(AG67/$C67)*$D67</f>
        <v>1401.5132032663046</v>
      </c>
      <c r="AI67" s="132">
        <f t="shared" ref="AI67:AI73" si="112">AE67-AE$66</f>
        <v>-76944.175319839269</v>
      </c>
      <c r="AJ67" s="277">
        <f t="shared" ref="AJ67:AJ73" si="113">AI67/AE$66</f>
        <v>-5.5628656998533864E-3</v>
      </c>
      <c r="AK67" s="189">
        <f>$AK$66+'1 - SA SP Orchards'!K197*'6 - Lists'!AB$28*0.0193</f>
        <v>0</v>
      </c>
      <c r="AL67" s="378">
        <f>'6 - Lists'!$Y$94</f>
        <v>0</v>
      </c>
      <c r="AM67" s="221">
        <f>'6 - Lists'!$W$94</f>
        <v>0</v>
      </c>
      <c r="AN67" s="211">
        <f>(AM67/$C67)*$D67</f>
        <v>0</v>
      </c>
      <c r="AO67" s="132">
        <f t="shared" ref="AO67:AO73" si="114">AK67-AK$66</f>
        <v>0</v>
      </c>
      <c r="AP67" s="277" t="e">
        <f t="shared" ref="AP67:AP73" si="115">AO67/AK$66</f>
        <v>#DIV/0!</v>
      </c>
    </row>
    <row r="68" spans="1:42" ht="45">
      <c r="A68" s="75" t="s">
        <v>32</v>
      </c>
      <c r="B68" s="189">
        <f t="shared" si="101"/>
        <v>215087450.23031193</v>
      </c>
      <c r="C68" s="378">
        <f>'6 - Lists'!$E$94</f>
        <v>845359</v>
      </c>
      <c r="D68" s="378">
        <f>'6 - Lists'!$F$94</f>
        <v>16300</v>
      </c>
      <c r="E68" s="132">
        <f t="shared" si="103"/>
        <v>-619319.83447647095</v>
      </c>
      <c r="F68" s="277">
        <f t="shared" si="104"/>
        <v>-2.8711191321925396E-3</v>
      </c>
      <c r="G68" s="189">
        <f>G$66+'2 - SA SP Timber Production'!$K178*'6 - Lists'!H$28*0.0193</f>
        <v>15701555.114447851</v>
      </c>
      <c r="H68" s="378">
        <f>'6 - Lists'!$J$94</f>
        <v>571.9352369821579</v>
      </c>
      <c r="I68" s="211">
        <f>'6 - Lists'!$H$94</f>
        <v>29662</v>
      </c>
      <c r="J68" s="211">
        <f t="shared" ref="J68:J73" si="116">(I68/$C68)*$D68</f>
        <v>571.9352369821579</v>
      </c>
      <c r="K68" s="132">
        <f t="shared" si="105"/>
        <v>-139930.35221881792</v>
      </c>
      <c r="L68" s="277">
        <f t="shared" si="106"/>
        <v>-8.8331585136543229E-3</v>
      </c>
      <c r="M68" s="189">
        <f>M$66+'2 - SA SP Timber Production'!$K179*'6 - Lists'!L27*0.0193</f>
        <v>0</v>
      </c>
      <c r="N68" s="378">
        <f>'6 - Lists'!$M$94</f>
        <v>0</v>
      </c>
      <c r="O68" s="221">
        <f>'6 - Lists'!$K$94</f>
        <v>0</v>
      </c>
      <c r="P68" s="211">
        <f t="shared" ref="P68:P73" si="117">(O68/$C68)*$D68</f>
        <v>0</v>
      </c>
      <c r="Q68" s="132">
        <f t="shared" si="102"/>
        <v>0</v>
      </c>
      <c r="R68" s="277" t="e">
        <f t="shared" si="107"/>
        <v>#DIV/0!</v>
      </c>
      <c r="S68" s="189">
        <f>S$66+'2 - SA SP Timber Production'!$K180*'6 - Lists'!P28*0.0193</f>
        <v>95455135.99326019</v>
      </c>
      <c r="T68" s="378">
        <f>'6 - Lists'!$P$94</f>
        <v>2803.0264065326091</v>
      </c>
      <c r="U68" s="221">
        <f>'6 - Lists'!$N$94</f>
        <v>145372</v>
      </c>
      <c r="V68" s="211">
        <f t="shared" ref="V68:V73" si="118">(U68/$C68)*$D68</f>
        <v>2803.0264065326091</v>
      </c>
      <c r="W68" s="132">
        <f t="shared" si="108"/>
        <v>191974.36060713232</v>
      </c>
      <c r="X68" s="277">
        <f t="shared" si="109"/>
        <v>2.0152003913895909E-3</v>
      </c>
      <c r="Y68" s="287">
        <f>Y$66+'2 - SA SP Timber Production'!$K181*'6 - Lists'!T28*0.0193</f>
        <v>90149559.537546113</v>
      </c>
      <c r="Z68" s="378">
        <f>'6 - Lists'!$S$94</f>
        <v>11523.525153218929</v>
      </c>
      <c r="AA68" s="221">
        <f>'6 - Lists'!$Q$94</f>
        <v>597639</v>
      </c>
      <c r="AB68" s="211">
        <f t="shared" ref="AB68:AB73" si="119">(AA68/$C68)*$D68</f>
        <v>11523.525153218929</v>
      </c>
      <c r="AC68" s="132">
        <f t="shared" si="110"/>
        <v>-620812.04807758331</v>
      </c>
      <c r="AD68" s="277">
        <f t="shared" si="111"/>
        <v>-6.83936880760669E-3</v>
      </c>
      <c r="AE68" s="189">
        <f>AE$66+'2 - SA SP Timber Production'!$K182*'6 - Lists'!X28*0.0193</f>
        <v>13781199.585057799</v>
      </c>
      <c r="AF68" s="378">
        <f>'6 - Lists'!$V$94</f>
        <v>1401.5132032663046</v>
      </c>
      <c r="AG68" s="221">
        <f>'6 - Lists'!$T$94</f>
        <v>72686</v>
      </c>
      <c r="AH68" s="211">
        <f t="shared" ref="AH68:AH73" si="120">(AG68/$C68)*$D68</f>
        <v>1401.5132032663046</v>
      </c>
      <c r="AI68" s="132">
        <f t="shared" si="112"/>
        <v>-50551.794787161052</v>
      </c>
      <c r="AJ68" s="277">
        <f t="shared" si="113"/>
        <v>-3.654764562991132E-3</v>
      </c>
      <c r="AK68" s="189">
        <f>AK$66+'2 - SA SP Timber Production'!$K183*'6 - Lists'!AB28*0.0193</f>
        <v>0</v>
      </c>
      <c r="AL68" s="378">
        <f>'6 - Lists'!$Y$94</f>
        <v>0</v>
      </c>
      <c r="AM68" s="221">
        <f>'6 - Lists'!$W$94</f>
        <v>0</v>
      </c>
      <c r="AN68" s="211">
        <f t="shared" ref="AN68:AN73" si="121">(AM68/$C68)*$D68</f>
        <v>0</v>
      </c>
      <c r="AO68" s="132">
        <f t="shared" si="114"/>
        <v>0</v>
      </c>
      <c r="AP68" s="277" t="e">
        <f t="shared" si="115"/>
        <v>#DIV/0!</v>
      </c>
    </row>
    <row r="69" spans="1:42">
      <c r="A69" s="75" t="s">
        <v>6</v>
      </c>
      <c r="B69" s="189">
        <f t="shared" si="101"/>
        <v>214774945.66258332</v>
      </c>
      <c r="C69" s="378">
        <f>'6 - Lists'!$E$94</f>
        <v>845359</v>
      </c>
      <c r="D69" s="378">
        <f>'6 - Lists'!$F$94</f>
        <v>16300</v>
      </c>
      <c r="E69" s="132">
        <f t="shared" si="103"/>
        <v>-931824.40220507979</v>
      </c>
      <c r="F69" s="277">
        <f t="shared" si="104"/>
        <v>-4.3198662792326946E-3</v>
      </c>
      <c r="G69" s="189">
        <f>G$66+'3 - Silvopastoral'!$K143*'6 - Lists'!H$28*0</f>
        <v>15841485.466666669</v>
      </c>
      <c r="H69" s="378">
        <v>0</v>
      </c>
      <c r="I69" s="211">
        <f>'6 - Lists'!$H$94</f>
        <v>29662</v>
      </c>
      <c r="J69" s="211">
        <v>0</v>
      </c>
      <c r="K69" s="132">
        <f t="shared" si="105"/>
        <v>0</v>
      </c>
      <c r="L69" s="277">
        <f t="shared" si="106"/>
        <v>0</v>
      </c>
      <c r="M69" s="189">
        <f>M$66+'3 - Silvopastoral'!$K144*'6 - Lists'!L$27*0</f>
        <v>0</v>
      </c>
      <c r="N69" s="378">
        <f>'6 - Lists'!$M$94</f>
        <v>0</v>
      </c>
      <c r="O69" s="221">
        <f>'6 - Lists'!$K$94</f>
        <v>0</v>
      </c>
      <c r="P69" s="211">
        <v>0</v>
      </c>
      <c r="Q69" s="132">
        <f t="shared" si="102"/>
        <v>0</v>
      </c>
      <c r="R69" s="277" t="e">
        <f t="shared" si="107"/>
        <v>#DIV/0!</v>
      </c>
      <c r="S69" s="189">
        <f>S$66+'3 - Silvopastoral'!$K145*'6 - Lists'!P$28*0.01998</f>
        <v>95598356.20809643</v>
      </c>
      <c r="T69" s="378">
        <f>'6 - Lists'!$P$94</f>
        <v>2803.0264065326091</v>
      </c>
      <c r="U69" s="221">
        <f>'6 - Lists'!$N$94</f>
        <v>145372</v>
      </c>
      <c r="V69" s="211">
        <f>(U69/($C69-$O69-$I69)*$D69)</f>
        <v>2904.9556391650331</v>
      </c>
      <c r="W69" s="132">
        <f t="shared" si="108"/>
        <v>335194.57544337213</v>
      </c>
      <c r="X69" s="277">
        <f t="shared" si="109"/>
        <v>3.5186169522267727E-3</v>
      </c>
      <c r="Y69" s="286">
        <f>Y$66+'3 - Silvopastoral'!$K146*'6 - Lists'!T$28*0.01998</f>
        <v>89593762.519839108</v>
      </c>
      <c r="Z69" s="378">
        <f>'6 - Lists'!$S$94</f>
        <v>11523.525153218929</v>
      </c>
      <c r="AA69" s="221">
        <f>'6 - Lists'!$Q$94</f>
        <v>597639</v>
      </c>
      <c r="AB69" s="211">
        <f>(AA69/($C69-$O69-$I69)*$D69)</f>
        <v>11942.56654125245</v>
      </c>
      <c r="AC69" s="132">
        <f t="shared" si="110"/>
        <v>-1176609.0657845885</v>
      </c>
      <c r="AD69" s="277">
        <f t="shared" si="111"/>
        <v>-1.296247933363028E-2</v>
      </c>
      <c r="AE69" s="189">
        <f>AE$66+'3 - Silvopastoral'!$K147*'6 - Lists'!X$28*0.01998</f>
        <v>13741341.467981143</v>
      </c>
      <c r="AF69" s="378">
        <f>'6 - Lists'!$V$94</f>
        <v>1401.5132032663046</v>
      </c>
      <c r="AG69" s="221">
        <f>'6 - Lists'!$T$94</f>
        <v>72686</v>
      </c>
      <c r="AH69" s="211">
        <f>(AG69/($C69-$O69-$I69)*$D69)</f>
        <v>1452.4778195825165</v>
      </c>
      <c r="AI69" s="132">
        <f t="shared" si="112"/>
        <v>-90409.911863816902</v>
      </c>
      <c r="AJ69" s="277">
        <f t="shared" si="113"/>
        <v>-6.5364037699201551E-3</v>
      </c>
      <c r="AK69" s="189">
        <f>AK$66+'3 - Silvopastoral'!$K148*'6 - Lists'!AB$28*0.01998</f>
        <v>0</v>
      </c>
      <c r="AL69" s="378">
        <f>'6 - Lists'!$Y$94</f>
        <v>0</v>
      </c>
      <c r="AM69" s="221">
        <f>'6 - Lists'!$W$94</f>
        <v>0</v>
      </c>
      <c r="AN69" s="211">
        <f>(AM69/($C69-$O69-$I69)*$D69)</f>
        <v>0</v>
      </c>
      <c r="AO69" s="132">
        <f t="shared" si="114"/>
        <v>0</v>
      </c>
      <c r="AP69" s="277" t="e">
        <f t="shared" si="115"/>
        <v>#DIV/0!</v>
      </c>
    </row>
    <row r="70" spans="1:42">
      <c r="A70" s="75" t="s">
        <v>33</v>
      </c>
      <c r="B70" s="189">
        <f t="shared" si="101"/>
        <v>215784425.68556696</v>
      </c>
      <c r="C70" s="378">
        <f>'6 - Lists'!$E$94</f>
        <v>845359</v>
      </c>
      <c r="D70" s="378">
        <f>'6 - Lists'!$F$94/2</f>
        <v>8150</v>
      </c>
      <c r="E70" s="132">
        <f t="shared" si="103"/>
        <v>77655.620778560638</v>
      </c>
      <c r="F70" s="277">
        <f t="shared" si="104"/>
        <v>3.6000548687107253E-4</v>
      </c>
      <c r="G70" s="189">
        <f>G$66+'4 - Shelterbelts'!$L201*'6 - Lists'!H$28*0.00964</f>
        <v>15850327.140839368</v>
      </c>
      <c r="H70" s="378">
        <f>'6 - Lists'!$J$94/2</f>
        <v>285.96761849107895</v>
      </c>
      <c r="I70" s="211">
        <f>'6 - Lists'!$H$94</f>
        <v>29662</v>
      </c>
      <c r="J70" s="211">
        <f t="shared" si="116"/>
        <v>285.96761849107895</v>
      </c>
      <c r="K70" s="132">
        <f t="shared" si="105"/>
        <v>8841.6741726994514</v>
      </c>
      <c r="L70" s="277">
        <f t="shared" si="106"/>
        <v>5.5813415928095394E-4</v>
      </c>
      <c r="M70" s="189">
        <f>M$66+'4 - Shelterbelts'!$L202*'6 - Lists'!L$27*0.00964</f>
        <v>0</v>
      </c>
      <c r="N70" s="378">
        <f>'6 - Lists'!$M$94</f>
        <v>0</v>
      </c>
      <c r="O70" s="221">
        <f>'6 - Lists'!$K$94</f>
        <v>0</v>
      </c>
      <c r="P70" s="211">
        <f t="shared" si="117"/>
        <v>0</v>
      </c>
      <c r="Q70" s="132">
        <f t="shared" si="102"/>
        <v>0</v>
      </c>
      <c r="R70" s="277" t="e">
        <f t="shared" si="107"/>
        <v>#DIV/0!</v>
      </c>
      <c r="S70" s="189">
        <f>S$66+'4 - Shelterbelts'!$L203*'6 - Lists'!P$28*0.00964</f>
        <v>95448627.26944086</v>
      </c>
      <c r="T70" s="378">
        <f>'6 - Lists'!$P$94</f>
        <v>2803.0264065326091</v>
      </c>
      <c r="U70" s="221">
        <f>'6 - Lists'!$N$94</f>
        <v>145372</v>
      </c>
      <c r="V70" s="211">
        <f t="shared" si="118"/>
        <v>1401.5132032663046</v>
      </c>
      <c r="W70" s="132">
        <f t="shared" si="108"/>
        <v>185465.63678780198</v>
      </c>
      <c r="X70" s="277">
        <f t="shared" si="109"/>
        <v>1.946876773867544E-3</v>
      </c>
      <c r="Y70" s="189">
        <f>Y$66+'4 - Shelterbelts'!$L204*'6 - Lists'!T$28*0.00964</f>
        <v>90652479.027816936</v>
      </c>
      <c r="Z70" s="378">
        <f>'6 - Lists'!$S$94</f>
        <v>11523.525153218929</v>
      </c>
      <c r="AA70" s="221">
        <f>'6 - Lists'!$Q$94</f>
        <v>597639</v>
      </c>
      <c r="AB70" s="211">
        <f t="shared" si="119"/>
        <v>5761.7625766094643</v>
      </c>
      <c r="AC70" s="132">
        <f t="shared" si="110"/>
        <v>-117892.55780676007</v>
      </c>
      <c r="AD70" s="277">
        <f t="shared" si="111"/>
        <v>-1.2987999910912783E-3</v>
      </c>
      <c r="AE70" s="189">
        <f>AE$66+'4 - Shelterbelts'!$L205*'6 - Lists'!X$28*0.00964</f>
        <v>13832992.247469781</v>
      </c>
      <c r="AF70" s="378">
        <f>'6 - Lists'!$V$94</f>
        <v>1401.5132032663046</v>
      </c>
      <c r="AG70" s="221">
        <f>'6 - Lists'!$T$94</f>
        <v>72686</v>
      </c>
      <c r="AH70" s="211">
        <f t="shared" si="120"/>
        <v>700.75660163315229</v>
      </c>
      <c r="AI70" s="132">
        <f t="shared" si="112"/>
        <v>1240.8676248211414</v>
      </c>
      <c r="AJ70" s="277">
        <f t="shared" si="113"/>
        <v>8.9711533322474327E-5</v>
      </c>
      <c r="AK70" s="189">
        <f>AK$66+'4 - Shelterbelts'!$L206*'6 - Lists'!AB$28*0.00964</f>
        <v>0</v>
      </c>
      <c r="AL70" s="378">
        <f>'6 - Lists'!$Y$94</f>
        <v>0</v>
      </c>
      <c r="AM70" s="221">
        <f>'6 - Lists'!$W$94</f>
        <v>0</v>
      </c>
      <c r="AN70" s="211">
        <f t="shared" si="121"/>
        <v>0</v>
      </c>
      <c r="AO70" s="132">
        <f t="shared" si="114"/>
        <v>0</v>
      </c>
      <c r="AP70" s="277" t="e">
        <f t="shared" si="115"/>
        <v>#DIV/0!</v>
      </c>
    </row>
    <row r="71" spans="1:42">
      <c r="A71" s="75" t="s">
        <v>35</v>
      </c>
      <c r="B71" s="189">
        <f t="shared" si="101"/>
        <v>208334410.13180193</v>
      </c>
      <c r="C71" s="378">
        <f>'6 - Lists'!$E$94</f>
        <v>845359</v>
      </c>
      <c r="D71" s="378">
        <f>'6 - Lists'!$F$94</f>
        <v>16300</v>
      </c>
      <c r="E71" s="132">
        <f t="shared" si="103"/>
        <v>-7372359.9329864681</v>
      </c>
      <c r="F71" s="277">
        <f t="shared" si="104"/>
        <v>-3.4177693777400452E-2</v>
      </c>
      <c r="G71" s="189">
        <f>G$66+'5 - Farm woodland'!$G253*'6 - Lists'!H$28*0.0193</f>
        <v>15303204.802240003</v>
      </c>
      <c r="H71" s="378">
        <f>'6 - Lists'!$J$94</f>
        <v>571.9352369821579</v>
      </c>
      <c r="I71" s="211">
        <f>'6 - Lists'!$H$94</f>
        <v>29662</v>
      </c>
      <c r="J71" s="211">
        <f t="shared" si="116"/>
        <v>571.9352369821579</v>
      </c>
      <c r="K71" s="132">
        <f t="shared" si="105"/>
        <v>-538280.66442666575</v>
      </c>
      <c r="L71" s="277">
        <f t="shared" si="106"/>
        <v>-3.3979178629384536E-2</v>
      </c>
      <c r="M71" s="189">
        <f>M$66+'5 - Farm woodland'!$G254*'6 - Lists'!L$27*0.0193</f>
        <v>0</v>
      </c>
      <c r="N71" s="378">
        <f>'6 - Lists'!$M$94</f>
        <v>0</v>
      </c>
      <c r="O71" s="221">
        <f>'6 - Lists'!$K$94</f>
        <v>0</v>
      </c>
      <c r="P71" s="211">
        <f t="shared" si="117"/>
        <v>0</v>
      </c>
      <c r="Q71" s="132">
        <f t="shared" si="102"/>
        <v>0</v>
      </c>
      <c r="R71" s="277" t="e">
        <f t="shared" si="107"/>
        <v>#DIV/0!</v>
      </c>
      <c r="S71" s="189">
        <f>S$66+'5 - Farm woodland'!$G255*'6 - Lists'!P$28*0.0193</f>
        <v>91460300.558737546</v>
      </c>
      <c r="T71" s="378">
        <f>'6 - Lists'!$P$94</f>
        <v>2803.0264065326091</v>
      </c>
      <c r="U71" s="221">
        <f>'6 - Lists'!$N$94</f>
        <v>145372</v>
      </c>
      <c r="V71" s="211">
        <f t="shared" si="118"/>
        <v>2803.0264065326091</v>
      </c>
      <c r="W71" s="132">
        <f t="shared" si="108"/>
        <v>-3802861.0739155114</v>
      </c>
      <c r="X71" s="277">
        <f t="shared" si="109"/>
        <v>-3.9919534568670208E-2</v>
      </c>
      <c r="Y71" s="287">
        <f>Y$66+'5 - Farm woodland'!$G256*'6 - Lists'!T$28*0.0193</f>
        <v>88356993.944399029</v>
      </c>
      <c r="Z71" s="378">
        <f>'6 - Lists'!$S$94</f>
        <v>11523.525153218929</v>
      </c>
      <c r="AA71" s="221">
        <f>'6 - Lists'!$Q$94</f>
        <v>597639</v>
      </c>
      <c r="AB71" s="211">
        <f t="shared" si="119"/>
        <v>11523.525153218929</v>
      </c>
      <c r="AC71" s="132">
        <f t="shared" si="110"/>
        <v>-2413377.6412246674</v>
      </c>
      <c r="AD71" s="277">
        <f t="shared" si="111"/>
        <v>-2.6587724596325225E-2</v>
      </c>
      <c r="AE71" s="287">
        <f>AE$66+'5 - Farm woodland'!$G257*'6 - Lists'!X$28*0.0193</f>
        <v>13213910.826425347</v>
      </c>
      <c r="AF71" s="378">
        <f>'6 - Lists'!$V$94</f>
        <v>1401.5132032663046</v>
      </c>
      <c r="AG71" s="221">
        <f>'6 - Lists'!$T$94</f>
        <v>72686</v>
      </c>
      <c r="AH71" s="211">
        <f t="shared" si="120"/>
        <v>1401.5132032663046</v>
      </c>
      <c r="AI71" s="132">
        <f t="shared" si="112"/>
        <v>-617840.55341961235</v>
      </c>
      <c r="AJ71" s="277">
        <f t="shared" si="113"/>
        <v>-4.4668280715333228E-2</v>
      </c>
      <c r="AK71" s="189">
        <f>AK$66+'5 - Farm woodland'!$G258*'6 - Lists'!AB$28*0.0193</f>
        <v>0</v>
      </c>
      <c r="AL71" s="378">
        <f>'6 - Lists'!$Y$94</f>
        <v>0</v>
      </c>
      <c r="AM71" s="221">
        <f>'6 - Lists'!$W$94</f>
        <v>0</v>
      </c>
      <c r="AN71" s="211">
        <f t="shared" si="121"/>
        <v>0</v>
      </c>
      <c r="AO71" s="132">
        <f t="shared" si="114"/>
        <v>0</v>
      </c>
      <c r="AP71" s="277" t="e">
        <f t="shared" si="115"/>
        <v>#DIV/0!</v>
      </c>
    </row>
    <row r="72" spans="1:42">
      <c r="A72" s="75" t="s">
        <v>37</v>
      </c>
      <c r="B72" s="189">
        <f t="shared" si="101"/>
        <v>205214084.39292693</v>
      </c>
      <c r="C72" s="378">
        <f>'6 - Lists'!$E$94</f>
        <v>845359</v>
      </c>
      <c r="D72" s="378">
        <f>'6 - Lists'!$F$94</f>
        <v>16300</v>
      </c>
      <c r="E72" s="132">
        <f t="shared" si="103"/>
        <v>-10492685.67186147</v>
      </c>
      <c r="F72" s="277">
        <f t="shared" si="104"/>
        <v>-4.8643283976251415E-2</v>
      </c>
      <c r="G72" s="189">
        <f>G$66+'5 - Farm woodland'!$G261*'6 - Lists'!H$28*0.0193</f>
        <v>15193718.652490001</v>
      </c>
      <c r="H72" s="378">
        <f>'6 - Lists'!$J$94</f>
        <v>571.9352369821579</v>
      </c>
      <c r="I72" s="211">
        <f>'6 - Lists'!$H$94</f>
        <v>29662</v>
      </c>
      <c r="J72" s="211">
        <f t="shared" si="116"/>
        <v>571.9352369821579</v>
      </c>
      <c r="K72" s="132">
        <f t="shared" si="105"/>
        <v>-647766.81417666748</v>
      </c>
      <c r="L72" s="277">
        <f t="shared" si="106"/>
        <v>-4.0890534889526944E-2</v>
      </c>
      <c r="M72" s="189">
        <f>M$66+'5 - Farm woodland'!$G262*'6 - Lists'!L$27*0.0193</f>
        <v>0</v>
      </c>
      <c r="N72" s="378">
        <f>'6 - Lists'!$M$94</f>
        <v>0</v>
      </c>
      <c r="O72" s="221">
        <f>'6 - Lists'!$K$94</f>
        <v>0</v>
      </c>
      <c r="P72" s="211">
        <f t="shared" si="117"/>
        <v>0</v>
      </c>
      <c r="Q72" s="132">
        <f t="shared" si="102"/>
        <v>0</v>
      </c>
      <c r="R72" s="277" t="e">
        <f t="shared" si="107"/>
        <v>#DIV/0!</v>
      </c>
      <c r="S72" s="189">
        <f>S$66+'5 - Farm woodland'!$G263*'6 - Lists'!P$28*0.0193</f>
        <v>90923714.335237548</v>
      </c>
      <c r="T72" s="378">
        <f>'6 - Lists'!$P$94</f>
        <v>2803.0264065326091</v>
      </c>
      <c r="U72" s="221">
        <f>'6 - Lists'!$N$94</f>
        <v>145372</v>
      </c>
      <c r="V72" s="211">
        <f t="shared" si="118"/>
        <v>2803.0264065326091</v>
      </c>
      <c r="W72" s="132">
        <f t="shared" si="108"/>
        <v>-4339447.2974155098</v>
      </c>
      <c r="X72" s="277">
        <f t="shared" si="109"/>
        <v>-4.5552207412021171E-2</v>
      </c>
      <c r="Y72" s="189">
        <f>Y$66+'5 - Farm woodland'!$G264*'6 - Lists'!T$28*0.0193</f>
        <v>86151033.690524042</v>
      </c>
      <c r="Z72" s="378">
        <f>'6 - Lists'!$S$94</f>
        <v>11523.525153218929</v>
      </c>
      <c r="AA72" s="221">
        <f>'6 - Lists'!$Q$94</f>
        <v>597639</v>
      </c>
      <c r="AB72" s="211">
        <f t="shared" si="119"/>
        <v>11523.525153218929</v>
      </c>
      <c r="AC72" s="132">
        <f t="shared" si="110"/>
        <v>-4619337.8950996548</v>
      </c>
      <c r="AD72" s="277">
        <f t="shared" si="111"/>
        <v>-5.0890371102449802E-2</v>
      </c>
      <c r="AE72" s="189">
        <f>AE$66+'5 - Farm woodland'!$G265*'6 - Lists'!X$28*0.0193</f>
        <v>12945617.714675348</v>
      </c>
      <c r="AF72" s="378">
        <f>'6 - Lists'!$V$94</f>
        <v>1401.5132032663046</v>
      </c>
      <c r="AG72" s="221">
        <f>'6 - Lists'!$T$94</f>
        <v>72686</v>
      </c>
      <c r="AH72" s="211">
        <f t="shared" si="120"/>
        <v>1401.5132032663046</v>
      </c>
      <c r="AI72" s="132">
        <f t="shared" si="112"/>
        <v>-886133.66516961157</v>
      </c>
      <c r="AJ72" s="277">
        <f t="shared" si="113"/>
        <v>-6.4065181684862263E-2</v>
      </c>
      <c r="AK72" s="287">
        <f>AK$66+'5 - Farm woodland'!$G266*'6 - Lists'!AB$28*0.0193</f>
        <v>0</v>
      </c>
      <c r="AL72" s="378">
        <f>'6 - Lists'!$Y$94</f>
        <v>0</v>
      </c>
      <c r="AM72" s="221">
        <f>'6 - Lists'!$W$94</f>
        <v>0</v>
      </c>
      <c r="AN72" s="211">
        <f t="shared" si="121"/>
        <v>0</v>
      </c>
      <c r="AO72" s="132">
        <f t="shared" si="114"/>
        <v>0</v>
      </c>
      <c r="AP72" s="277" t="e">
        <f t="shared" si="115"/>
        <v>#DIV/0!</v>
      </c>
    </row>
    <row r="73" spans="1:42" ht="15.75" thickBot="1">
      <c r="A73" s="77" t="s">
        <v>51</v>
      </c>
      <c r="B73" s="279">
        <f t="shared" si="101"/>
        <v>204753193.9264378</v>
      </c>
      <c r="C73" s="378">
        <f>'6 - Lists'!$E$94</f>
        <v>845359</v>
      </c>
      <c r="D73" s="378">
        <f>'6 - Lists'!$F$94</f>
        <v>16300</v>
      </c>
      <c r="E73" s="132">
        <f t="shared" si="103"/>
        <v>-10953576.138350606</v>
      </c>
      <c r="F73" s="277">
        <f t="shared" si="104"/>
        <v>-5.0779936740328803E-2</v>
      </c>
      <c r="G73" s="279">
        <f>G$66+'5 - Farm woodland'!$G269*'6 - Lists'!H$28*0.0193</f>
        <v>15177546.904135752</v>
      </c>
      <c r="H73" s="378">
        <f>'6 - Lists'!$J$94</f>
        <v>571.9352369821579</v>
      </c>
      <c r="I73" s="211">
        <f>'6 - Lists'!$H$94</f>
        <v>29662</v>
      </c>
      <c r="J73" s="211">
        <f t="shared" si="116"/>
        <v>571.9352369821579</v>
      </c>
      <c r="K73" s="132">
        <f t="shared" si="105"/>
        <v>-663938.56253091618</v>
      </c>
      <c r="L73" s="277">
        <f t="shared" si="106"/>
        <v>-4.1911382864186705E-2</v>
      </c>
      <c r="M73" s="279">
        <f>M$66+'5 - Farm woodland'!$G270*'6 - Lists'!L$27*0.0193</f>
        <v>0</v>
      </c>
      <c r="N73" s="378">
        <f>'6 - Lists'!$M$94</f>
        <v>0</v>
      </c>
      <c r="O73" s="221">
        <f>'6 - Lists'!$K$94</f>
        <v>0</v>
      </c>
      <c r="P73" s="211">
        <f t="shared" si="117"/>
        <v>0</v>
      </c>
      <c r="Q73" s="132">
        <f t="shared" si="102"/>
        <v>0</v>
      </c>
      <c r="R73" s="277" t="e">
        <f t="shared" si="107"/>
        <v>#DIV/0!</v>
      </c>
      <c r="S73" s="279">
        <f>S$66+'5 - Farm woodland'!$G271*'6 - Lists'!P$28*0.0193</f>
        <v>90844457.393637046</v>
      </c>
      <c r="T73" s="378">
        <f>'6 - Lists'!$P$94</f>
        <v>2803.0264065326091</v>
      </c>
      <c r="U73" s="221">
        <f>'6 - Lists'!$N$94</f>
        <v>145372</v>
      </c>
      <c r="V73" s="211">
        <f t="shared" si="118"/>
        <v>2803.0264065326091</v>
      </c>
      <c r="W73" s="132">
        <f t="shared" si="108"/>
        <v>-4418704.2390160114</v>
      </c>
      <c r="X73" s="277">
        <f t="shared" si="109"/>
        <v>-4.6384186324353795E-2</v>
      </c>
      <c r="Y73" s="279">
        <f>Y$66+'5 - Farm woodland'!$G272*'6 - Lists'!T$28*0.0193</f>
        <v>85825200.384789914</v>
      </c>
      <c r="Z73" s="378">
        <f>'6 - Lists'!$S$94</f>
        <v>11523.525153218929</v>
      </c>
      <c r="AA73" s="221">
        <f>'6 - Lists'!$Q$94</f>
        <v>597639</v>
      </c>
      <c r="AB73" s="211">
        <f t="shared" si="119"/>
        <v>11523.525153218929</v>
      </c>
      <c r="AC73" s="132">
        <f t="shared" si="110"/>
        <v>-4945171.2008337826</v>
      </c>
      <c r="AD73" s="277">
        <f t="shared" si="111"/>
        <v>-5.4480014948148608E-2</v>
      </c>
      <c r="AE73" s="279">
        <f>AE$66+'5 - Farm woodland'!$G273*'6 - Lists'!X$28*0.0193</f>
        <v>12905989.243875097</v>
      </c>
      <c r="AF73" s="378">
        <f>'6 - Lists'!$V$94</f>
        <v>1401.5132032663046</v>
      </c>
      <c r="AG73" s="221">
        <f>'6 - Lists'!$T$94</f>
        <v>72686</v>
      </c>
      <c r="AH73" s="211">
        <f t="shared" si="120"/>
        <v>1401.5132032663046</v>
      </c>
      <c r="AI73" s="132">
        <f t="shared" si="112"/>
        <v>-925762.13596986234</v>
      </c>
      <c r="AJ73" s="277">
        <f t="shared" si="113"/>
        <v>-6.6930218057479229E-2</v>
      </c>
      <c r="AK73" s="288">
        <f>AK$66+'5 - Farm woodland'!$G274*'6 - Lists'!AB$28*0.0193</f>
        <v>0</v>
      </c>
      <c r="AL73" s="378">
        <f>'6 - Lists'!$Y$94</f>
        <v>0</v>
      </c>
      <c r="AM73" s="221">
        <f>'6 - Lists'!$W$94</f>
        <v>0</v>
      </c>
      <c r="AN73" s="211">
        <f t="shared" si="121"/>
        <v>0</v>
      </c>
      <c r="AO73" s="132">
        <f t="shared" si="114"/>
        <v>0</v>
      </c>
      <c r="AP73" s="277" t="e">
        <f t="shared" si="115"/>
        <v>#DIV/0!</v>
      </c>
    </row>
    <row r="77" spans="1:42" ht="30">
      <c r="A77" s="28" t="s">
        <v>702</v>
      </c>
    </row>
    <row r="78" spans="1:42">
      <c r="A78" s="283" t="s">
        <v>2</v>
      </c>
      <c r="B78" s="283"/>
      <c r="C78" s="283"/>
      <c r="D78" s="283"/>
      <c r="E78" s="283"/>
      <c r="F78" s="283"/>
      <c r="G78" s="283"/>
    </row>
    <row r="79" spans="1:42">
      <c r="A79" s="283"/>
      <c r="B79" s="283" t="s">
        <v>25</v>
      </c>
      <c r="C79" s="283" t="s">
        <v>42</v>
      </c>
      <c r="D79" s="283" t="s">
        <v>27</v>
      </c>
      <c r="E79" s="283" t="s">
        <v>28</v>
      </c>
      <c r="F79" s="283" t="s">
        <v>29</v>
      </c>
      <c r="G79" s="283" t="s">
        <v>30</v>
      </c>
    </row>
    <row r="80" spans="1:42">
      <c r="A80" s="75" t="s">
        <v>9</v>
      </c>
      <c r="B80" s="40"/>
      <c r="C80" s="40"/>
      <c r="D80" s="40"/>
      <c r="E80" s="40"/>
      <c r="F80" s="40"/>
      <c r="G80" s="40"/>
    </row>
    <row r="81" spans="1:7">
      <c r="A81" s="75" t="s">
        <v>11</v>
      </c>
      <c r="B81" s="40">
        <f t="shared" ref="B81:B87" si="122">K5/J5</f>
        <v>-155.96428780589022</v>
      </c>
      <c r="C81" s="40">
        <f t="shared" ref="C81:C87" si="123">Q5/P5</f>
        <v>-649.51656722887901</v>
      </c>
      <c r="D81" s="40">
        <f t="shared" ref="D81:D87" si="124">W5/V5</f>
        <v>-2146.4621076948497</v>
      </c>
      <c r="E81" s="40">
        <f t="shared" ref="E81:E87" si="125">AC5/AB5</f>
        <v>-989.57300387543978</v>
      </c>
      <c r="F81" s="40">
        <f t="shared" ref="F81:F87" si="126">AI5/AH5</f>
        <v>-370.02043331537271</v>
      </c>
      <c r="G81" s="40">
        <f t="shared" ref="G81:G87" si="127">AO5/AN5</f>
        <v>3826.3924538452252</v>
      </c>
    </row>
    <row r="82" spans="1:7">
      <c r="A82" s="75" t="s">
        <v>5</v>
      </c>
      <c r="B82" s="40">
        <f t="shared" si="122"/>
        <v>-178.63133847270856</v>
      </c>
      <c r="C82" s="40">
        <f t="shared" si="123"/>
        <v>-978.58589234274098</v>
      </c>
      <c r="D82" s="40">
        <f t="shared" si="124"/>
        <v>45.812831069955109</v>
      </c>
      <c r="E82" s="40">
        <f t="shared" si="125"/>
        <v>-103.5433945783883</v>
      </c>
      <c r="F82" s="40">
        <f t="shared" si="126"/>
        <v>-50.590093373441277</v>
      </c>
      <c r="G82" s="40">
        <f t="shared" si="127"/>
        <v>370.63602875167766</v>
      </c>
    </row>
    <row r="83" spans="1:7">
      <c r="A83" s="75" t="s">
        <v>6</v>
      </c>
      <c r="B83" s="40" t="e">
        <f t="shared" si="122"/>
        <v>#DIV/0!</v>
      </c>
      <c r="C83" s="40" t="e">
        <f t="shared" si="123"/>
        <v>#DIV/0!</v>
      </c>
      <c r="D83" s="40">
        <f t="shared" si="124"/>
        <v>92.109737366927106</v>
      </c>
      <c r="E83" s="40">
        <f t="shared" si="125"/>
        <v>-152.62490862140055</v>
      </c>
      <c r="F83" s="40">
        <f t="shared" si="126"/>
        <v>-79.793072135901241</v>
      </c>
      <c r="G83" s="40">
        <f t="shared" si="127"/>
        <v>765.09751443796677</v>
      </c>
    </row>
    <row r="84" spans="1:7">
      <c r="A84" s="75" t="s">
        <v>7</v>
      </c>
      <c r="B84" s="40">
        <f t="shared" si="122"/>
        <v>9.5883837050486953</v>
      </c>
      <c r="C84" s="40">
        <f t="shared" si="123"/>
        <v>552.67135887885775</v>
      </c>
      <c r="D84" s="40">
        <f t="shared" si="124"/>
        <v>116.61067274108294</v>
      </c>
      <c r="E84" s="40">
        <f t="shared" si="125"/>
        <v>-61.835536100344868</v>
      </c>
      <c r="F84" s="40">
        <f t="shared" si="126"/>
        <v>-5.1849962968022583</v>
      </c>
      <c r="G84" s="40">
        <f t="shared" si="127"/>
        <v>489.09014646630322</v>
      </c>
    </row>
    <row r="85" spans="1:7">
      <c r="A85" s="75" t="s">
        <v>35</v>
      </c>
      <c r="B85" s="40">
        <f t="shared" si="122"/>
        <v>-678.9930781608906</v>
      </c>
      <c r="C85" s="40">
        <f t="shared" si="123"/>
        <v>-4696.9983934591583</v>
      </c>
      <c r="D85" s="40">
        <f t="shared" si="124"/>
        <v>-1168.0960480126771</v>
      </c>
      <c r="E85" s="40">
        <f t="shared" si="125"/>
        <v>-192.56846202239331</v>
      </c>
      <c r="F85" s="40">
        <f t="shared" si="126"/>
        <v>-592.37516793186467</v>
      </c>
      <c r="G85" s="40">
        <f t="shared" si="127"/>
        <v>-2944.0498450633613</v>
      </c>
    </row>
    <row r="86" spans="1:7">
      <c r="A86" s="75" t="s">
        <v>37</v>
      </c>
      <c r="B86" s="40">
        <f t="shared" si="122"/>
        <v>-833.61691939364016</v>
      </c>
      <c r="C86" s="40">
        <f t="shared" si="123"/>
        <v>-4807.4742022456066</v>
      </c>
      <c r="D86" s="40">
        <f t="shared" si="124"/>
        <v>-1314.419162707233</v>
      </c>
      <c r="E86" s="40">
        <f t="shared" si="125"/>
        <v>-482.76088959859163</v>
      </c>
      <c r="F86" s="40">
        <f t="shared" si="126"/>
        <v>-846.13794079734157</v>
      </c>
      <c r="G86" s="40">
        <f t="shared" si="127"/>
        <v>-3054.5256538498106</v>
      </c>
    </row>
    <row r="87" spans="1:7" ht="15.75" thickBot="1">
      <c r="A87" s="77" t="s">
        <v>51</v>
      </c>
      <c r="B87" s="40">
        <f t="shared" si="122"/>
        <v>-856.45577029572485</v>
      </c>
      <c r="C87" s="40">
        <f t="shared" si="123"/>
        <v>-4823.7921290610639</v>
      </c>
      <c r="D87" s="40">
        <f t="shared" si="124"/>
        <v>-1336.0319474718237</v>
      </c>
      <c r="E87" s="40">
        <f t="shared" si="125"/>
        <v>-525.6240181658759</v>
      </c>
      <c r="F87" s="40">
        <f t="shared" si="126"/>
        <v>-883.62019507176581</v>
      </c>
      <c r="G87" s="40">
        <f t="shared" si="127"/>
        <v>-3070.8435806652697</v>
      </c>
    </row>
  </sheetData>
  <mergeCells count="24">
    <mergeCell ref="A1:AP1"/>
    <mergeCell ref="B2:F2"/>
    <mergeCell ref="G2:L2"/>
    <mergeCell ref="M2:R2"/>
    <mergeCell ref="S2:X2"/>
    <mergeCell ref="Y2:AD2"/>
    <mergeCell ref="AE2:AJ2"/>
    <mergeCell ref="AK2:AP2"/>
    <mergeCell ref="A39:AP39"/>
    <mergeCell ref="B40:F40"/>
    <mergeCell ref="G40:L40"/>
    <mergeCell ref="M40:R40"/>
    <mergeCell ref="S40:X40"/>
    <mergeCell ref="Y40:AD40"/>
    <mergeCell ref="AE40:AJ40"/>
    <mergeCell ref="AK40:AP40"/>
    <mergeCell ref="A27:AP27"/>
    <mergeCell ref="AK28:AP28"/>
    <mergeCell ref="AE28:AJ28"/>
    <mergeCell ref="Y28:AD28"/>
    <mergeCell ref="S28:X28"/>
    <mergeCell ref="M28:R28"/>
    <mergeCell ref="G28:L28"/>
    <mergeCell ref="B28:F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65A24-A079-42C7-B116-2F0A77882998}">
  <sheetPr codeName="Sheet2"/>
  <dimension ref="B2:J39"/>
  <sheetViews>
    <sheetView workbookViewId="0"/>
    <sheetView workbookViewId="1"/>
  </sheetViews>
  <sheetFormatPr defaultRowHeight="15"/>
  <cols>
    <col min="2" max="2" width="3.42578125" customWidth="1"/>
    <col min="3" max="3" width="33.140625" customWidth="1"/>
    <col min="4" max="9" width="28.85546875" customWidth="1"/>
    <col min="10" max="10" width="3.140625" customWidth="1"/>
  </cols>
  <sheetData>
    <row r="2" spans="2:10">
      <c r="B2" s="14"/>
      <c r="C2" s="14"/>
      <c r="D2" s="14"/>
      <c r="E2" s="14"/>
      <c r="F2" s="14"/>
      <c r="G2" s="14"/>
      <c r="H2" s="14"/>
      <c r="I2" s="14"/>
      <c r="J2" s="14"/>
    </row>
    <row r="3" spans="2:10">
      <c r="B3" s="14"/>
      <c r="C3" s="15" t="s">
        <v>55</v>
      </c>
      <c r="D3" s="14"/>
      <c r="E3" s="14"/>
      <c r="F3" s="14"/>
      <c r="G3" s="14"/>
      <c r="H3" s="14"/>
      <c r="I3" s="14"/>
      <c r="J3" s="14"/>
    </row>
    <row r="4" spans="2:10">
      <c r="B4" s="14"/>
      <c r="C4" s="15"/>
      <c r="D4" s="14"/>
      <c r="E4" s="14"/>
      <c r="F4" s="14"/>
      <c r="G4" s="14"/>
      <c r="H4" s="14"/>
      <c r="I4" s="14"/>
      <c r="J4" s="14"/>
    </row>
    <row r="5" spans="2:10">
      <c r="B5" s="14"/>
      <c r="C5" s="15" t="s">
        <v>56</v>
      </c>
      <c r="D5" s="16">
        <v>0</v>
      </c>
      <c r="E5" s="16"/>
      <c r="F5" s="14"/>
      <c r="G5" s="14"/>
      <c r="H5" s="14"/>
      <c r="I5" s="14"/>
      <c r="J5" s="14"/>
    </row>
    <row r="6" spans="2:10">
      <c r="B6" s="14"/>
      <c r="C6" s="15"/>
      <c r="D6" s="14"/>
      <c r="E6" s="14"/>
      <c r="F6" s="14"/>
      <c r="G6" s="14"/>
      <c r="H6" s="14"/>
      <c r="I6" s="14"/>
      <c r="J6" s="14"/>
    </row>
    <row r="7" spans="2:10">
      <c r="B7" s="14"/>
      <c r="C7" s="15" t="s">
        <v>57</v>
      </c>
      <c r="D7" s="14" t="s">
        <v>9</v>
      </c>
      <c r="E7" s="14"/>
      <c r="F7" s="14"/>
      <c r="G7" s="14"/>
      <c r="H7" s="14"/>
      <c r="I7" s="14"/>
      <c r="J7" s="14"/>
    </row>
    <row r="8" spans="2:10">
      <c r="B8" s="14"/>
      <c r="C8" s="15"/>
      <c r="D8" s="14"/>
      <c r="E8" s="14"/>
      <c r="F8" s="14"/>
      <c r="G8" s="14"/>
      <c r="H8" s="14"/>
      <c r="I8" s="14"/>
      <c r="J8" s="14"/>
    </row>
    <row r="9" spans="2:10">
      <c r="B9" s="14"/>
      <c r="C9" s="15" t="s">
        <v>58</v>
      </c>
      <c r="D9" s="14" t="s">
        <v>59</v>
      </c>
      <c r="E9" s="14"/>
      <c r="F9" s="14"/>
      <c r="G9" s="14"/>
      <c r="H9" s="14"/>
      <c r="I9" s="14"/>
      <c r="J9" s="14"/>
    </row>
    <row r="10" spans="2:10">
      <c r="B10" s="14"/>
      <c r="C10" s="15"/>
      <c r="D10" s="14"/>
      <c r="E10" s="14"/>
      <c r="F10" s="14"/>
      <c r="G10" s="14"/>
      <c r="H10" s="14"/>
      <c r="I10" s="14"/>
      <c r="J10" s="14"/>
    </row>
    <row r="11" spans="2:10">
      <c r="B11" s="14"/>
      <c r="C11" s="15" t="s">
        <v>60</v>
      </c>
      <c r="D11" s="14" t="s">
        <v>61</v>
      </c>
      <c r="E11" s="14"/>
      <c r="F11" s="14"/>
      <c r="G11" s="14"/>
      <c r="H11" s="14"/>
      <c r="I11" s="14"/>
      <c r="J11" s="14"/>
    </row>
    <row r="12" spans="2:10">
      <c r="B12" s="14"/>
      <c r="C12" s="15"/>
      <c r="D12" s="14"/>
      <c r="E12" s="14"/>
      <c r="F12" s="14"/>
      <c r="G12" s="14"/>
      <c r="H12" s="14"/>
      <c r="I12" s="14"/>
      <c r="J12" s="14"/>
    </row>
    <row r="13" spans="2:10">
      <c r="B13" s="14"/>
      <c r="C13" s="15" t="s">
        <v>62</v>
      </c>
      <c r="D13" s="14" t="s">
        <v>61</v>
      </c>
      <c r="E13" s="14"/>
      <c r="F13" s="14"/>
      <c r="G13" s="14"/>
      <c r="H13" s="14"/>
      <c r="I13" s="14"/>
      <c r="J13" s="14"/>
    </row>
    <row r="14" spans="2:10">
      <c r="B14" s="14"/>
      <c r="C14" s="14"/>
      <c r="D14" s="14"/>
      <c r="E14" s="14"/>
      <c r="F14" s="14"/>
      <c r="G14" s="14"/>
      <c r="H14" s="14"/>
      <c r="I14" s="14"/>
      <c r="J14" s="14"/>
    </row>
    <row r="15" spans="2:10">
      <c r="B15" s="14"/>
      <c r="C15" s="14"/>
      <c r="D15" s="14"/>
      <c r="E15" s="14"/>
      <c r="F15" s="14"/>
      <c r="G15" s="14"/>
      <c r="H15" s="14"/>
      <c r="I15" s="14"/>
      <c r="J15" s="14"/>
    </row>
    <row r="16" spans="2:10">
      <c r="B16" s="14"/>
      <c r="C16" s="14"/>
      <c r="D16" s="14"/>
      <c r="E16" s="14"/>
      <c r="F16" s="14"/>
      <c r="G16" s="14"/>
      <c r="H16" s="14"/>
      <c r="I16" s="14"/>
      <c r="J16" s="14"/>
    </row>
    <row r="17" spans="2:10">
      <c r="B17" s="14"/>
      <c r="C17" s="14"/>
      <c r="D17" s="14"/>
      <c r="E17" s="14"/>
      <c r="F17" s="14"/>
      <c r="G17" s="14"/>
      <c r="H17" s="14"/>
      <c r="I17" s="14"/>
      <c r="J17" s="14"/>
    </row>
    <row r="18" spans="2:10">
      <c r="B18" s="14"/>
      <c r="C18" s="14"/>
      <c r="D18" s="14"/>
      <c r="E18" s="14"/>
      <c r="F18" s="14"/>
      <c r="G18" s="14"/>
      <c r="H18" s="14"/>
      <c r="I18" s="14"/>
      <c r="J18" s="14"/>
    </row>
    <row r="19" spans="2:10">
      <c r="B19" s="14"/>
      <c r="C19" s="14"/>
      <c r="D19" s="447" t="s">
        <v>63</v>
      </c>
      <c r="E19" s="448"/>
      <c r="F19" s="448"/>
      <c r="G19" s="448"/>
      <c r="H19" s="448"/>
      <c r="I19" s="449"/>
      <c r="J19" s="14"/>
    </row>
    <row r="20" spans="2:10">
      <c r="B20" s="14"/>
      <c r="C20" s="14"/>
      <c r="D20" s="17" t="s">
        <v>25</v>
      </c>
      <c r="E20" s="17" t="s">
        <v>42</v>
      </c>
      <c r="F20" s="17" t="s">
        <v>27</v>
      </c>
      <c r="G20" s="17" t="s">
        <v>28</v>
      </c>
      <c r="H20" s="17" t="s">
        <v>29</v>
      </c>
      <c r="I20" s="18" t="s">
        <v>30</v>
      </c>
      <c r="J20" s="14"/>
    </row>
    <row r="21" spans="2:10">
      <c r="B21" s="14"/>
      <c r="C21" s="14"/>
      <c r="D21" s="297" t="s">
        <v>64</v>
      </c>
      <c r="E21" s="297"/>
      <c r="F21" s="18" t="s">
        <v>64</v>
      </c>
      <c r="G21" s="18" t="s">
        <v>64</v>
      </c>
      <c r="H21" s="18" t="s">
        <v>64</v>
      </c>
      <c r="I21" s="302" t="s">
        <v>64</v>
      </c>
      <c r="J21" s="14"/>
    </row>
    <row r="22" spans="2:10">
      <c r="B22" s="14"/>
      <c r="C22" s="5" t="s">
        <v>65</v>
      </c>
      <c r="D22" s="6"/>
      <c r="E22" s="6"/>
      <c r="F22" s="6"/>
      <c r="G22" s="6"/>
      <c r="H22" s="6"/>
      <c r="I22" s="313"/>
      <c r="J22" s="14"/>
    </row>
    <row r="23" spans="2:10">
      <c r="B23" s="14"/>
      <c r="C23" s="314" t="s">
        <v>66</v>
      </c>
      <c r="D23" s="260">
        <f>IFERROR(VLOOKUP('Overview and dashboard'!$F$6,'6 - Lists'!$D$25:$AE$29,6,0),"")</f>
        <v>0</v>
      </c>
      <c r="E23" s="260">
        <f>IFERROR(VLOOKUP('Overview and dashboard'!$F$6,'6 - Lists'!$D$25:$AE$29,10,0),"")</f>
        <v>0</v>
      </c>
      <c r="F23" s="260">
        <f>IFERROR(VLOOKUP('Overview and dashboard'!$F$6,'6 - Lists'!$D$25:$AE$29,14,0),"")</f>
        <v>0</v>
      </c>
      <c r="G23" s="260">
        <f>IFERROR(VLOOKUP('Overview and dashboard'!$F$6,'6 - Lists'!$D$25:$AE$29,18,0),"")</f>
        <v>0</v>
      </c>
      <c r="H23" s="260">
        <f>IFERROR(VLOOKUP('Overview and dashboard'!$F$6,'6 - Lists'!$D$25:$AE$29,22,0),"")</f>
        <v>0</v>
      </c>
      <c r="I23" s="260">
        <f>IFERROR(VLOOKUP('Overview and dashboard'!$F$6,'6 - Lists'!$D$25:$AE$29,26,0),"")</f>
        <v>0</v>
      </c>
      <c r="J23" s="14"/>
    </row>
    <row r="24" spans="2:10">
      <c r="B24" s="14"/>
      <c r="C24" s="314" t="s">
        <v>67</v>
      </c>
      <c r="D24" s="260">
        <f>IFERROR(VLOOKUP('Overview and dashboard'!$F$6,'6 - Lists'!$D$25:$AE$29,7,0),"")</f>
        <v>0</v>
      </c>
      <c r="E24" s="260">
        <f>IFERROR(VLOOKUP('Overview and dashboard'!$F$6,'6 - Lists'!$D$25:$AE$29,11,0),"")</f>
        <v>0</v>
      </c>
      <c r="F24" s="260">
        <f>IFERROR(VLOOKUP('Overview and dashboard'!$F$6,'6 - Lists'!$D$25:$AE$29,15,0),"")</f>
        <v>0</v>
      </c>
      <c r="G24" s="260">
        <f>IFERROR(VLOOKUP('Overview and dashboard'!$F$6,'6 - Lists'!$D$25:$AE$29,19,0),"")</f>
        <v>0</v>
      </c>
      <c r="H24" s="260">
        <f>IFERROR(VLOOKUP('Overview and dashboard'!$F$6,'6 - Lists'!$D$25:$AE$29,23,0),"")</f>
        <v>0</v>
      </c>
      <c r="I24" s="260">
        <f>IFERROR(VLOOKUP('Overview and dashboard'!$F$6,'6 - Lists'!$D$25:$AE$29,27,0),"")</f>
        <v>0</v>
      </c>
      <c r="J24" s="14"/>
    </row>
    <row r="25" spans="2:10" hidden="1">
      <c r="B25" s="14"/>
      <c r="C25" s="314"/>
      <c r="D25" s="176"/>
      <c r="E25" s="176"/>
      <c r="F25" s="176"/>
      <c r="G25" s="176"/>
      <c r="H25" s="176"/>
      <c r="I25" s="7"/>
      <c r="J25" s="14"/>
    </row>
    <row r="26" spans="2:10" hidden="1">
      <c r="B26" s="14"/>
      <c r="C26" s="315" t="s">
        <v>68</v>
      </c>
      <c r="D26" s="176"/>
      <c r="E26" s="176"/>
      <c r="F26" s="176"/>
      <c r="G26" s="176"/>
      <c r="H26" s="176"/>
      <c r="I26" s="7"/>
      <c r="J26" s="14"/>
    </row>
    <row r="27" spans="2:10" hidden="1">
      <c r="B27" s="14"/>
      <c r="C27" s="5" t="s">
        <v>69</v>
      </c>
      <c r="D27" s="6"/>
      <c r="E27" s="6"/>
      <c r="F27" s="6"/>
      <c r="G27" s="6"/>
      <c r="H27" s="6"/>
      <c r="I27" s="313"/>
      <c r="J27" s="14"/>
    </row>
    <row r="28" spans="2:10" hidden="1">
      <c r="B28" s="14"/>
      <c r="C28" s="315"/>
      <c r="D28" s="176"/>
      <c r="E28" s="176"/>
      <c r="F28" s="176"/>
      <c r="G28" s="176"/>
      <c r="H28" s="176"/>
      <c r="I28" s="7"/>
      <c r="J28" s="14"/>
    </row>
    <row r="29" spans="2:10" hidden="1">
      <c r="B29" s="14"/>
      <c r="C29" s="314" t="s">
        <v>70</v>
      </c>
      <c r="D29" s="176"/>
      <c r="E29" s="176"/>
      <c r="F29" s="176"/>
      <c r="G29" s="176"/>
      <c r="H29" s="176"/>
      <c r="I29" s="7"/>
      <c r="J29" s="14"/>
    </row>
    <row r="30" spans="2:10" hidden="1">
      <c r="B30" s="14"/>
      <c r="C30" s="314" t="s">
        <v>71</v>
      </c>
      <c r="D30" s="176"/>
      <c r="E30" s="176"/>
      <c r="F30" s="176"/>
      <c r="G30" s="176"/>
      <c r="H30" s="176"/>
      <c r="I30" s="7"/>
      <c r="J30" s="14"/>
    </row>
    <row r="31" spans="2:10" hidden="1">
      <c r="B31" s="14"/>
      <c r="C31" s="314" t="s">
        <v>72</v>
      </c>
      <c r="D31" s="176"/>
      <c r="E31" s="176"/>
      <c r="F31" s="176"/>
      <c r="G31" s="176"/>
      <c r="H31" s="176"/>
      <c r="I31" s="7"/>
      <c r="J31" s="14"/>
    </row>
    <row r="32" spans="2:10" hidden="1">
      <c r="B32" s="14"/>
      <c r="C32" s="315" t="s">
        <v>68</v>
      </c>
      <c r="D32" s="176"/>
      <c r="E32" s="176"/>
      <c r="F32" s="176"/>
      <c r="G32" s="176"/>
      <c r="H32" s="176"/>
      <c r="I32" s="7"/>
      <c r="J32" s="14"/>
    </row>
    <row r="33" spans="2:10" hidden="1">
      <c r="B33" s="14"/>
      <c r="C33" s="316"/>
      <c r="D33" s="317"/>
      <c r="E33" s="317"/>
      <c r="F33" s="317"/>
      <c r="G33" s="317"/>
      <c r="H33" s="317"/>
      <c r="I33" s="318"/>
      <c r="J33" s="14"/>
    </row>
    <row r="34" spans="2:10" hidden="1">
      <c r="B34" s="14"/>
      <c r="C34" s="316" t="s">
        <v>73</v>
      </c>
      <c r="D34" s="317"/>
      <c r="E34" s="317"/>
      <c r="F34" s="317"/>
      <c r="G34" s="317"/>
      <c r="H34" s="317"/>
      <c r="I34" s="318"/>
      <c r="J34" s="14"/>
    </row>
    <row r="35" spans="2:10" hidden="1">
      <c r="B35" s="14"/>
      <c r="C35" s="316" t="s">
        <v>74</v>
      </c>
      <c r="D35" s="317"/>
      <c r="E35" s="317"/>
      <c r="F35" s="317"/>
      <c r="G35" s="317"/>
      <c r="H35" s="317"/>
      <c r="I35" s="318"/>
      <c r="J35" s="14"/>
    </row>
    <row r="36" spans="2:10" hidden="1">
      <c r="B36" s="14"/>
      <c r="C36" s="8" t="s">
        <v>75</v>
      </c>
      <c r="D36" s="9"/>
      <c r="E36" s="9"/>
      <c r="F36" s="9"/>
      <c r="G36" s="9"/>
      <c r="H36" s="9"/>
      <c r="I36" s="10"/>
      <c r="J36" s="14"/>
    </row>
    <row r="37" spans="2:10" hidden="1">
      <c r="B37" s="14"/>
      <c r="C37" s="11"/>
      <c r="D37" s="9"/>
      <c r="E37" s="12"/>
      <c r="F37" s="12"/>
      <c r="G37" s="12"/>
      <c r="H37" s="12"/>
      <c r="I37" s="10"/>
      <c r="J37" s="14"/>
    </row>
    <row r="38" spans="2:10" hidden="1">
      <c r="B38" s="14"/>
      <c r="C38" s="11" t="s">
        <v>3</v>
      </c>
      <c r="D38" s="4"/>
      <c r="E38" s="13"/>
      <c r="F38" s="13"/>
      <c r="G38" s="4"/>
      <c r="H38" s="4"/>
      <c r="I38" s="4"/>
      <c r="J38" s="14"/>
    </row>
    <row r="39" spans="2:10">
      <c r="B39" s="14"/>
      <c r="C39" s="14"/>
      <c r="D39" s="14"/>
      <c r="E39" s="14"/>
      <c r="F39" s="14"/>
      <c r="G39" s="14"/>
      <c r="H39" s="14"/>
      <c r="I39" s="14"/>
      <c r="J39" s="14"/>
    </row>
  </sheetData>
  <mergeCells count="1">
    <mergeCell ref="D19:I1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17252-7F11-4F0A-8EC8-046B8C3E44FA}">
  <sheetPr codeName="Sheet3"/>
  <dimension ref="B2:V197"/>
  <sheetViews>
    <sheetView showGridLines="0" showRowColHeaders="0" zoomScaleNormal="100" workbookViewId="0"/>
    <sheetView topLeftCell="A175" workbookViewId="1">
      <selection activeCell="C130" sqref="C130"/>
    </sheetView>
  </sheetViews>
  <sheetFormatPr defaultRowHeight="15"/>
  <cols>
    <col min="2" max="2" width="3.5703125" customWidth="1"/>
    <col min="3" max="3" width="66.85546875" customWidth="1"/>
    <col min="4" max="4" width="11.28515625" customWidth="1"/>
    <col min="5" max="5" width="11.85546875" customWidth="1"/>
    <col min="6" max="6" width="10.5703125" customWidth="1"/>
    <col min="7" max="7" width="0.5703125" customWidth="1"/>
    <col min="8" max="9" width="10.5703125" customWidth="1"/>
    <col min="10" max="10" width="0.5703125" customWidth="1"/>
    <col min="11" max="12" width="10.5703125" customWidth="1"/>
    <col min="13" max="13" width="0.5703125" customWidth="1"/>
    <col min="14" max="15" width="10.5703125" customWidth="1"/>
    <col min="16" max="16" width="0.5703125" customWidth="1"/>
    <col min="17" max="18" width="10.5703125" customWidth="1"/>
    <col min="19" max="19" width="0.5703125" customWidth="1"/>
    <col min="20" max="21" width="10.5703125" customWidth="1"/>
  </cols>
  <sheetData>
    <row r="2" spans="2:22">
      <c r="B2" s="14"/>
      <c r="C2" s="14"/>
      <c r="D2" s="14"/>
      <c r="E2" s="14"/>
      <c r="F2" s="14"/>
      <c r="G2" s="14"/>
      <c r="H2" s="14"/>
      <c r="I2" s="14"/>
      <c r="J2" s="14"/>
      <c r="K2" s="14"/>
      <c r="L2" s="14"/>
      <c r="M2" s="14"/>
      <c r="N2" s="14"/>
      <c r="O2" s="14"/>
      <c r="P2" s="14"/>
      <c r="Q2" s="14"/>
      <c r="R2" s="14"/>
      <c r="S2" s="14"/>
      <c r="T2" s="14"/>
      <c r="U2" s="14"/>
      <c r="V2" s="14"/>
    </row>
    <row r="3" spans="2:22">
      <c r="B3" s="14"/>
      <c r="C3" s="15" t="s">
        <v>55</v>
      </c>
      <c r="D3" s="15"/>
      <c r="E3" s="14"/>
      <c r="F3" s="14"/>
      <c r="G3" s="14"/>
      <c r="H3" s="14"/>
      <c r="I3" s="14"/>
      <c r="J3" s="14"/>
      <c r="K3" s="14"/>
      <c r="L3" s="14"/>
      <c r="M3" s="14"/>
      <c r="N3" s="14"/>
      <c r="O3" s="14"/>
      <c r="P3" s="14"/>
      <c r="Q3" s="14"/>
      <c r="R3" s="14"/>
      <c r="S3" s="14"/>
      <c r="T3" s="14"/>
      <c r="U3" s="14"/>
      <c r="V3" s="14"/>
    </row>
    <row r="4" spans="2:22">
      <c r="B4" s="14"/>
      <c r="C4" s="15"/>
      <c r="D4" s="15"/>
      <c r="E4" s="14"/>
      <c r="F4" s="14"/>
      <c r="G4" s="14"/>
      <c r="H4" s="14"/>
      <c r="I4" s="14"/>
      <c r="J4" s="14"/>
      <c r="K4" s="14"/>
      <c r="L4" s="14"/>
      <c r="M4" s="14"/>
      <c r="N4" s="14"/>
      <c r="O4" s="14"/>
      <c r="P4" s="14"/>
      <c r="Q4" s="14"/>
      <c r="R4" s="14"/>
      <c r="S4" s="14"/>
      <c r="T4" s="14"/>
      <c r="U4" s="14"/>
      <c r="V4" s="14"/>
    </row>
    <row r="5" spans="2:22">
      <c r="B5" s="14"/>
      <c r="C5" s="15" t="s">
        <v>56</v>
      </c>
      <c r="D5" s="15"/>
      <c r="E5" s="16">
        <v>1</v>
      </c>
      <c r="F5" s="14"/>
      <c r="G5" s="14"/>
      <c r="H5" s="14"/>
      <c r="I5" s="14"/>
      <c r="J5" s="14"/>
      <c r="K5" s="14"/>
      <c r="L5" s="14"/>
      <c r="M5" s="14"/>
      <c r="N5" s="14"/>
      <c r="O5" s="14"/>
      <c r="P5" s="14"/>
      <c r="Q5" s="14"/>
      <c r="R5" s="14"/>
      <c r="S5" s="14"/>
      <c r="T5" s="14"/>
      <c r="U5" s="14"/>
      <c r="V5" s="14"/>
    </row>
    <row r="6" spans="2:22">
      <c r="B6" s="14"/>
      <c r="C6" s="15"/>
      <c r="D6" s="15"/>
      <c r="E6" s="14"/>
      <c r="F6" s="14"/>
      <c r="G6" s="14"/>
      <c r="H6" s="14"/>
      <c r="I6" s="14"/>
      <c r="J6" s="14"/>
      <c r="K6" s="14"/>
      <c r="L6" s="14"/>
      <c r="M6" s="14"/>
      <c r="N6" s="14"/>
      <c r="O6" s="14"/>
      <c r="P6" s="14"/>
      <c r="Q6" s="14"/>
      <c r="R6" s="14"/>
      <c r="S6" s="14"/>
      <c r="T6" s="14"/>
      <c r="U6" s="14"/>
      <c r="V6" s="14"/>
    </row>
    <row r="7" spans="2:22">
      <c r="B7" s="14"/>
      <c r="C7" s="15" t="s">
        <v>57</v>
      </c>
      <c r="D7" s="15"/>
      <c r="E7" s="14" t="s">
        <v>31</v>
      </c>
      <c r="F7" s="14"/>
      <c r="G7" s="14"/>
      <c r="H7" s="14"/>
      <c r="I7" s="14"/>
      <c r="J7" s="14"/>
      <c r="K7" s="14"/>
      <c r="L7" s="14"/>
      <c r="M7" s="14"/>
      <c r="N7" s="14"/>
      <c r="O7" s="14"/>
      <c r="P7" s="14"/>
      <c r="Q7" s="14"/>
      <c r="R7" s="14"/>
      <c r="S7" s="14"/>
      <c r="T7" s="14"/>
      <c r="U7" s="14"/>
      <c r="V7" s="14"/>
    </row>
    <row r="8" spans="2:22">
      <c r="B8" s="14"/>
      <c r="C8" s="15"/>
      <c r="D8" s="15"/>
      <c r="E8" s="14"/>
      <c r="F8" s="14"/>
      <c r="G8" s="14"/>
      <c r="H8" s="14"/>
      <c r="I8" s="14"/>
      <c r="J8" s="14"/>
      <c r="K8" s="14"/>
      <c r="L8" s="14"/>
      <c r="M8" s="14"/>
      <c r="N8" s="14"/>
      <c r="O8" s="14"/>
      <c r="P8" s="14"/>
      <c r="Q8" s="14"/>
      <c r="R8" s="14"/>
      <c r="S8" s="14"/>
      <c r="T8" s="14"/>
      <c r="U8" s="14"/>
      <c r="V8" s="14"/>
    </row>
    <row r="9" spans="2:22">
      <c r="B9" s="14"/>
      <c r="C9" s="15" t="s">
        <v>58</v>
      </c>
      <c r="D9" s="15"/>
      <c r="E9" s="14" t="s">
        <v>76</v>
      </c>
      <c r="F9" s="14"/>
      <c r="G9" s="14"/>
      <c r="H9" s="14"/>
      <c r="I9" s="14"/>
      <c r="J9" s="14"/>
      <c r="K9" s="14"/>
      <c r="L9" s="14"/>
      <c r="M9" s="14"/>
      <c r="N9" s="14"/>
      <c r="O9" s="14"/>
      <c r="P9" s="14"/>
      <c r="Q9" s="14"/>
      <c r="R9" s="14"/>
      <c r="S9" s="14"/>
      <c r="T9" s="14"/>
      <c r="U9" s="14"/>
      <c r="V9" s="14"/>
    </row>
    <row r="10" spans="2:22">
      <c r="B10" s="14"/>
      <c r="C10" s="15"/>
      <c r="D10" s="15"/>
      <c r="E10" s="14"/>
      <c r="F10" s="14"/>
      <c r="G10" s="14"/>
      <c r="H10" s="14"/>
      <c r="I10" s="14"/>
      <c r="J10" s="14"/>
      <c r="K10" s="14"/>
      <c r="L10" s="14"/>
      <c r="M10" s="14"/>
      <c r="N10" s="14"/>
      <c r="O10" s="14"/>
      <c r="P10" s="14"/>
      <c r="Q10" s="14"/>
      <c r="R10" s="14"/>
      <c r="S10" s="14"/>
      <c r="T10" s="14"/>
      <c r="U10" s="14"/>
      <c r="V10" s="14"/>
    </row>
    <row r="11" spans="2:22">
      <c r="B11" s="14"/>
      <c r="C11" s="15" t="s">
        <v>60</v>
      </c>
      <c r="D11" s="15"/>
      <c r="E11" s="14" t="s">
        <v>77</v>
      </c>
      <c r="F11" s="14"/>
      <c r="G11" s="14"/>
      <c r="H11" s="14"/>
      <c r="I11" s="14"/>
      <c r="J11" s="14"/>
      <c r="K11" s="14"/>
      <c r="L11" s="14"/>
      <c r="M11" s="14"/>
      <c r="N11" s="14"/>
      <c r="O11" s="14"/>
      <c r="P11" s="14"/>
      <c r="Q11" s="14"/>
      <c r="R11" s="14"/>
      <c r="S11" s="14"/>
      <c r="T11" s="14"/>
      <c r="U11" s="14"/>
      <c r="V11" s="14"/>
    </row>
    <row r="12" spans="2:22">
      <c r="B12" s="14"/>
      <c r="C12" s="15"/>
      <c r="D12" s="15"/>
      <c r="E12" s="14" t="s">
        <v>78</v>
      </c>
      <c r="F12" s="14"/>
      <c r="G12" s="14"/>
      <c r="H12" s="14"/>
      <c r="I12" s="14"/>
      <c r="J12" s="14"/>
      <c r="K12" s="14"/>
      <c r="L12" s="14"/>
      <c r="M12" s="14"/>
      <c r="N12" s="14"/>
      <c r="O12" s="14"/>
      <c r="P12" s="14"/>
      <c r="Q12" s="14"/>
      <c r="R12" s="14"/>
      <c r="S12" s="14"/>
      <c r="T12" s="14"/>
      <c r="U12" s="14"/>
      <c r="V12" s="14"/>
    </row>
    <row r="13" spans="2:22">
      <c r="B13" s="14"/>
      <c r="C13" s="15"/>
      <c r="D13" s="15"/>
      <c r="E13" s="14" t="s">
        <v>79</v>
      </c>
      <c r="F13" s="14"/>
      <c r="G13" s="14"/>
      <c r="H13" s="14"/>
      <c r="I13" s="14"/>
      <c r="J13" s="14"/>
      <c r="K13" s="14"/>
      <c r="L13" s="14"/>
      <c r="M13" s="14"/>
      <c r="N13" s="14"/>
      <c r="O13" s="14"/>
      <c r="P13" s="14"/>
      <c r="Q13" s="14"/>
      <c r="R13" s="14"/>
      <c r="S13" s="14"/>
      <c r="T13" s="14"/>
      <c r="U13" s="14"/>
      <c r="V13" s="14"/>
    </row>
    <row r="14" spans="2:22">
      <c r="B14" s="14"/>
      <c r="C14" s="15"/>
      <c r="D14" s="15"/>
      <c r="E14" s="14" t="s">
        <v>80</v>
      </c>
      <c r="F14" s="14"/>
      <c r="G14" s="14"/>
      <c r="H14" s="14"/>
      <c r="I14" s="14"/>
      <c r="J14" s="14"/>
      <c r="K14" s="14"/>
      <c r="L14" s="14"/>
      <c r="M14" s="14"/>
      <c r="N14" s="14"/>
      <c r="O14" s="14"/>
      <c r="P14" s="14"/>
      <c r="Q14" s="14"/>
      <c r="R14" s="14"/>
      <c r="S14" s="14"/>
      <c r="T14" s="14"/>
      <c r="U14" s="14"/>
      <c r="V14" s="14"/>
    </row>
    <row r="15" spans="2:22">
      <c r="B15" s="14"/>
      <c r="C15" s="15"/>
      <c r="D15" s="15"/>
      <c r="E15" s="14"/>
      <c r="F15" s="14"/>
      <c r="G15" s="14"/>
      <c r="H15" s="14"/>
      <c r="I15" s="14"/>
      <c r="J15" s="14"/>
      <c r="K15" s="14"/>
      <c r="L15" s="14"/>
      <c r="M15" s="14"/>
      <c r="N15" s="14"/>
      <c r="O15" s="14"/>
      <c r="P15" s="14"/>
      <c r="Q15" s="14"/>
      <c r="R15" s="14"/>
      <c r="S15" s="14"/>
      <c r="T15" s="14"/>
      <c r="U15" s="14"/>
      <c r="V15" s="14"/>
    </row>
    <row r="16" spans="2:22">
      <c r="B16" s="14"/>
      <c r="C16" s="15" t="s">
        <v>62</v>
      </c>
      <c r="D16" s="15"/>
      <c r="E16" s="14" t="s">
        <v>81</v>
      </c>
      <c r="F16" s="14"/>
      <c r="G16" s="14"/>
      <c r="H16" s="14"/>
      <c r="I16" s="14"/>
      <c r="J16" s="14"/>
      <c r="K16" s="14"/>
      <c r="L16" s="14"/>
      <c r="M16" s="14"/>
      <c r="N16" s="14"/>
      <c r="O16" s="14"/>
      <c r="P16" s="14"/>
      <c r="Q16" s="14"/>
      <c r="R16" s="14"/>
      <c r="S16" s="14"/>
      <c r="T16" s="14"/>
      <c r="U16" s="14"/>
      <c r="V16" s="14"/>
    </row>
    <row r="17" spans="2:22">
      <c r="B17" s="14"/>
      <c r="C17" s="15"/>
      <c r="D17" s="15"/>
      <c r="E17" s="14" t="s">
        <v>82</v>
      </c>
      <c r="F17" s="14"/>
      <c r="G17" s="14"/>
      <c r="H17" s="14"/>
      <c r="I17" s="14"/>
      <c r="J17" s="14"/>
      <c r="K17" s="14"/>
      <c r="L17" s="14"/>
      <c r="M17" s="14"/>
      <c r="N17" s="14"/>
      <c r="O17" s="14"/>
      <c r="P17" s="14"/>
      <c r="Q17" s="14"/>
      <c r="R17" s="14"/>
      <c r="S17" s="14"/>
      <c r="T17" s="14"/>
      <c r="U17" s="14"/>
      <c r="V17" s="14"/>
    </row>
    <row r="18" spans="2:22">
      <c r="B18" s="14"/>
      <c r="C18" s="15"/>
      <c r="D18" s="15"/>
      <c r="E18" s="14" t="s">
        <v>83</v>
      </c>
      <c r="F18" s="14"/>
      <c r="G18" s="14"/>
      <c r="H18" s="14"/>
      <c r="I18" s="14"/>
      <c r="J18" s="14"/>
      <c r="K18" s="14"/>
      <c r="L18" s="14"/>
      <c r="M18" s="14"/>
      <c r="N18" s="14"/>
      <c r="O18" s="14"/>
      <c r="P18" s="14"/>
      <c r="Q18" s="14"/>
      <c r="R18" s="14"/>
      <c r="S18" s="14"/>
      <c r="T18" s="14"/>
      <c r="U18" s="14"/>
      <c r="V18" s="14"/>
    </row>
    <row r="19" spans="2:22">
      <c r="B19" s="14"/>
      <c r="C19" s="15"/>
      <c r="D19" s="15"/>
      <c r="E19" s="14" t="s">
        <v>84</v>
      </c>
      <c r="F19" s="14"/>
      <c r="G19" s="14"/>
      <c r="H19" s="14"/>
      <c r="I19" s="14"/>
      <c r="J19" s="14"/>
      <c r="K19" s="14"/>
      <c r="L19" s="14"/>
      <c r="M19" s="14"/>
      <c r="N19" s="14"/>
      <c r="O19" s="14"/>
      <c r="P19" s="14"/>
      <c r="Q19" s="14"/>
      <c r="R19" s="14"/>
      <c r="S19" s="14"/>
      <c r="T19" s="14"/>
      <c r="U19" s="14"/>
      <c r="V19" s="14"/>
    </row>
    <row r="20" spans="2:22">
      <c r="B20" s="14"/>
      <c r="C20" s="15"/>
      <c r="D20" s="15"/>
      <c r="E20" s="14" t="s">
        <v>85</v>
      </c>
      <c r="F20" s="14"/>
      <c r="G20" s="14"/>
      <c r="H20" s="14"/>
      <c r="I20" s="14"/>
      <c r="J20" s="14"/>
      <c r="K20" s="14"/>
      <c r="L20" s="14"/>
      <c r="M20" s="14"/>
      <c r="N20" s="14"/>
      <c r="O20" s="14"/>
      <c r="P20" s="14"/>
      <c r="Q20" s="14"/>
      <c r="R20" s="14"/>
      <c r="S20" s="14"/>
      <c r="T20" s="14"/>
      <c r="U20" s="14"/>
      <c r="V20" s="14"/>
    </row>
    <row r="21" spans="2:22">
      <c r="B21" s="14"/>
      <c r="C21" s="15"/>
      <c r="D21" s="15"/>
      <c r="E21" s="14" t="s">
        <v>86</v>
      </c>
      <c r="F21" s="14"/>
      <c r="G21" s="14"/>
      <c r="H21" s="14"/>
      <c r="I21" s="14"/>
      <c r="J21" s="14"/>
      <c r="K21" s="14"/>
      <c r="L21" s="14"/>
      <c r="M21" s="14"/>
      <c r="N21" s="14"/>
      <c r="O21" s="14"/>
      <c r="P21" s="14"/>
      <c r="Q21" s="14"/>
      <c r="R21" s="14"/>
      <c r="S21" s="14"/>
      <c r="T21" s="14"/>
      <c r="U21" s="14"/>
      <c r="V21" s="14"/>
    </row>
    <row r="22" spans="2:22">
      <c r="B22" s="14"/>
      <c r="C22" s="15"/>
      <c r="D22" s="15"/>
      <c r="E22" s="14" t="s">
        <v>87</v>
      </c>
      <c r="F22" s="14"/>
      <c r="G22" s="14"/>
      <c r="H22" s="14"/>
      <c r="I22" s="14"/>
      <c r="J22" s="14"/>
      <c r="K22" s="14"/>
      <c r="L22" s="14"/>
      <c r="M22" s="14"/>
      <c r="N22" s="14"/>
      <c r="O22" s="14"/>
      <c r="P22" s="14"/>
      <c r="Q22" s="14"/>
      <c r="R22" s="14"/>
      <c r="S22" s="14"/>
      <c r="T22" s="14"/>
      <c r="U22" s="14"/>
      <c r="V22" s="14"/>
    </row>
    <row r="23" spans="2:22">
      <c r="B23" s="14"/>
      <c r="C23" s="15"/>
      <c r="D23" s="15"/>
      <c r="E23" s="14" t="s">
        <v>639</v>
      </c>
      <c r="F23" s="14"/>
      <c r="G23" s="14"/>
      <c r="H23" s="14"/>
      <c r="I23" s="14"/>
      <c r="J23" s="14"/>
      <c r="K23" s="14"/>
      <c r="L23" s="14"/>
      <c r="M23" s="14"/>
      <c r="N23" s="14"/>
      <c r="O23" s="14"/>
      <c r="P23" s="14"/>
      <c r="Q23" s="14"/>
      <c r="R23" s="14"/>
      <c r="S23" s="14"/>
      <c r="T23" s="14"/>
      <c r="U23" s="14"/>
      <c r="V23" s="14"/>
    </row>
    <row r="24" spans="2:22">
      <c r="B24" s="14"/>
      <c r="C24" s="15"/>
      <c r="D24" s="15"/>
      <c r="E24" s="14" t="s">
        <v>640</v>
      </c>
      <c r="F24" s="14"/>
      <c r="G24" s="14"/>
      <c r="H24" s="14"/>
      <c r="I24" s="14"/>
      <c r="J24" s="14"/>
      <c r="K24" s="14"/>
      <c r="L24" s="14"/>
      <c r="M24" s="14"/>
      <c r="N24" s="14"/>
      <c r="O24" s="14"/>
      <c r="P24" s="14"/>
      <c r="Q24" s="14"/>
      <c r="R24" s="14"/>
      <c r="S24" s="14"/>
      <c r="T24" s="14"/>
      <c r="U24" s="14"/>
      <c r="V24" s="14"/>
    </row>
    <row r="25" spans="2:22">
      <c r="B25" s="14"/>
      <c r="C25" s="15"/>
      <c r="D25" s="15"/>
      <c r="E25" s="14" t="s">
        <v>641</v>
      </c>
      <c r="F25" s="14"/>
      <c r="G25" s="14"/>
      <c r="H25" s="14"/>
      <c r="I25" s="14"/>
      <c r="J25" s="14"/>
      <c r="K25" s="14"/>
      <c r="L25" s="14"/>
      <c r="M25" s="14"/>
      <c r="N25" s="14"/>
      <c r="O25" s="14"/>
      <c r="P25" s="14"/>
      <c r="Q25" s="14"/>
      <c r="R25" s="14"/>
      <c r="S25" s="14"/>
      <c r="T25" s="14"/>
      <c r="U25" s="14"/>
      <c r="V25" s="14"/>
    </row>
    <row r="26" spans="2:22">
      <c r="B26" s="14"/>
      <c r="C26" s="15"/>
      <c r="D26" s="15"/>
      <c r="E26" s="14" t="s">
        <v>642</v>
      </c>
      <c r="F26" s="14"/>
      <c r="G26" s="14"/>
      <c r="H26" s="14"/>
      <c r="I26" s="14"/>
      <c r="J26" s="14"/>
      <c r="K26" s="14"/>
      <c r="L26" s="14"/>
      <c r="M26" s="14"/>
      <c r="N26" s="14"/>
      <c r="O26" s="14"/>
      <c r="P26" s="14"/>
      <c r="Q26" s="14"/>
      <c r="R26" s="14"/>
      <c r="S26" s="14"/>
      <c r="T26" s="14"/>
      <c r="U26" s="14"/>
      <c r="V26" s="14"/>
    </row>
    <row r="27" spans="2:22">
      <c r="B27" s="14"/>
      <c r="C27" s="15"/>
      <c r="D27" s="15"/>
      <c r="E27" s="14" t="s">
        <v>643</v>
      </c>
      <c r="F27" s="14"/>
      <c r="G27" s="14"/>
      <c r="H27" s="14"/>
      <c r="I27" s="14"/>
      <c r="J27" s="14"/>
      <c r="K27" s="14"/>
      <c r="L27" s="14"/>
      <c r="M27" s="14"/>
      <c r="N27" s="14"/>
      <c r="O27" s="14"/>
      <c r="P27" s="14"/>
      <c r="Q27" s="14"/>
      <c r="R27" s="14"/>
      <c r="S27" s="14"/>
      <c r="T27" s="14"/>
      <c r="U27" s="14"/>
      <c r="V27" s="14"/>
    </row>
    <row r="28" spans="2:22">
      <c r="B28" s="14"/>
      <c r="C28" s="14"/>
      <c r="D28" s="14"/>
      <c r="E28" s="14"/>
      <c r="F28" s="14"/>
      <c r="G28" s="14"/>
      <c r="H28" s="14"/>
      <c r="I28" s="14"/>
      <c r="J28" s="14"/>
      <c r="K28" s="14"/>
      <c r="L28" s="14"/>
      <c r="M28" s="14"/>
      <c r="N28" s="14"/>
      <c r="O28" s="14"/>
      <c r="P28" s="14"/>
      <c r="Q28" s="14"/>
      <c r="R28" s="14"/>
      <c r="S28" s="14"/>
      <c r="T28" s="14"/>
      <c r="U28" s="14"/>
      <c r="V28" s="14"/>
    </row>
    <row r="29" spans="2:22">
      <c r="B29" s="14"/>
      <c r="C29" s="14"/>
      <c r="D29" s="14"/>
      <c r="E29" s="450"/>
      <c r="F29" s="450"/>
      <c r="G29" s="450"/>
      <c r="H29" s="450"/>
      <c r="I29" s="450"/>
      <c r="J29" s="450"/>
      <c r="K29" s="450"/>
      <c r="L29" s="450"/>
      <c r="M29" s="450"/>
      <c r="N29" s="450"/>
      <c r="O29" s="450"/>
      <c r="P29" s="450"/>
      <c r="Q29" s="450"/>
      <c r="R29" s="450"/>
      <c r="S29" s="450"/>
      <c r="T29" s="450"/>
      <c r="U29" s="450"/>
      <c r="V29" s="14"/>
    </row>
    <row r="30" spans="2:22">
      <c r="B30" s="14"/>
      <c r="C30" s="14"/>
      <c r="D30" s="14"/>
      <c r="E30" s="450" t="s">
        <v>25</v>
      </c>
      <c r="F30" s="450"/>
      <c r="G30" s="25"/>
      <c r="H30" s="448" t="s">
        <v>42</v>
      </c>
      <c r="I30" s="448"/>
      <c r="J30" s="25"/>
      <c r="K30" s="448" t="s">
        <v>27</v>
      </c>
      <c r="L30" s="448"/>
      <c r="M30" s="25"/>
      <c r="N30" s="448" t="s">
        <v>28</v>
      </c>
      <c r="O30" s="448"/>
      <c r="P30" s="25"/>
      <c r="Q30" s="448" t="s">
        <v>29</v>
      </c>
      <c r="R30" s="448"/>
      <c r="S30" s="25"/>
      <c r="T30" s="450" t="s">
        <v>30</v>
      </c>
      <c r="U30" s="450"/>
      <c r="V30" s="14"/>
    </row>
    <row r="31" spans="2:22" ht="21" customHeight="1">
      <c r="B31" s="14"/>
      <c r="C31" s="14"/>
      <c r="D31" s="14"/>
      <c r="E31" s="18" t="s">
        <v>88</v>
      </c>
      <c r="F31" s="18" t="s">
        <v>89</v>
      </c>
      <c r="G31" s="25"/>
      <c r="H31" s="51" t="s">
        <v>88</v>
      </c>
      <c r="I31" s="18" t="s">
        <v>89</v>
      </c>
      <c r="J31" s="25"/>
      <c r="K31" s="18" t="s">
        <v>88</v>
      </c>
      <c r="L31" s="18" t="s">
        <v>89</v>
      </c>
      <c r="M31" s="25"/>
      <c r="N31" s="18" t="s">
        <v>88</v>
      </c>
      <c r="O31" s="18" t="s">
        <v>89</v>
      </c>
      <c r="P31" s="25"/>
      <c r="Q31" s="18" t="s">
        <v>88</v>
      </c>
      <c r="R31" s="18" t="s">
        <v>89</v>
      </c>
      <c r="S31" s="25"/>
      <c r="T31" s="18" t="s">
        <v>88</v>
      </c>
      <c r="U31" s="18" t="s">
        <v>89</v>
      </c>
      <c r="V31" s="14"/>
    </row>
    <row r="32" spans="2:22" ht="30">
      <c r="B32" s="14"/>
      <c r="C32" s="27"/>
      <c r="D32" s="108" t="s">
        <v>90</v>
      </c>
      <c r="E32" s="58" t="s">
        <v>91</v>
      </c>
      <c r="F32" s="58" t="s">
        <v>91</v>
      </c>
      <c r="G32" s="319"/>
      <c r="H32" s="320" t="s">
        <v>91</v>
      </c>
      <c r="I32" s="320" t="s">
        <v>91</v>
      </c>
      <c r="J32" s="319"/>
      <c r="K32" s="320" t="s">
        <v>91</v>
      </c>
      <c r="L32" s="320" t="s">
        <v>91</v>
      </c>
      <c r="M32" s="319"/>
      <c r="N32" s="320" t="s">
        <v>91</v>
      </c>
      <c r="O32" s="320" t="s">
        <v>91</v>
      </c>
      <c r="P32" s="319"/>
      <c r="Q32" s="320" t="s">
        <v>91</v>
      </c>
      <c r="R32" s="320" t="s">
        <v>91</v>
      </c>
      <c r="S32" s="319"/>
      <c r="T32" s="320" t="s">
        <v>91</v>
      </c>
      <c r="U32" s="320" t="s">
        <v>91</v>
      </c>
      <c r="V32" s="14"/>
    </row>
    <row r="33" spans="2:22">
      <c r="B33" s="14"/>
      <c r="C33" s="6"/>
      <c r="D33" s="105"/>
      <c r="E33" s="194"/>
      <c r="F33" s="194"/>
      <c r="G33" s="228"/>
      <c r="H33" s="194"/>
      <c r="I33" s="194"/>
      <c r="J33" s="228"/>
      <c r="K33" s="194"/>
      <c r="L33" s="194"/>
      <c r="M33" s="228"/>
      <c r="N33" s="194"/>
      <c r="O33" s="194"/>
      <c r="P33" s="228"/>
      <c r="Q33" s="194"/>
      <c r="R33" s="194"/>
      <c r="S33" s="228"/>
      <c r="T33" s="194"/>
      <c r="U33" s="194"/>
      <c r="V33" s="14"/>
    </row>
    <row r="34" spans="2:22">
      <c r="B34" s="14"/>
      <c r="C34" s="321" t="s">
        <v>92</v>
      </c>
      <c r="D34" s="106"/>
      <c r="E34" s="194"/>
      <c r="F34" s="194"/>
      <c r="G34" s="228"/>
      <c r="H34" s="194"/>
      <c r="I34" s="194"/>
      <c r="J34" s="228"/>
      <c r="K34" s="194"/>
      <c r="L34" s="194"/>
      <c r="M34" s="228"/>
      <c r="N34" s="194"/>
      <c r="O34" s="194"/>
      <c r="P34" s="228"/>
      <c r="Q34" s="194"/>
      <c r="R34" s="194"/>
      <c r="S34" s="228"/>
      <c r="T34" s="194"/>
      <c r="U34" s="194"/>
      <c r="V34" s="14"/>
    </row>
    <row r="35" spans="2:22">
      <c r="B35" s="14"/>
      <c r="C35" s="176" t="str">
        <f>C77</f>
        <v>Income from cider apples sales per hectare SA/SP orchard</v>
      </c>
      <c r="D35" s="106"/>
      <c r="E35" s="194"/>
      <c r="F35" s="194">
        <f>$E$77</f>
        <v>195.20000000000002</v>
      </c>
      <c r="G35" s="228"/>
      <c r="H35" s="194"/>
      <c r="I35" s="194">
        <f>$E$77</f>
        <v>195.20000000000002</v>
      </c>
      <c r="J35" s="228"/>
      <c r="K35" s="194"/>
      <c r="L35" s="194">
        <f>$E$77</f>
        <v>195.20000000000002</v>
      </c>
      <c r="M35" s="228"/>
      <c r="N35" s="194"/>
      <c r="O35" s="194">
        <f>$E$77</f>
        <v>195.20000000000002</v>
      </c>
      <c r="P35" s="228"/>
      <c r="Q35" s="194"/>
      <c r="R35" s="194">
        <f>$E$77</f>
        <v>195.20000000000002</v>
      </c>
      <c r="S35" s="228"/>
      <c r="T35" s="194"/>
      <c r="U35" s="194">
        <f>$E$77</f>
        <v>195.20000000000002</v>
      </c>
      <c r="V35" s="14"/>
    </row>
    <row r="36" spans="2:22">
      <c r="B36" s="14"/>
      <c r="C36" s="176" t="s">
        <v>93</v>
      </c>
      <c r="D36" s="147" cm="1">
        <f t="array" ref="D36">_xlfn.IFS('Overview and dashboard'!S13="Poor",0,'Overview and dashboard'!S13="Moderate",0.08,'Overview and dashboard'!S13="Good",0.11)</f>
        <v>0.08</v>
      </c>
      <c r="E36" s="194"/>
      <c r="F36" s="194"/>
      <c r="G36" s="228"/>
      <c r="H36" s="194"/>
      <c r="I36" s="194"/>
      <c r="J36" s="228"/>
      <c r="K36" s="194"/>
      <c r="L36" s="194">
        <f>$D$36*$E$83</f>
        <v>0</v>
      </c>
      <c r="M36" s="228"/>
      <c r="N36" s="194"/>
      <c r="O36" s="194">
        <f>$D$36*$E$84</f>
        <v>0</v>
      </c>
      <c r="P36" s="228"/>
      <c r="Q36" s="194"/>
      <c r="R36" s="194">
        <f>$D$36*$E$85</f>
        <v>0</v>
      </c>
      <c r="S36" s="228"/>
      <c r="T36" s="194"/>
      <c r="U36" s="194"/>
      <c r="V36" s="14"/>
    </row>
    <row r="37" spans="2:22">
      <c r="B37" s="14"/>
      <c r="C37" s="176" t="s">
        <v>632</v>
      </c>
      <c r="D37" s="147" cm="1">
        <f t="array" ref="D37">_xlfn.IFS('Overview and dashboard'!S13="Poor",0,'Overview and dashboard'!S13="Moderate",0.01,'Overview and dashboard'!S13="Good",0.02)</f>
        <v>0.01</v>
      </c>
      <c r="E37" s="194"/>
      <c r="F37" s="194"/>
      <c r="G37" s="228"/>
      <c r="H37" s="194"/>
      <c r="I37" s="194"/>
      <c r="J37" s="228"/>
      <c r="K37" s="194"/>
      <c r="L37" s="194"/>
      <c r="M37" s="228"/>
      <c r="N37" s="194"/>
      <c r="O37" s="194"/>
      <c r="P37" s="228"/>
      <c r="Q37" s="194"/>
      <c r="R37" s="194"/>
      <c r="S37" s="228"/>
      <c r="T37" s="194"/>
      <c r="U37" s="194">
        <f>T43+$D$37*$E$86</f>
        <v>0</v>
      </c>
      <c r="V37" s="14"/>
    </row>
    <row r="38" spans="2:22">
      <c r="B38" s="14"/>
      <c r="C38" s="176"/>
      <c r="D38" s="106"/>
      <c r="E38" s="194"/>
      <c r="F38" s="194"/>
      <c r="G38" s="228"/>
      <c r="H38" s="194"/>
      <c r="I38" s="194"/>
      <c r="J38" s="228"/>
      <c r="K38" s="194"/>
      <c r="L38" s="194"/>
      <c r="M38" s="228"/>
      <c r="N38" s="194"/>
      <c r="O38" s="194"/>
      <c r="P38" s="228"/>
      <c r="Q38" s="194"/>
      <c r="R38" s="194"/>
      <c r="S38" s="228"/>
      <c r="T38" s="194"/>
      <c r="U38" s="194"/>
      <c r="V38" s="14"/>
    </row>
    <row r="39" spans="2:22">
      <c r="B39" s="14"/>
      <c r="C39" s="321" t="s">
        <v>94</v>
      </c>
      <c r="D39" s="106"/>
      <c r="E39" s="194"/>
      <c r="F39" s="194"/>
      <c r="G39" s="228"/>
      <c r="H39" s="194"/>
      <c r="I39" s="194"/>
      <c r="J39" s="228"/>
      <c r="K39" s="194"/>
      <c r="L39" s="194"/>
      <c r="M39" s="228"/>
      <c r="N39" s="194"/>
      <c r="O39" s="194"/>
      <c r="P39" s="228"/>
      <c r="Q39" s="194"/>
      <c r="R39" s="194"/>
      <c r="S39" s="228"/>
      <c r="T39" s="194"/>
      <c r="U39" s="194"/>
      <c r="V39" s="14"/>
    </row>
    <row r="40" spans="2:22" ht="15.75" thickBot="1">
      <c r="B40" s="14"/>
      <c r="C40" s="176"/>
      <c r="D40" s="106"/>
      <c r="E40" s="194"/>
      <c r="F40" s="194"/>
      <c r="G40" s="228"/>
      <c r="H40" s="194"/>
      <c r="I40" s="194"/>
      <c r="J40" s="228"/>
      <c r="K40" s="194"/>
      <c r="L40" s="194"/>
      <c r="M40" s="228"/>
      <c r="N40" s="194"/>
      <c r="O40" s="194"/>
      <c r="P40" s="228"/>
      <c r="Q40" s="194"/>
      <c r="R40" s="194"/>
      <c r="S40" s="228"/>
      <c r="T40" s="194"/>
      <c r="U40" s="194"/>
      <c r="V40" s="14"/>
    </row>
    <row r="41" spans="2:22" ht="16.5" thickTop="1" thickBot="1">
      <c r="B41" s="14"/>
      <c r="C41" s="24" t="s">
        <v>68</v>
      </c>
      <c r="D41" s="107"/>
      <c r="E41" s="195">
        <f>SUM(E35:E39)</f>
        <v>0</v>
      </c>
      <c r="F41" s="195">
        <f>SUM(F35:F39)</f>
        <v>195.20000000000002</v>
      </c>
      <c r="G41" s="196"/>
      <c r="H41" s="195">
        <f>SUM(H34:H40)</f>
        <v>0</v>
      </c>
      <c r="I41" s="195">
        <f>SUM(I35:I40)</f>
        <v>195.20000000000002</v>
      </c>
      <c r="J41" s="196"/>
      <c r="K41" s="195">
        <f>SUM(K34:K40)</f>
        <v>0</v>
      </c>
      <c r="L41" s="195">
        <f>SUM(L35:L40)</f>
        <v>195.20000000000002</v>
      </c>
      <c r="M41" s="196"/>
      <c r="N41" s="195">
        <f>SUM(N34:N40)</f>
        <v>0</v>
      </c>
      <c r="O41" s="195">
        <f>SUM(O35:O40)</f>
        <v>195.20000000000002</v>
      </c>
      <c r="P41" s="196"/>
      <c r="Q41" s="195">
        <f>SUM(Q34:Q40)</f>
        <v>0</v>
      </c>
      <c r="R41" s="195">
        <f>SUM(R35:R40)</f>
        <v>195.20000000000002</v>
      </c>
      <c r="S41" s="196"/>
      <c r="T41" s="195">
        <f>SUM(T34:T40)</f>
        <v>0</v>
      </c>
      <c r="U41" s="195">
        <f>SUM(U35:U40)</f>
        <v>195.20000000000002</v>
      </c>
      <c r="V41" s="14"/>
    </row>
    <row r="42" spans="2:22" ht="15.75" thickTop="1">
      <c r="B42" s="14"/>
      <c r="C42" s="321" t="s">
        <v>95</v>
      </c>
      <c r="D42" s="105"/>
      <c r="E42" s="194"/>
      <c r="F42" s="194"/>
      <c r="G42" s="228"/>
      <c r="H42" s="194"/>
      <c r="I42" s="194"/>
      <c r="J42" s="228"/>
      <c r="K42" s="194"/>
      <c r="L42" s="194"/>
      <c r="M42" s="228"/>
      <c r="N42" s="194"/>
      <c r="O42" s="194"/>
      <c r="P42" s="228"/>
      <c r="Q42" s="194"/>
      <c r="R42" s="194"/>
      <c r="S42" s="228"/>
      <c r="T42" s="194"/>
      <c r="U42" s="194"/>
      <c r="V42" s="14"/>
    </row>
    <row r="43" spans="2:22">
      <c r="B43" s="14"/>
      <c r="C43" s="176" t="str">
        <f>C80</f>
        <v>Agricultural gross margin lost (TYFA)</v>
      </c>
      <c r="D43" s="105"/>
      <c r="E43" s="194">
        <f>$H$81</f>
        <v>0</v>
      </c>
      <c r="F43" s="194"/>
      <c r="G43" s="228"/>
      <c r="H43" s="194">
        <f>H82</f>
        <v>0</v>
      </c>
      <c r="I43" s="194"/>
      <c r="J43" s="228"/>
      <c r="K43" s="194">
        <f>H83</f>
        <v>0</v>
      </c>
      <c r="L43" s="194"/>
      <c r="M43" s="228"/>
      <c r="N43" s="194">
        <f>H84</f>
        <v>0</v>
      </c>
      <c r="O43" s="194"/>
      <c r="P43" s="228"/>
      <c r="Q43" s="194">
        <f>H85</f>
        <v>0</v>
      </c>
      <c r="R43" s="194"/>
      <c r="S43" s="228"/>
      <c r="T43" s="194">
        <f>H86</f>
        <v>0</v>
      </c>
      <c r="U43" s="194"/>
      <c r="V43" s="14"/>
    </row>
    <row r="44" spans="2:22">
      <c r="B44" s="14"/>
      <c r="C44" s="176" t="s">
        <v>96</v>
      </c>
      <c r="D44" s="241">
        <f>E139</f>
        <v>7.4999999999999997E-2</v>
      </c>
      <c r="E44" s="194">
        <f>$E$81*$E$138*($E$139)</f>
        <v>0</v>
      </c>
      <c r="F44" s="194"/>
      <c r="G44" s="228"/>
      <c r="H44" s="194">
        <f>$E$82*$E$138*($E$139)</f>
        <v>0</v>
      </c>
      <c r="I44" s="194"/>
      <c r="J44" s="228"/>
      <c r="K44" s="194"/>
      <c r="L44" s="194"/>
      <c r="M44" s="228"/>
      <c r="N44" s="194"/>
      <c r="O44" s="194"/>
      <c r="P44" s="228"/>
      <c r="Q44" s="194"/>
      <c r="R44" s="194"/>
      <c r="S44" s="228"/>
      <c r="T44" s="194"/>
      <c r="U44" s="194"/>
      <c r="V44" s="14"/>
    </row>
    <row r="45" spans="2:22">
      <c r="B45" s="14"/>
      <c r="C45" s="176"/>
      <c r="D45" s="105"/>
      <c r="E45" s="194"/>
      <c r="F45" s="194"/>
      <c r="G45" s="228"/>
      <c r="H45" s="194"/>
      <c r="I45" s="194"/>
      <c r="J45" s="228"/>
      <c r="K45" s="194"/>
      <c r="L45" s="194"/>
      <c r="M45" s="228"/>
      <c r="N45" s="194"/>
      <c r="O45" s="194"/>
      <c r="P45" s="228"/>
      <c r="Q45" s="194"/>
      <c r="R45" s="194"/>
      <c r="S45" s="228"/>
      <c r="T45" s="194"/>
      <c r="U45" s="194"/>
      <c r="V45" s="14"/>
    </row>
    <row r="46" spans="2:22">
      <c r="B46" s="14"/>
      <c r="C46" s="321" t="s">
        <v>97</v>
      </c>
      <c r="D46" s="105"/>
      <c r="E46" s="194"/>
      <c r="F46" s="194"/>
      <c r="G46" s="228"/>
      <c r="H46" s="194"/>
      <c r="I46" s="194"/>
      <c r="J46" s="228"/>
      <c r="K46" s="194"/>
      <c r="L46" s="194"/>
      <c r="M46" s="228"/>
      <c r="N46" s="194"/>
      <c r="O46" s="194"/>
      <c r="P46" s="228"/>
      <c r="Q46" s="194"/>
      <c r="R46" s="194"/>
      <c r="S46" s="228"/>
      <c r="T46" s="194"/>
      <c r="U46" s="194"/>
      <c r="V46" s="14"/>
    </row>
    <row r="47" spans="2:22">
      <c r="B47" s="14"/>
      <c r="C47" s="321" t="s">
        <v>98</v>
      </c>
      <c r="D47" s="105"/>
      <c r="E47" s="194"/>
      <c r="F47" s="194"/>
      <c r="G47" s="228"/>
      <c r="H47" s="194"/>
      <c r="I47" s="194"/>
      <c r="J47" s="228"/>
      <c r="K47" s="194"/>
      <c r="L47" s="194"/>
      <c r="M47" s="228"/>
      <c r="N47" s="194"/>
      <c r="O47" s="194"/>
      <c r="P47" s="228"/>
      <c r="Q47" s="194"/>
      <c r="R47" s="194"/>
      <c r="S47" s="228"/>
      <c r="T47" s="194"/>
      <c r="U47" s="194"/>
      <c r="V47" s="14"/>
    </row>
    <row r="48" spans="2:22">
      <c r="B48" s="14"/>
      <c r="C48" s="176" t="str">
        <f>C98</f>
        <v>Average annual orchard establishment costs over 25 year period</v>
      </c>
      <c r="D48" s="105"/>
      <c r="E48" s="194">
        <f>$E$98</f>
        <v>96.48</v>
      </c>
      <c r="F48" s="194"/>
      <c r="G48" s="228"/>
      <c r="H48" s="194">
        <f>$E$98</f>
        <v>96.48</v>
      </c>
      <c r="I48" s="194"/>
      <c r="J48" s="228"/>
      <c r="K48" s="194">
        <f>$E$98</f>
        <v>96.48</v>
      </c>
      <c r="L48" s="194"/>
      <c r="M48" s="228"/>
      <c r="N48" s="194">
        <f>$E$98</f>
        <v>96.48</v>
      </c>
      <c r="O48" s="194"/>
      <c r="P48" s="228"/>
      <c r="Q48" s="194">
        <f>$E$98</f>
        <v>96.48</v>
      </c>
      <c r="R48" s="194"/>
      <c r="S48" s="228"/>
      <c r="T48" s="194">
        <f>$E$98</f>
        <v>96.48</v>
      </c>
      <c r="U48" s="194"/>
      <c r="V48" s="14"/>
    </row>
    <row r="49" spans="2:22">
      <c r="B49" s="14"/>
      <c r="C49" s="176"/>
      <c r="D49" s="106"/>
      <c r="E49" s="194"/>
      <c r="F49" s="194"/>
      <c r="G49" s="228"/>
      <c r="H49" s="194"/>
      <c r="I49" s="194"/>
      <c r="J49" s="228"/>
      <c r="K49" s="194"/>
      <c r="L49" s="194"/>
      <c r="M49" s="228"/>
      <c r="N49" s="194"/>
      <c r="O49" s="194"/>
      <c r="P49" s="228"/>
      <c r="Q49" s="194"/>
      <c r="R49" s="194"/>
      <c r="S49" s="228"/>
      <c r="T49" s="194"/>
      <c r="U49" s="194"/>
      <c r="V49" s="14"/>
    </row>
    <row r="50" spans="2:22">
      <c r="B50" s="14"/>
      <c r="C50" s="321" t="s">
        <v>99</v>
      </c>
      <c r="D50" s="106"/>
      <c r="E50" s="194"/>
      <c r="F50" s="194"/>
      <c r="G50" s="228"/>
      <c r="H50" s="194"/>
      <c r="I50" s="194"/>
      <c r="J50" s="228"/>
      <c r="K50" s="194"/>
      <c r="L50" s="194"/>
      <c r="M50" s="228"/>
      <c r="N50" s="194"/>
      <c r="O50" s="194"/>
      <c r="P50" s="228"/>
      <c r="Q50" s="194"/>
      <c r="R50" s="194"/>
      <c r="S50" s="228"/>
      <c r="T50" s="194"/>
      <c r="U50" s="194"/>
      <c r="V50" s="14"/>
    </row>
    <row r="51" spans="2:22">
      <c r="B51" s="14"/>
      <c r="C51" s="176" t="s">
        <v>100</v>
      </c>
      <c r="D51" s="105"/>
      <c r="E51" s="194">
        <f>$E$105</f>
        <v>128</v>
      </c>
      <c r="F51" s="194"/>
      <c r="G51" s="228"/>
      <c r="H51" s="194">
        <f>$E$105</f>
        <v>128</v>
      </c>
      <c r="I51" s="194"/>
      <c r="J51" s="228"/>
      <c r="K51" s="194">
        <f>$E$105</f>
        <v>128</v>
      </c>
      <c r="L51" s="194"/>
      <c r="M51" s="228"/>
      <c r="N51" s="194">
        <f>$E$105</f>
        <v>128</v>
      </c>
      <c r="O51" s="194"/>
      <c r="P51" s="228"/>
      <c r="Q51" s="194">
        <f>$E$105</f>
        <v>128</v>
      </c>
      <c r="R51" s="194"/>
      <c r="S51" s="228"/>
      <c r="T51" s="194">
        <f>$E$105</f>
        <v>128</v>
      </c>
      <c r="U51" s="194"/>
      <c r="V51" s="14"/>
    </row>
    <row r="52" spans="2:22">
      <c r="B52" s="14"/>
      <c r="C52" s="176"/>
      <c r="D52" s="105"/>
      <c r="E52" s="194"/>
      <c r="F52" s="194"/>
      <c r="G52" s="228"/>
      <c r="H52" s="194"/>
      <c r="I52" s="194"/>
      <c r="J52" s="228"/>
      <c r="K52" s="194"/>
      <c r="L52" s="194"/>
      <c r="M52" s="228"/>
      <c r="N52" s="194"/>
      <c r="O52" s="194"/>
      <c r="P52" s="228"/>
      <c r="Q52" s="194"/>
      <c r="R52" s="194"/>
      <c r="S52" s="228"/>
      <c r="T52" s="194"/>
      <c r="U52" s="194"/>
      <c r="V52" s="14"/>
    </row>
    <row r="53" spans="2:22">
      <c r="B53" s="14"/>
      <c r="C53" s="321" t="s">
        <v>101</v>
      </c>
      <c r="D53" s="105"/>
      <c r="E53" s="194"/>
      <c r="F53" s="194"/>
      <c r="G53" s="228"/>
      <c r="H53" s="194"/>
      <c r="I53" s="194"/>
      <c r="J53" s="228"/>
      <c r="K53" s="194"/>
      <c r="L53" s="194"/>
      <c r="M53" s="228"/>
      <c r="N53" s="194"/>
      <c r="O53" s="194"/>
      <c r="P53" s="228"/>
      <c r="Q53" s="194"/>
      <c r="R53" s="194"/>
      <c r="S53" s="228"/>
      <c r="T53" s="194"/>
      <c r="U53" s="194"/>
      <c r="V53" s="14"/>
    </row>
    <row r="54" spans="2:22" ht="15.75" thickBot="1">
      <c r="B54" s="14"/>
      <c r="C54" s="176" t="str">
        <f>C113</f>
        <v>Average annual maintenance costs for orchard over 25 year period</v>
      </c>
      <c r="D54" s="145"/>
      <c r="E54" s="194">
        <f>$E$113</f>
        <v>69.296000000000006</v>
      </c>
      <c r="F54" s="194"/>
      <c r="G54" s="228"/>
      <c r="H54" s="194">
        <f>$E$113</f>
        <v>69.296000000000006</v>
      </c>
      <c r="I54" s="194"/>
      <c r="J54" s="228"/>
      <c r="K54" s="194">
        <f>$E$113</f>
        <v>69.296000000000006</v>
      </c>
      <c r="L54" s="194"/>
      <c r="M54" s="228"/>
      <c r="N54" s="194">
        <f>$E$113</f>
        <v>69.296000000000006</v>
      </c>
      <c r="O54" s="194"/>
      <c r="P54" s="228"/>
      <c r="Q54" s="194">
        <f>$E$113</f>
        <v>69.296000000000006</v>
      </c>
      <c r="R54" s="194"/>
      <c r="S54" s="228"/>
      <c r="T54" s="194">
        <f>$E$113</f>
        <v>69.296000000000006</v>
      </c>
      <c r="U54" s="194"/>
      <c r="V54" s="14"/>
    </row>
    <row r="55" spans="2:22" ht="16.5" thickTop="1" thickBot="1">
      <c r="B55" s="14"/>
      <c r="C55" s="24" t="s">
        <v>68</v>
      </c>
      <c r="D55" s="107"/>
      <c r="E55" s="195">
        <f>SUM(E43:E54)</f>
        <v>293.77600000000001</v>
      </c>
      <c r="F55" s="195">
        <f>SUM(F43:F54)</f>
        <v>0</v>
      </c>
      <c r="G55" s="196"/>
      <c r="H55" s="195">
        <f>SUM(H43:H54)</f>
        <v>293.77600000000001</v>
      </c>
      <c r="I55" s="195">
        <f>SUM(I43:I54)</f>
        <v>0</v>
      </c>
      <c r="J55" s="196"/>
      <c r="K55" s="195">
        <f>SUM(K43:K54)</f>
        <v>293.77600000000001</v>
      </c>
      <c r="L55" s="195">
        <f>SUM(L43:L54)</f>
        <v>0</v>
      </c>
      <c r="M55" s="196"/>
      <c r="N55" s="195">
        <f>SUM(N43:N54)</f>
        <v>293.77600000000001</v>
      </c>
      <c r="O55" s="195">
        <f>SUM(O43:O54)</f>
        <v>0</v>
      </c>
      <c r="P55" s="196"/>
      <c r="Q55" s="195">
        <f>SUM(Q43:Q54)</f>
        <v>293.77600000000001</v>
      </c>
      <c r="R55" s="195">
        <f>SUM(R43:R54)</f>
        <v>0</v>
      </c>
      <c r="S55" s="196"/>
      <c r="T55" s="195">
        <f>SUM(T43:T54)</f>
        <v>293.77600000000001</v>
      </c>
      <c r="U55" s="195">
        <f>SUM(U43:U54)</f>
        <v>0</v>
      </c>
      <c r="V55" s="14"/>
    </row>
    <row r="56" spans="2:22" ht="15.75" thickTop="1">
      <c r="B56" s="14"/>
      <c r="C56" s="317"/>
      <c r="D56" s="322"/>
      <c r="E56" s="252"/>
      <c r="F56" s="252"/>
      <c r="G56" s="269"/>
      <c r="H56" s="252"/>
      <c r="I56" s="252"/>
      <c r="J56" s="269"/>
      <c r="K56" s="252"/>
      <c r="L56" s="252"/>
      <c r="M56" s="269"/>
      <c r="N56" s="252"/>
      <c r="O56" s="252"/>
      <c r="P56" s="269"/>
      <c r="Q56" s="252"/>
      <c r="R56" s="252"/>
      <c r="S56" s="269"/>
      <c r="T56" s="252"/>
      <c r="U56" s="252"/>
      <c r="V56" s="14"/>
    </row>
    <row r="57" spans="2:22">
      <c r="B57" s="14"/>
      <c r="C57" s="19" t="s">
        <v>75</v>
      </c>
      <c r="D57" s="22"/>
      <c r="E57" s="197">
        <f>-E41-E55</f>
        <v>-293.77600000000001</v>
      </c>
      <c r="F57" s="197">
        <f>F41+F55</f>
        <v>195.20000000000002</v>
      </c>
      <c r="G57" s="198"/>
      <c r="H57" s="197">
        <f>-H41-H55</f>
        <v>-293.77600000000001</v>
      </c>
      <c r="I57" s="197">
        <f>I41+I55</f>
        <v>195.20000000000002</v>
      </c>
      <c r="J57" s="198"/>
      <c r="K57" s="197">
        <f>-K41-K55</f>
        <v>-293.77600000000001</v>
      </c>
      <c r="L57" s="197">
        <f>L41+L55</f>
        <v>195.20000000000002</v>
      </c>
      <c r="M57" s="198"/>
      <c r="N57" s="197">
        <f>-N41-N55</f>
        <v>-293.77600000000001</v>
      </c>
      <c r="O57" s="197">
        <f>O41+O55</f>
        <v>195.20000000000002</v>
      </c>
      <c r="P57" s="198"/>
      <c r="Q57" s="197">
        <f>-Q41-Q55</f>
        <v>-293.77600000000001</v>
      </c>
      <c r="R57" s="197">
        <f>R41+R55</f>
        <v>195.20000000000002</v>
      </c>
      <c r="S57" s="198"/>
      <c r="T57" s="197">
        <f>-T41-T55</f>
        <v>-293.77600000000001</v>
      </c>
      <c r="U57" s="197">
        <f>U41+U55</f>
        <v>195.20000000000002</v>
      </c>
      <c r="V57" s="14"/>
    </row>
    <row r="58" spans="2:22" ht="4.5" customHeight="1">
      <c r="B58" s="14"/>
      <c r="C58" s="2"/>
      <c r="D58" s="1"/>
      <c r="E58" s="199"/>
      <c r="F58" s="199"/>
      <c r="G58" s="200"/>
      <c r="H58" s="199"/>
      <c r="I58" s="199"/>
      <c r="J58" s="200"/>
      <c r="K58" s="199"/>
      <c r="L58" s="199"/>
      <c r="M58" s="200"/>
      <c r="N58" s="199"/>
      <c r="O58" s="199"/>
      <c r="P58" s="200"/>
      <c r="Q58" s="199"/>
      <c r="R58" s="199"/>
      <c r="S58" s="200"/>
      <c r="T58" s="199"/>
      <c r="U58" s="199"/>
      <c r="V58" s="14"/>
    </row>
    <row r="59" spans="2:22">
      <c r="B59" s="14"/>
      <c r="C59" s="29" t="s">
        <v>102</v>
      </c>
      <c r="D59" s="92"/>
      <c r="E59" s="201"/>
      <c r="F59" s="201">
        <f>F57+E57</f>
        <v>-98.575999999999993</v>
      </c>
      <c r="G59" s="200"/>
      <c r="H59" s="201"/>
      <c r="I59" s="201">
        <f>I57+H57</f>
        <v>-98.575999999999993</v>
      </c>
      <c r="J59" s="200"/>
      <c r="K59" s="201"/>
      <c r="L59" s="201">
        <f>L57+K57</f>
        <v>-98.575999999999993</v>
      </c>
      <c r="M59" s="200"/>
      <c r="N59" s="201"/>
      <c r="O59" s="201">
        <f>O57+N57</f>
        <v>-98.575999999999993</v>
      </c>
      <c r="P59" s="200"/>
      <c r="Q59" s="201"/>
      <c r="R59" s="201">
        <f>R57+Q57</f>
        <v>-98.575999999999993</v>
      </c>
      <c r="S59" s="200"/>
      <c r="T59" s="201"/>
      <c r="U59" s="201">
        <f>U57+T57</f>
        <v>-98.575999999999993</v>
      </c>
      <c r="V59" s="14"/>
    </row>
    <row r="60" spans="2:22">
      <c r="B60" s="14"/>
      <c r="C60" s="321" t="s">
        <v>103</v>
      </c>
      <c r="D60" s="105"/>
      <c r="E60" s="202"/>
      <c r="F60" s="202"/>
      <c r="G60" s="323"/>
      <c r="H60" s="202"/>
      <c r="I60" s="202"/>
      <c r="J60" s="323"/>
      <c r="K60" s="202"/>
      <c r="L60" s="202"/>
      <c r="M60" s="323"/>
      <c r="N60" s="202"/>
      <c r="O60" s="202"/>
      <c r="P60" s="323"/>
      <c r="Q60" s="202"/>
      <c r="R60" s="202"/>
      <c r="S60" s="323"/>
      <c r="T60" s="202"/>
      <c r="U60" s="202"/>
      <c r="V60" s="14"/>
    </row>
    <row r="61" spans="2:22">
      <c r="B61" s="14"/>
      <c r="C61" s="321"/>
      <c r="D61" s="105"/>
      <c r="E61" s="253"/>
      <c r="F61" s="253"/>
      <c r="G61" s="323"/>
      <c r="H61" s="253"/>
      <c r="I61" s="253"/>
      <c r="J61" s="323"/>
      <c r="K61" s="253"/>
      <c r="L61" s="253"/>
      <c r="M61" s="323"/>
      <c r="N61" s="253"/>
      <c r="O61" s="253"/>
      <c r="P61" s="323"/>
      <c r="Q61" s="253"/>
      <c r="R61" s="253"/>
      <c r="S61" s="323"/>
      <c r="T61" s="253"/>
      <c r="U61" s="253"/>
      <c r="V61" s="14"/>
    </row>
    <row r="62" spans="2:22">
      <c r="B62" s="14"/>
      <c r="C62" s="321"/>
      <c r="D62" s="105"/>
      <c r="E62" s="253"/>
      <c r="F62" s="253"/>
      <c r="G62" s="323"/>
      <c r="H62" s="253"/>
      <c r="I62" s="253"/>
      <c r="J62" s="323"/>
      <c r="K62" s="253"/>
      <c r="L62" s="253"/>
      <c r="M62" s="323"/>
      <c r="N62" s="253"/>
      <c r="O62" s="253"/>
      <c r="P62" s="323"/>
      <c r="Q62" s="253"/>
      <c r="R62" s="253"/>
      <c r="S62" s="323"/>
      <c r="T62" s="253"/>
      <c r="U62" s="253"/>
      <c r="V62" s="14"/>
    </row>
    <row r="63" spans="2:22">
      <c r="B63" s="14"/>
      <c r="C63" s="176" t="s">
        <v>104</v>
      </c>
      <c r="D63" s="105"/>
      <c r="E63" s="253"/>
      <c r="F63" s="260" cm="1">
        <f t="array" ref="F63">_xlfn.IFS('Overview and dashboard'!$S$9="No support",0,'Overview and dashboard'!$S$9="Current support schemes",IFERROR(VLOOKUP('Overview and dashboard'!$F$6,'1 - SA SP Orchards'!$C$144:$H$157,6,0),0),'Overview and dashboard'!$S$9="Income foregone",E55-F35)</f>
        <v>0</v>
      </c>
      <c r="G63" s="269"/>
      <c r="H63" s="260"/>
      <c r="I63" s="260" cm="1">
        <f t="array" ref="I63">_xlfn.IFS('Overview and dashboard'!$S$9="No support",0,'Overview and dashboard'!$S$9="Current support schemes",IFERROR(VLOOKUP('Overview and dashboard'!$F$6,'1 - SA SP Orchards'!$C$144:$H$157,6,0),0),'Overview and dashboard'!$S$9="Income foregone",H55-I35)</f>
        <v>0</v>
      </c>
      <c r="J63" s="269"/>
      <c r="K63" s="260"/>
      <c r="L63" s="260" cm="1">
        <f t="array" ref="L63">_xlfn.IFS('Overview and dashboard'!$S$9="No support",0,'Overview and dashboard'!$S$9="Current support schemes",IFERROR(VLOOKUP('Overview and dashboard'!$F$6,'1 - SA SP Orchards'!$C$144:$H$157,6,0),0),'Overview and dashboard'!$S$9="Income foregone",K55-L35)</f>
        <v>0</v>
      </c>
      <c r="M63" s="269"/>
      <c r="N63" s="260"/>
      <c r="O63" s="260" cm="1">
        <f t="array" ref="O63">_xlfn.IFS('Overview and dashboard'!$S$9="No support",0,'Overview and dashboard'!$S$9="Current support schemes",IFERROR(VLOOKUP('Overview and dashboard'!$F$6,'1 - SA SP Orchards'!$C$144:$H$157,6,0),0),'Overview and dashboard'!$S$9="Income foregone",N55-O35)</f>
        <v>0</v>
      </c>
      <c r="P63" s="269"/>
      <c r="Q63" s="260"/>
      <c r="R63" s="260" cm="1">
        <f t="array" ref="R63">_xlfn.IFS('Overview and dashboard'!$S$9="No support",0,'Overview and dashboard'!$S$9="Current support schemes",IFERROR(VLOOKUP('Overview and dashboard'!$F$6,'1 - SA SP Orchards'!$C$144:$H$157,6,0),0),'Overview and dashboard'!$S$9="Income foregone",Q55-R35)</f>
        <v>0</v>
      </c>
      <c r="S63" s="269"/>
      <c r="T63" s="260"/>
      <c r="U63" s="260" cm="1">
        <f t="array" ref="U63">_xlfn.IFS('Overview and dashboard'!$S$9="No support",0,'Overview and dashboard'!$S$9="Current support schemes",IFERROR(VLOOKUP('Overview and dashboard'!$F$6,'1 - SA SP Orchards'!$C$144:$H$157,6,0),0),'Overview and dashboard'!$S$9="Income foregone",T55-U35)</f>
        <v>0</v>
      </c>
      <c r="V63" s="14"/>
    </row>
    <row r="64" spans="2:22" ht="15.75" thickBot="1">
      <c r="B64" s="14"/>
      <c r="C64" s="317" t="s">
        <v>105</v>
      </c>
      <c r="D64" s="324">
        <f>E126</f>
        <v>0</v>
      </c>
      <c r="E64" s="325"/>
      <c r="F64" s="254">
        <f>$E$127</f>
        <v>0</v>
      </c>
      <c r="G64" s="269"/>
      <c r="H64" s="325"/>
      <c r="I64" s="254">
        <f>$E$127</f>
        <v>0</v>
      </c>
      <c r="J64" s="269"/>
      <c r="K64" s="325"/>
      <c r="L64" s="254">
        <f>$E$127</f>
        <v>0</v>
      </c>
      <c r="M64" s="269"/>
      <c r="N64" s="325"/>
      <c r="O64" s="254">
        <f>$E$127</f>
        <v>0</v>
      </c>
      <c r="P64" s="269"/>
      <c r="Q64" s="325"/>
      <c r="R64" s="254">
        <f>$E$127</f>
        <v>0</v>
      </c>
      <c r="S64" s="269"/>
      <c r="T64" s="325"/>
      <c r="U64" s="254">
        <f>$E$127</f>
        <v>0</v>
      </c>
      <c r="V64" s="14"/>
    </row>
    <row r="65" spans="2:22" ht="16.5" thickTop="1" thickBot="1">
      <c r="B65" s="14"/>
      <c r="C65" s="24" t="s">
        <v>68</v>
      </c>
      <c r="D65" s="107"/>
      <c r="E65" s="195">
        <f>SUM(E60:E64)</f>
        <v>0</v>
      </c>
      <c r="F65" s="195">
        <f>SUM(F60:F64)</f>
        <v>0</v>
      </c>
      <c r="G65" s="196"/>
      <c r="H65" s="195">
        <f>SUM(H60:H64)</f>
        <v>0</v>
      </c>
      <c r="I65" s="195">
        <f>SUM(I60:I64)</f>
        <v>0</v>
      </c>
      <c r="J65" s="196"/>
      <c r="K65" s="195">
        <f>SUM(K60:K64)</f>
        <v>0</v>
      </c>
      <c r="L65" s="195">
        <f>SUM(L60:L64)</f>
        <v>0</v>
      </c>
      <c r="M65" s="196"/>
      <c r="N65" s="195">
        <f>SUM(N60:N64)</f>
        <v>0</v>
      </c>
      <c r="O65" s="195">
        <f>SUM(O60:O64)</f>
        <v>0</v>
      </c>
      <c r="P65" s="196"/>
      <c r="Q65" s="195">
        <f>SUM(Q60:Q64)</f>
        <v>0</v>
      </c>
      <c r="R65" s="195">
        <f>SUM(R60:R64)</f>
        <v>0</v>
      </c>
      <c r="S65" s="196"/>
      <c r="T65" s="195">
        <f>SUM(T60:T64)</f>
        <v>0</v>
      </c>
      <c r="U65" s="195">
        <f>SUM(U60:U64)</f>
        <v>0</v>
      </c>
      <c r="V65" s="14"/>
    </row>
    <row r="66" spans="2:22" ht="15.75" thickTop="1">
      <c r="B66" s="14"/>
      <c r="C66" s="29" t="s">
        <v>106</v>
      </c>
      <c r="D66" s="92"/>
      <c r="E66" s="201"/>
      <c r="F66" s="201">
        <f>F59+F65</f>
        <v>-98.575999999999993</v>
      </c>
      <c r="G66" s="200"/>
      <c r="H66" s="201"/>
      <c r="I66" s="201">
        <f>I59+I65</f>
        <v>-98.575999999999993</v>
      </c>
      <c r="J66" s="200"/>
      <c r="K66" s="201"/>
      <c r="L66" s="201">
        <f>L59+L65</f>
        <v>-98.575999999999993</v>
      </c>
      <c r="M66" s="200"/>
      <c r="N66" s="201"/>
      <c r="O66" s="201">
        <f>O59+O65</f>
        <v>-98.575999999999993</v>
      </c>
      <c r="P66" s="200"/>
      <c r="Q66" s="201"/>
      <c r="R66" s="201">
        <f>R59+R65</f>
        <v>-98.575999999999993</v>
      </c>
      <c r="S66" s="200"/>
      <c r="T66" s="201"/>
      <c r="U66" s="201">
        <f>U59+U65</f>
        <v>-98.575999999999993</v>
      </c>
      <c r="V66" s="14"/>
    </row>
    <row r="67" spans="2:22">
      <c r="B67" s="14"/>
      <c r="C67" s="14"/>
      <c r="D67" s="14"/>
      <c r="E67" s="14"/>
      <c r="F67" s="14"/>
      <c r="G67" s="14"/>
      <c r="H67" s="14"/>
      <c r="I67" s="14"/>
      <c r="J67" s="14"/>
      <c r="K67" s="14"/>
      <c r="L67" s="14"/>
      <c r="M67" s="14"/>
      <c r="N67" s="14"/>
      <c r="O67" s="14"/>
      <c r="P67" s="14"/>
      <c r="Q67" s="14"/>
      <c r="R67" s="14"/>
      <c r="S67" s="14"/>
      <c r="T67" s="14"/>
      <c r="U67" s="14"/>
      <c r="V67" s="14"/>
    </row>
    <row r="68" spans="2:22" ht="15.75" thickBot="1"/>
    <row r="69" spans="2:22">
      <c r="C69" s="451" t="s">
        <v>107</v>
      </c>
      <c r="D69" s="452"/>
      <c r="E69" s="453"/>
    </row>
    <row r="70" spans="2:22">
      <c r="C70" s="94" t="s">
        <v>108</v>
      </c>
      <c r="D70" s="63" t="s">
        <v>109</v>
      </c>
      <c r="E70" s="71" t="s">
        <v>110</v>
      </c>
    </row>
    <row r="71" spans="2:22">
      <c r="C71" s="47" t="s">
        <v>111</v>
      </c>
      <c r="D71" s="40" t="s">
        <v>112</v>
      </c>
      <c r="E71" s="60">
        <v>35</v>
      </c>
    </row>
    <row r="72" spans="2:22">
      <c r="C72" s="47" t="s">
        <v>113</v>
      </c>
      <c r="D72" s="40" t="s">
        <v>114</v>
      </c>
      <c r="E72" s="74">
        <v>3500</v>
      </c>
    </row>
    <row r="73" spans="2:22">
      <c r="C73" s="47" t="s">
        <v>115</v>
      </c>
      <c r="D73" s="40" t="s">
        <v>116</v>
      </c>
      <c r="E73" s="74">
        <f>E71/E72</f>
        <v>0.01</v>
      </c>
    </row>
    <row r="74" spans="2:22">
      <c r="C74" s="47" t="s">
        <v>117</v>
      </c>
      <c r="D74" s="40" t="s">
        <v>114</v>
      </c>
      <c r="E74" s="74">
        <v>160</v>
      </c>
    </row>
    <row r="75" spans="2:22">
      <c r="C75" s="47" t="s">
        <v>118</v>
      </c>
      <c r="D75" s="40" t="s">
        <v>119</v>
      </c>
      <c r="E75" s="60">
        <v>122</v>
      </c>
    </row>
    <row r="76" spans="2:22">
      <c r="C76" s="94" t="s">
        <v>120</v>
      </c>
      <c r="D76" s="63" t="s">
        <v>116</v>
      </c>
      <c r="E76" s="71">
        <f>E74*E73</f>
        <v>1.6</v>
      </c>
    </row>
    <row r="77" spans="2:22" ht="15.75" thickBot="1">
      <c r="C77" s="56" t="s">
        <v>121</v>
      </c>
      <c r="D77" s="57" t="s">
        <v>122</v>
      </c>
      <c r="E77" s="68">
        <f>E76*E75</f>
        <v>195.20000000000002</v>
      </c>
    </row>
    <row r="78" spans="2:22" ht="15.75" thickBot="1"/>
    <row r="79" spans="2:22" s="28" customFormat="1" ht="16.5" customHeight="1">
      <c r="C79" s="454" t="s">
        <v>123</v>
      </c>
      <c r="D79" s="455"/>
      <c r="E79" s="455"/>
      <c r="F79" s="455"/>
      <c r="G79" s="455"/>
      <c r="H79" s="456"/>
    </row>
    <row r="80" spans="2:22" s="28" customFormat="1" ht="90" customHeight="1">
      <c r="C80" s="78" t="s">
        <v>124</v>
      </c>
      <c r="D80" s="59" t="s">
        <v>125</v>
      </c>
      <c r="E80" s="59" t="s">
        <v>126</v>
      </c>
      <c r="F80" s="59" t="s">
        <v>127</v>
      </c>
      <c r="G80" s="298"/>
      <c r="H80" s="79" t="s">
        <v>128</v>
      </c>
    </row>
    <row r="81" spans="3:8">
      <c r="C81" s="47" t="s">
        <v>129</v>
      </c>
      <c r="D81" s="40">
        <f>Baseline!$D$24</f>
        <v>0</v>
      </c>
      <c r="E81" s="40">
        <f>Baseline!D23</f>
        <v>0</v>
      </c>
      <c r="F81" s="62">
        <v>0.08</v>
      </c>
      <c r="H81" s="71">
        <f t="shared" ref="H81:H84" si="0">D81*F81</f>
        <v>0</v>
      </c>
    </row>
    <row r="82" spans="3:8">
      <c r="C82" s="47" t="s">
        <v>42</v>
      </c>
      <c r="D82" s="40">
        <f>Baseline!$E$24</f>
        <v>0</v>
      </c>
      <c r="E82" s="40">
        <f>Baseline!E23</f>
        <v>0</v>
      </c>
      <c r="F82" s="62">
        <v>0.08</v>
      </c>
      <c r="H82" s="71">
        <f t="shared" si="0"/>
        <v>0</v>
      </c>
    </row>
    <row r="83" spans="3:8">
      <c r="C83" s="47" t="s">
        <v>27</v>
      </c>
      <c r="D83" s="40">
        <f>Baseline!$F$24</f>
        <v>0</v>
      </c>
      <c r="E83" s="40">
        <f>Baseline!F23</f>
        <v>0</v>
      </c>
      <c r="F83" s="62">
        <v>0.08</v>
      </c>
      <c r="H83" s="71">
        <f t="shared" si="0"/>
        <v>0</v>
      </c>
    </row>
    <row r="84" spans="3:8">
      <c r="C84" s="47" t="s">
        <v>28</v>
      </c>
      <c r="D84" s="40">
        <f>Baseline!$G$24</f>
        <v>0</v>
      </c>
      <c r="E84" s="40">
        <f>Baseline!G23</f>
        <v>0</v>
      </c>
      <c r="F84" s="62">
        <v>0.08</v>
      </c>
      <c r="H84" s="71">
        <f t="shared" si="0"/>
        <v>0</v>
      </c>
    </row>
    <row r="85" spans="3:8">
      <c r="C85" s="47" t="s">
        <v>29</v>
      </c>
      <c r="D85" s="40">
        <f>Baseline!$H$24</f>
        <v>0</v>
      </c>
      <c r="E85" s="40">
        <f>Baseline!H23</f>
        <v>0</v>
      </c>
      <c r="F85" s="62">
        <v>0.08</v>
      </c>
      <c r="H85" s="71">
        <f>D85*F85</f>
        <v>0</v>
      </c>
    </row>
    <row r="86" spans="3:8" ht="15.75" thickBot="1">
      <c r="C86" s="65" t="s">
        <v>30</v>
      </c>
      <c r="D86" s="66">
        <f>Baseline!$I$24</f>
        <v>0</v>
      </c>
      <c r="E86" s="175">
        <f>Baseline!I23</f>
        <v>0</v>
      </c>
      <c r="F86" s="72">
        <v>0.08</v>
      </c>
      <c r="G86" s="175"/>
      <c r="H86" s="68">
        <f>D86*F86</f>
        <v>0</v>
      </c>
    </row>
    <row r="87" spans="3:8" ht="15.75" thickBot="1"/>
    <row r="88" spans="3:8">
      <c r="C88" s="460" t="s">
        <v>130</v>
      </c>
      <c r="D88" s="461"/>
      <c r="E88" s="462"/>
    </row>
    <row r="89" spans="3:8">
      <c r="C89" s="94" t="s">
        <v>131</v>
      </c>
      <c r="D89" s="63" t="s">
        <v>109</v>
      </c>
      <c r="E89" s="71" t="s">
        <v>132</v>
      </c>
    </row>
    <row r="90" spans="3:8">
      <c r="C90" s="47" t="s">
        <v>133</v>
      </c>
      <c r="D90" s="40" t="s">
        <v>64</v>
      </c>
      <c r="E90" s="48">
        <v>80</v>
      </c>
    </row>
    <row r="91" spans="3:8">
      <c r="C91" s="47" t="s">
        <v>134</v>
      </c>
      <c r="D91" s="40" t="s">
        <v>64</v>
      </c>
      <c r="E91" s="48">
        <v>170</v>
      </c>
    </row>
    <row r="92" spans="3:8">
      <c r="C92" s="47" t="s">
        <v>135</v>
      </c>
      <c r="D92" s="40" t="s">
        <v>64</v>
      </c>
      <c r="E92" s="48">
        <v>100</v>
      </c>
    </row>
    <row r="93" spans="3:8">
      <c r="C93" s="47" t="s">
        <v>136</v>
      </c>
      <c r="D93" s="40" t="s">
        <v>137</v>
      </c>
      <c r="E93" s="48">
        <v>10.9</v>
      </c>
    </row>
    <row r="94" spans="3:8">
      <c r="C94" s="47" t="s">
        <v>138</v>
      </c>
      <c r="D94" s="40" t="s">
        <v>137</v>
      </c>
      <c r="E94" s="48">
        <v>4</v>
      </c>
    </row>
    <row r="95" spans="3:8">
      <c r="C95" s="47" t="s">
        <v>139</v>
      </c>
      <c r="D95" s="40" t="s">
        <v>140</v>
      </c>
      <c r="E95" s="64">
        <v>0.08</v>
      </c>
    </row>
    <row r="96" spans="3:8">
      <c r="C96" s="47" t="s">
        <v>141</v>
      </c>
      <c r="D96" s="40" t="s">
        <v>114</v>
      </c>
      <c r="E96" s="60">
        <v>160</v>
      </c>
    </row>
    <row r="97" spans="3:6">
      <c r="C97" s="52" t="s">
        <v>142</v>
      </c>
      <c r="D97" s="53"/>
      <c r="E97" s="69">
        <f>SUM(E90:E92)*E95+SUM(E93:E94)*E96</f>
        <v>2412</v>
      </c>
    </row>
    <row r="98" spans="3:6" ht="15.75" thickBot="1">
      <c r="C98" s="54" t="s">
        <v>143</v>
      </c>
      <c r="D98" s="55"/>
      <c r="E98" s="50">
        <f>E97*0.04</f>
        <v>96.48</v>
      </c>
    </row>
    <row r="99" spans="3:6" ht="15.75" thickBot="1">
      <c r="C99" s="42"/>
      <c r="D99" s="43"/>
    </row>
    <row r="100" spans="3:6">
      <c r="C100" s="460" t="s">
        <v>144</v>
      </c>
      <c r="D100" s="461"/>
      <c r="E100" s="461"/>
      <c r="F100" s="462"/>
    </row>
    <row r="101" spans="3:6">
      <c r="C101" s="94" t="s">
        <v>145</v>
      </c>
      <c r="D101" s="63" t="s">
        <v>109</v>
      </c>
      <c r="E101" s="63" t="s">
        <v>132</v>
      </c>
      <c r="F101" s="71" t="s">
        <v>146</v>
      </c>
    </row>
    <row r="102" spans="3:6">
      <c r="C102" s="47" t="s">
        <v>147</v>
      </c>
      <c r="D102" s="40" t="s">
        <v>148</v>
      </c>
      <c r="E102" s="63"/>
      <c r="F102" s="71"/>
    </row>
    <row r="103" spans="3:6">
      <c r="C103" s="47" t="s">
        <v>149</v>
      </c>
      <c r="D103" s="40" t="s">
        <v>119</v>
      </c>
      <c r="E103" s="41">
        <v>70</v>
      </c>
      <c r="F103" s="48">
        <f>E103*0.87</f>
        <v>60.9</v>
      </c>
    </row>
    <row r="104" spans="3:6">
      <c r="C104" s="47" t="s">
        <v>150</v>
      </c>
      <c r="D104" s="40" t="s">
        <v>119</v>
      </c>
      <c r="E104" s="41">
        <v>10</v>
      </c>
      <c r="F104" s="48">
        <f>E104*0.87</f>
        <v>8.6999999999999993</v>
      </c>
    </row>
    <row r="105" spans="3:6" ht="15.75" thickBot="1">
      <c r="C105" s="56" t="s">
        <v>151</v>
      </c>
      <c r="D105" s="57"/>
      <c r="E105" s="299">
        <f>SUM(E103:E104)*E76</f>
        <v>128</v>
      </c>
      <c r="F105" s="50">
        <f>SUM(F103:F104)</f>
        <v>69.599999999999994</v>
      </c>
    </row>
    <row r="106" spans="3:6" ht="15.75" thickBot="1"/>
    <row r="107" spans="3:6">
      <c r="C107" s="451" t="s">
        <v>144</v>
      </c>
      <c r="D107" s="452"/>
      <c r="E107" s="453"/>
    </row>
    <row r="108" spans="3:6">
      <c r="C108" s="78" t="s">
        <v>101</v>
      </c>
      <c r="D108" s="63" t="s">
        <v>109</v>
      </c>
      <c r="E108" s="71" t="s">
        <v>110</v>
      </c>
    </row>
    <row r="109" spans="3:6">
      <c r="C109" s="75" t="s">
        <v>152</v>
      </c>
      <c r="D109" s="40" t="s">
        <v>64</v>
      </c>
      <c r="E109" s="48">
        <f>E97*0.2</f>
        <v>482.40000000000003</v>
      </c>
    </row>
    <row r="110" spans="3:6">
      <c r="C110" s="75" t="s">
        <v>153</v>
      </c>
      <c r="D110" s="40" t="s">
        <v>148</v>
      </c>
      <c r="E110" s="48"/>
    </row>
    <row r="111" spans="3:6">
      <c r="C111" s="75" t="s">
        <v>154</v>
      </c>
      <c r="D111" s="40" t="s">
        <v>155</v>
      </c>
      <c r="E111" s="48">
        <f>50*25</f>
        <v>1250</v>
      </c>
    </row>
    <row r="112" spans="3:6">
      <c r="C112" s="75" t="s">
        <v>156</v>
      </c>
      <c r="D112" s="40" t="s">
        <v>122</v>
      </c>
      <c r="E112" s="48">
        <f>SUM(E109:E111)</f>
        <v>1732.4</v>
      </c>
    </row>
    <row r="113" spans="3:6" ht="15.75" thickBot="1">
      <c r="C113" s="86" t="s">
        <v>157</v>
      </c>
      <c r="D113" s="57" t="s">
        <v>122</v>
      </c>
      <c r="E113" s="50">
        <f>E112*0.04</f>
        <v>69.296000000000006</v>
      </c>
    </row>
    <row r="114" spans="3:6" ht="15.75" thickBot="1"/>
    <row r="115" spans="3:6">
      <c r="C115" s="457" t="s">
        <v>158</v>
      </c>
      <c r="D115" s="458"/>
      <c r="E115" s="459"/>
    </row>
    <row r="116" spans="3:6" ht="45">
      <c r="C116" s="78" t="s">
        <v>159</v>
      </c>
      <c r="D116" s="59" t="s">
        <v>160</v>
      </c>
      <c r="E116" s="79" t="s">
        <v>161</v>
      </c>
    </row>
    <row r="117" spans="3:6">
      <c r="C117" s="75" t="s">
        <v>162</v>
      </c>
      <c r="D117" s="100">
        <v>0.03</v>
      </c>
      <c r="E117" s="208" t="s">
        <v>163</v>
      </c>
    </row>
    <row r="118" spans="3:6">
      <c r="C118" s="335" t="s">
        <v>162</v>
      </c>
      <c r="D118" s="336">
        <v>0.03</v>
      </c>
      <c r="E118" s="337" t="s">
        <v>164</v>
      </c>
    </row>
    <row r="119" spans="3:6">
      <c r="C119" s="335" t="s">
        <v>633</v>
      </c>
      <c r="D119" s="339" t="s">
        <v>634</v>
      </c>
      <c r="E119" s="337" t="s">
        <v>635</v>
      </c>
    </row>
    <row r="120" spans="3:6" ht="15.75" thickBot="1">
      <c r="C120" s="77" t="s">
        <v>633</v>
      </c>
      <c r="D120" s="338" t="s">
        <v>634</v>
      </c>
      <c r="E120" s="141" t="s">
        <v>636</v>
      </c>
    </row>
    <row r="121" spans="3:6" ht="15.75" thickBot="1"/>
    <row r="122" spans="3:6">
      <c r="C122" s="463" t="s">
        <v>165</v>
      </c>
      <c r="D122" s="464"/>
      <c r="E122" s="464"/>
      <c r="F122" s="465"/>
    </row>
    <row r="123" spans="3:6">
      <c r="C123" s="94" t="s">
        <v>166</v>
      </c>
      <c r="D123" s="63" t="s">
        <v>109</v>
      </c>
      <c r="E123" s="63" t="s">
        <v>110</v>
      </c>
      <c r="F123" s="71" t="s">
        <v>167</v>
      </c>
    </row>
    <row r="124" spans="3:6">
      <c r="C124" s="75" t="s">
        <v>168</v>
      </c>
      <c r="D124" s="40" t="s">
        <v>169</v>
      </c>
      <c r="E124" s="40">
        <v>10</v>
      </c>
      <c r="F124" s="149" t="s">
        <v>170</v>
      </c>
    </row>
    <row r="125" spans="3:6">
      <c r="C125" s="47" t="s">
        <v>127</v>
      </c>
      <c r="D125" s="97" t="s">
        <v>140</v>
      </c>
      <c r="E125" s="97">
        <v>0.08</v>
      </c>
      <c r="F125" s="60"/>
    </row>
    <row r="126" spans="3:6">
      <c r="C126" s="47" t="s">
        <v>171</v>
      </c>
      <c r="D126" s="40" t="s">
        <v>172</v>
      </c>
      <c r="E126" s="40">
        <f>'Overview and dashboard'!S11</f>
        <v>0</v>
      </c>
      <c r="F126" s="60"/>
    </row>
    <row r="127" spans="3:6" ht="15.75" thickBot="1">
      <c r="C127" s="65" t="s">
        <v>173</v>
      </c>
      <c r="D127" s="66" t="s">
        <v>122</v>
      </c>
      <c r="E127" s="66">
        <f>E124*E125*E126</f>
        <v>0</v>
      </c>
      <c r="F127" s="67"/>
    </row>
    <row r="128" spans="3:6" ht="15.75" thickBot="1"/>
    <row r="129" spans="3:8">
      <c r="C129" s="460" t="s">
        <v>174</v>
      </c>
      <c r="D129" s="461"/>
      <c r="E129" s="461"/>
      <c r="F129" s="462"/>
    </row>
    <row r="130" spans="3:8">
      <c r="C130" s="94" t="s">
        <v>175</v>
      </c>
      <c r="D130" s="63" t="s">
        <v>109</v>
      </c>
      <c r="E130" s="63" t="s">
        <v>110</v>
      </c>
      <c r="F130" s="71" t="s">
        <v>167</v>
      </c>
    </row>
    <row r="131" spans="3:8">
      <c r="C131" s="47" t="s">
        <v>176</v>
      </c>
      <c r="D131" s="40" t="s">
        <v>140</v>
      </c>
      <c r="E131" s="97">
        <v>0.15</v>
      </c>
      <c r="F131" s="149" t="s">
        <v>177</v>
      </c>
    </row>
    <row r="132" spans="3:8" ht="15.75" thickBot="1">
      <c r="C132" s="65" t="s">
        <v>176</v>
      </c>
      <c r="D132" s="66" t="s">
        <v>140</v>
      </c>
      <c r="E132" s="224">
        <v>0.17499999999999999</v>
      </c>
      <c r="F132" s="225" t="s">
        <v>178</v>
      </c>
    </row>
    <row r="133" spans="3:8" ht="15.75" thickBot="1"/>
    <row r="134" spans="3:8">
      <c r="C134" s="460" t="s">
        <v>179</v>
      </c>
      <c r="D134" s="461"/>
      <c r="E134" s="461"/>
      <c r="F134" s="462"/>
    </row>
    <row r="135" spans="3:8">
      <c r="C135" s="94" t="s">
        <v>180</v>
      </c>
      <c r="D135" s="63" t="s">
        <v>109</v>
      </c>
      <c r="E135" s="63" t="s">
        <v>110</v>
      </c>
      <c r="F135" s="71" t="s">
        <v>167</v>
      </c>
    </row>
    <row r="136" spans="3:8">
      <c r="C136" s="47" t="s">
        <v>181</v>
      </c>
      <c r="D136" s="40" t="s">
        <v>182</v>
      </c>
      <c r="E136" s="40">
        <v>5</v>
      </c>
      <c r="F136" s="60"/>
    </row>
    <row r="137" spans="3:8">
      <c r="C137" s="47" t="s">
        <v>183</v>
      </c>
      <c r="D137" s="40" t="s">
        <v>182</v>
      </c>
      <c r="E137" s="40">
        <v>400</v>
      </c>
      <c r="F137" s="60"/>
    </row>
    <row r="138" spans="3:8">
      <c r="C138" s="47" t="s">
        <v>184</v>
      </c>
      <c r="D138" s="40" t="s">
        <v>185</v>
      </c>
      <c r="E138" s="40">
        <f>((E136*2-1)*E137)/10000</f>
        <v>0.36</v>
      </c>
      <c r="F138" s="60"/>
    </row>
    <row r="139" spans="3:8" ht="15.75" thickBot="1">
      <c r="C139" s="65" t="s">
        <v>186</v>
      </c>
      <c r="D139" s="66" t="s">
        <v>140</v>
      </c>
      <c r="E139" s="226" cm="1">
        <f t="array" ref="E139">_xlfn.IFS('Overview and dashboard'!S13="Poor",15%,'Overview and dashboard'!S13="Moderate",7.5%,'Overview and dashboard'!S13="Good",0%)</f>
        <v>7.4999999999999997E-2</v>
      </c>
      <c r="F139" s="227" t="s">
        <v>177</v>
      </c>
    </row>
    <row r="140" spans="3:8" ht="15.75" thickBot="1"/>
    <row r="141" spans="3:8">
      <c r="C141" s="460" t="s">
        <v>187</v>
      </c>
      <c r="D141" s="461"/>
      <c r="E141" s="461"/>
      <c r="F141" s="461"/>
      <c r="G141" s="461"/>
      <c r="H141" s="462"/>
    </row>
    <row r="142" spans="3:8">
      <c r="C142" s="466" t="s">
        <v>188</v>
      </c>
      <c r="D142" s="467"/>
      <c r="E142" s="467"/>
      <c r="F142" s="467"/>
      <c r="G142" s="467"/>
      <c r="H142" s="469"/>
    </row>
    <row r="143" spans="3:8" s="28" customFormat="1" ht="120">
      <c r="C143" s="235"/>
      <c r="D143" s="59" t="s">
        <v>109</v>
      </c>
      <c r="E143" s="59" t="s">
        <v>189</v>
      </c>
      <c r="F143" s="59" t="s">
        <v>190</v>
      </c>
      <c r="G143" s="70"/>
      <c r="H143" s="79" t="s">
        <v>191</v>
      </c>
    </row>
    <row r="144" spans="3:8">
      <c r="C144" s="466" t="s">
        <v>1</v>
      </c>
      <c r="D144" s="467"/>
      <c r="E144" s="467"/>
      <c r="F144" s="468"/>
      <c r="G144" s="40"/>
      <c r="H144" s="48">
        <f>(F146+F147)/25</f>
        <v>33.792000000000002</v>
      </c>
    </row>
    <row r="145" spans="3:14">
      <c r="C145" s="94" t="s">
        <v>192</v>
      </c>
      <c r="D145" s="40" t="s">
        <v>64</v>
      </c>
      <c r="E145" s="40">
        <v>212</v>
      </c>
      <c r="F145" s="40">
        <f>E145*1</f>
        <v>212</v>
      </c>
      <c r="G145" s="40"/>
      <c r="H145" s="48"/>
    </row>
    <row r="146" spans="3:14">
      <c r="C146" s="94" t="s">
        <v>193</v>
      </c>
      <c r="D146" s="40" t="s">
        <v>137</v>
      </c>
      <c r="E146" s="40">
        <v>1.28</v>
      </c>
      <c r="F146" s="40">
        <f>E146*E74</f>
        <v>204.8</v>
      </c>
      <c r="G146" s="40"/>
      <c r="H146" s="48"/>
    </row>
    <row r="147" spans="3:14">
      <c r="C147" s="94" t="s">
        <v>194</v>
      </c>
      <c r="D147" s="40" t="s">
        <v>137</v>
      </c>
      <c r="E147" s="40">
        <v>4</v>
      </c>
      <c r="F147" s="40">
        <f>E147*E74</f>
        <v>640</v>
      </c>
      <c r="G147" s="40"/>
      <c r="H147" s="48"/>
    </row>
    <row r="148" spans="3:14">
      <c r="C148" s="466" t="s">
        <v>195</v>
      </c>
      <c r="D148" s="467"/>
      <c r="E148" s="467"/>
      <c r="F148" s="468"/>
      <c r="G148" s="40"/>
      <c r="H148" s="48"/>
    </row>
    <row r="149" spans="3:14">
      <c r="C149" s="94" t="s">
        <v>196</v>
      </c>
      <c r="D149" s="40" t="s">
        <v>137</v>
      </c>
      <c r="E149" s="40">
        <v>3</v>
      </c>
      <c r="F149" s="40">
        <f>E149*E74</f>
        <v>480</v>
      </c>
      <c r="G149" s="40"/>
      <c r="H149" s="48">
        <f>480/25</f>
        <v>19.2</v>
      </c>
    </row>
    <row r="150" spans="3:14">
      <c r="C150" s="94" t="s">
        <v>197</v>
      </c>
      <c r="D150" s="40" t="s">
        <v>198</v>
      </c>
      <c r="E150" s="40">
        <v>2100</v>
      </c>
      <c r="F150" s="40"/>
      <c r="G150" s="40"/>
      <c r="H150" s="48"/>
    </row>
    <row r="151" spans="3:14">
      <c r="C151" s="466" t="s">
        <v>199</v>
      </c>
      <c r="D151" s="467"/>
      <c r="E151" s="467"/>
      <c r="F151" s="468"/>
      <c r="G151" s="40"/>
      <c r="H151" s="48">
        <f>F154/25</f>
        <v>78.400000000000006</v>
      </c>
    </row>
    <row r="152" spans="3:14">
      <c r="C152" s="78" t="s">
        <v>200</v>
      </c>
      <c r="D152" s="70" t="s">
        <v>64</v>
      </c>
      <c r="E152" s="70">
        <v>345.27</v>
      </c>
      <c r="F152" s="40">
        <f>E152*1</f>
        <v>345.27</v>
      </c>
      <c r="G152" s="40"/>
      <c r="H152" s="48"/>
    </row>
    <row r="153" spans="3:14">
      <c r="C153" s="78" t="s">
        <v>201</v>
      </c>
      <c r="D153" s="70" t="s">
        <v>64</v>
      </c>
      <c r="E153" s="70">
        <v>204.78</v>
      </c>
      <c r="F153" s="40">
        <f>E153*1</f>
        <v>204.78</v>
      </c>
      <c r="G153" s="40"/>
      <c r="H153" s="48"/>
    </row>
    <row r="154" spans="3:14">
      <c r="C154" s="78" t="s">
        <v>202</v>
      </c>
      <c r="D154" s="70" t="s">
        <v>64</v>
      </c>
      <c r="E154" s="70">
        <v>1960</v>
      </c>
      <c r="F154" s="70">
        <v>1960</v>
      </c>
      <c r="G154" s="40"/>
      <c r="H154" s="48"/>
    </row>
    <row r="155" spans="3:14">
      <c r="C155" s="466" t="s">
        <v>203</v>
      </c>
      <c r="D155" s="467"/>
      <c r="E155" s="467"/>
      <c r="F155" s="468"/>
      <c r="G155" s="40"/>
      <c r="H155" s="48">
        <f>F157/25</f>
        <v>34.173439999999999</v>
      </c>
    </row>
    <row r="156" spans="3:14">
      <c r="C156" s="78" t="s">
        <v>204</v>
      </c>
      <c r="D156" s="70" t="s">
        <v>64</v>
      </c>
      <c r="E156" s="40">
        <v>379.4</v>
      </c>
      <c r="F156" s="40">
        <f>E156*1</f>
        <v>379.4</v>
      </c>
      <c r="G156" s="40"/>
      <c r="H156" s="48"/>
    </row>
    <row r="157" spans="3:14" ht="15.75" thickBot="1">
      <c r="C157" s="61" t="s">
        <v>205</v>
      </c>
      <c r="D157" s="234" t="s">
        <v>64</v>
      </c>
      <c r="E157" s="66">
        <v>854.33600000000001</v>
      </c>
      <c r="F157" s="66">
        <f>E157*1</f>
        <v>854.33600000000001</v>
      </c>
      <c r="G157" s="66"/>
      <c r="H157" s="237"/>
    </row>
    <row r="158" spans="3:14" ht="15.75" thickBot="1"/>
    <row r="159" spans="3:14">
      <c r="C159" s="463" t="s">
        <v>206</v>
      </c>
      <c r="D159" s="464"/>
      <c r="E159" s="464"/>
      <c r="F159" s="464"/>
      <c r="G159" s="464"/>
      <c r="H159" s="464"/>
      <c r="I159" s="464"/>
      <c r="J159" s="464"/>
      <c r="K159" s="465"/>
    </row>
    <row r="160" spans="3:14">
      <c r="C160" s="78" t="s">
        <v>207</v>
      </c>
      <c r="D160" s="40"/>
      <c r="E160" s="40"/>
      <c r="F160" s="40"/>
      <c r="G160" s="40"/>
      <c r="H160" s="40"/>
      <c r="I160" s="40"/>
      <c r="J160" s="40"/>
      <c r="K160" s="60"/>
      <c r="N160" s="60"/>
    </row>
    <row r="161" spans="3:14" ht="90">
      <c r="C161" s="47" t="s">
        <v>63</v>
      </c>
      <c r="D161" s="70" t="s">
        <v>208</v>
      </c>
      <c r="E161" s="70" t="s">
        <v>209</v>
      </c>
      <c r="F161" s="70" t="s">
        <v>210</v>
      </c>
      <c r="G161" s="40"/>
      <c r="H161" s="70" t="s">
        <v>96</v>
      </c>
      <c r="I161" s="70" t="s">
        <v>93</v>
      </c>
      <c r="J161" s="40"/>
      <c r="K161" s="76" t="s">
        <v>211</v>
      </c>
      <c r="N161" s="76" t="s">
        <v>211</v>
      </c>
    </row>
    <row r="162" spans="3:14">
      <c r="C162" s="47" t="s">
        <v>25</v>
      </c>
      <c r="D162" s="132">
        <f>H162+$E$48+$E$51+$E$54+F162-$F$35</f>
        <v>176.88863517512775</v>
      </c>
      <c r="E162" s="40" cm="1">
        <f t="array" ref="E162">_xlfn.IFS('Overview and dashboard'!$S$9="No support",0,'Overview and dashboard'!$S$9="Current support schemes",IFERROR(VLOOKUP("England",'1 - SA SP Orchards'!$C$144:$H$157,6,0),""),'Overview and dashboard'!$S$9="Income foregone",D162)</f>
        <v>0</v>
      </c>
      <c r="F162" s="40">
        <f>'6 - Lists'!J$25*$F$81</f>
        <v>53.125185186731407</v>
      </c>
      <c r="G162" s="40"/>
      <c r="H162" s="40">
        <f>'6 - Lists'!I$25*$E$138*($E$139)</f>
        <v>25.187449988396327</v>
      </c>
      <c r="I162" s="40"/>
      <c r="J162" s="40"/>
      <c r="K162" s="135">
        <f t="shared" ref="K162:K167" si="1">$F$66-$F$63+$E$43+$E$44-$F$36+E162-F162-H162+I162</f>
        <v>-176.88863517512775</v>
      </c>
      <c r="N162" s="135">
        <f>$F$66-$F$63+$E$43+$E$44-$F$36+E162-F162-H162+I162+D162</f>
        <v>0</v>
      </c>
    </row>
    <row r="163" spans="3:14">
      <c r="C163" s="47" t="s">
        <v>26</v>
      </c>
      <c r="D163" s="132">
        <f>H163+$H$51+$H$54+F163+H48-$I$35</f>
        <v>1124.4094507842976</v>
      </c>
      <c r="E163" s="40" cm="1">
        <f t="array" ref="E163">_xlfn.IFS('Overview and dashboard'!$S$9="No support",0,'Overview and dashboard'!$S$9="Current support schemes",IFERROR(VLOOKUP("England",'1 - SA SP Orchards'!$C$144:$H$157,6,0),""),'Overview and dashboard'!$S$9="Income foregone",D163)</f>
        <v>0</v>
      </c>
      <c r="F163" s="40">
        <f>'6 - Lists'!N$25*$F$82</f>
        <v>647.52403356005868</v>
      </c>
      <c r="G163" s="40"/>
      <c r="H163" s="40">
        <f>'6 - Lists'!M$25*$E$138*($E$139)</f>
        <v>378.3094172242391</v>
      </c>
      <c r="I163" s="40"/>
      <c r="J163" s="40"/>
      <c r="K163" s="135">
        <f t="shared" si="1"/>
        <v>-1124.4094507842979</v>
      </c>
      <c r="N163" s="135">
        <f t="shared" ref="N163:N167" si="2">$F$66-$F$63+$E$43+$E$44-$F$36+E163-F163-H163+I163+D163</f>
        <v>0</v>
      </c>
    </row>
    <row r="164" spans="3:14">
      <c r="C164" s="47" t="s">
        <v>27</v>
      </c>
      <c r="D164" s="132">
        <f>$K$48+$K$51+$K$54+F164-$L$35</f>
        <v>222.66370813496277</v>
      </c>
      <c r="E164" s="40" cm="1">
        <f t="array" ref="E164">_xlfn.IFS('Overview and dashboard'!$S$9="No support",0,'Overview and dashboard'!$S$9="Current support schemes",IFERROR(VLOOKUP("England",'1 - SA SP Orchards'!$C$144:$H$157,6,0),""),'Overview and dashboard'!$S$9="Income foregone",D164)</f>
        <v>0</v>
      </c>
      <c r="F164" s="40">
        <f>'6 - Lists'!R$25*$F$83</f>
        <v>124.08770813496277</v>
      </c>
      <c r="G164" s="40"/>
      <c r="H164" s="40"/>
      <c r="I164" s="40">
        <f>'6 - Lists'!Q$25*$D$36</f>
        <v>263.47872809160833</v>
      </c>
      <c r="J164" s="40"/>
      <c r="K164" s="135">
        <f t="shared" si="1"/>
        <v>40.815019956645585</v>
      </c>
      <c r="N164" s="135">
        <f t="shared" si="2"/>
        <v>263.47872809160833</v>
      </c>
    </row>
    <row r="165" spans="3:14">
      <c r="C165" s="47" t="s">
        <v>28</v>
      </c>
      <c r="D165" s="132">
        <f>$N$48+$N$51+$N$54+F165-$O$35</f>
        <v>109.18542418265318</v>
      </c>
      <c r="E165" s="40" cm="1">
        <f t="array" ref="E165">_xlfn.IFS('Overview and dashboard'!$S$9="No support",0,'Overview and dashboard'!$S$9="Current support schemes",IFERROR(VLOOKUP("England",'1 - SA SP Orchards'!$C$144:$H$157,6,0),""),'Overview and dashboard'!$S$9="Income foregone",D165)</f>
        <v>0</v>
      </c>
      <c r="F165" s="40">
        <f>'6 - Lists'!V$25*$F$84</f>
        <v>10.609424182653212</v>
      </c>
      <c r="G165" s="40"/>
      <c r="H165" s="40"/>
      <c r="I165" s="40">
        <f>'6 - Lists'!U$25*$D$36</f>
        <v>29.716769391263519</v>
      </c>
      <c r="J165" s="40"/>
      <c r="K165" s="135">
        <f t="shared" si="1"/>
        <v>-79.468654791389696</v>
      </c>
      <c r="N165" s="135">
        <f t="shared" si="2"/>
        <v>29.716769391263483</v>
      </c>
    </row>
    <row r="166" spans="3:14">
      <c r="C166" s="47" t="s">
        <v>29</v>
      </c>
      <c r="D166" s="132">
        <f>$Q$48+$Q$51+$Q$54+F166-$R$35</f>
        <v>125.61213909325718</v>
      </c>
      <c r="E166" s="40" cm="1">
        <f t="array" ref="E166">_xlfn.IFS('Overview and dashboard'!$S$9="No support",0,'Overview and dashboard'!$S$9="Current support schemes",IFERROR(VLOOKUP("England",'1 - SA SP Orchards'!$C$144:$H$157,6,0),""),'Overview and dashboard'!$S$9="Income foregone",D166)</f>
        <v>0</v>
      </c>
      <c r="F166" s="40">
        <f>'6 - Lists'!Z$25*$F$85</f>
        <v>27.036139093257166</v>
      </c>
      <c r="G166" s="40"/>
      <c r="H166" s="40"/>
      <c r="I166" s="40">
        <f>'6 - Lists'!Y$25*$D$36</f>
        <v>58.613064395970149</v>
      </c>
      <c r="J166" s="40"/>
      <c r="K166" s="135">
        <f t="shared" si="1"/>
        <v>-66.999074697287</v>
      </c>
      <c r="N166" s="135">
        <f t="shared" si="2"/>
        <v>58.613064395970184</v>
      </c>
    </row>
    <row r="167" spans="3:14" ht="15.75" thickBot="1">
      <c r="C167" s="65" t="s">
        <v>30</v>
      </c>
      <c r="D167" s="280">
        <f>$T$48+$T$51+$T$54+F167-$U$35</f>
        <v>503.33093247749457</v>
      </c>
      <c r="E167" s="66" cm="1">
        <f t="array" ref="E167">_xlfn.IFS('Overview and dashboard'!$S$9="No support",0,'Overview and dashboard'!$S$9="Current support schemes",IFERROR(VLOOKUP("England",'1 - SA SP Orchards'!$C$144:$H$157,6,0),""),'Overview and dashboard'!$S$9="Income foregone",D167)</f>
        <v>0</v>
      </c>
      <c r="F167" s="66">
        <f>'6 - Lists'!AD$25*$F$86</f>
        <v>404.75493247749455</v>
      </c>
      <c r="G167" s="66"/>
      <c r="H167" s="66"/>
      <c r="I167" s="66">
        <f>'6 - Lists'!AC$25*$D$36</f>
        <v>1126.1432963506259</v>
      </c>
      <c r="J167" s="66"/>
      <c r="K167" s="135">
        <f t="shared" si="1"/>
        <v>622.81236387313129</v>
      </c>
      <c r="N167" s="135">
        <f t="shared" si="2"/>
        <v>1126.1432963506259</v>
      </c>
    </row>
    <row r="168" spans="3:14" ht="15.75" thickBot="1"/>
    <row r="169" spans="3:14">
      <c r="C169" s="460" t="s">
        <v>212</v>
      </c>
      <c r="D169" s="461"/>
      <c r="E169" s="461"/>
      <c r="F169" s="461"/>
      <c r="G169" s="461"/>
      <c r="H169" s="461"/>
      <c r="I169" s="461"/>
      <c r="J169" s="461"/>
      <c r="K169" s="462"/>
    </row>
    <row r="170" spans="3:14">
      <c r="C170" s="78" t="s">
        <v>213</v>
      </c>
      <c r="D170" s="40"/>
      <c r="E170" s="40"/>
      <c r="F170" s="40"/>
      <c r="G170" s="40"/>
      <c r="H170" s="40"/>
      <c r="I170" s="40"/>
      <c r="J170" s="40"/>
      <c r="K170" s="60"/>
      <c r="N170" s="60"/>
    </row>
    <row r="171" spans="3:14" ht="90">
      <c r="C171" s="47" t="s">
        <v>63</v>
      </c>
      <c r="D171" s="70" t="s">
        <v>208</v>
      </c>
      <c r="E171" s="70" t="s">
        <v>209</v>
      </c>
      <c r="F171" s="70" t="s">
        <v>210</v>
      </c>
      <c r="G171" s="40"/>
      <c r="H171" s="70" t="s">
        <v>96</v>
      </c>
      <c r="I171" s="70" t="s">
        <v>93</v>
      </c>
      <c r="J171" s="40"/>
      <c r="K171" s="76" t="s">
        <v>211</v>
      </c>
      <c r="N171" s="76" t="s">
        <v>211</v>
      </c>
    </row>
    <row r="172" spans="3:14">
      <c r="C172" s="47" t="s">
        <v>25</v>
      </c>
      <c r="D172" s="132">
        <f>H172+$E$48+$E$51+$E$54+F172-$F$35</f>
        <v>217.07823999999997</v>
      </c>
      <c r="E172" s="40" cm="1">
        <f t="array" ref="E172">_xlfn.IFS('Overview and dashboard'!$S$9="No support",0,'Overview and dashboard'!$S$9="Current support schemes",IFERROR(VLOOKUP("Scotland",'1 - SA SP Orchards'!$C$144:$H$157,6,0),""),'Overview and dashboard'!$S$9="Income foregone",D172)</f>
        <v>0</v>
      </c>
      <c r="F172" s="40">
        <f>'6 - Lists'!J$26*$F$81</f>
        <v>80.960000000000008</v>
      </c>
      <c r="G172" s="40"/>
      <c r="H172" s="40">
        <f>'6 - Lists'!I$26*$E$138*($E$139)</f>
        <v>37.54224</v>
      </c>
      <c r="I172" s="40"/>
      <c r="J172" s="40"/>
      <c r="K172" s="135">
        <f t="shared" ref="K172:K177" si="3">$F$66-$F$63+$E$43+$E$44-$F$36+E172-F172-H172+I172</f>
        <v>-217.07823999999999</v>
      </c>
      <c r="N172" s="135">
        <f>$F$66-$F$63+$E$43+$E$44-$F$36+E172-F172-H172+I172+D172</f>
        <v>0</v>
      </c>
    </row>
    <row r="173" spans="3:14">
      <c r="C173" s="47" t="s">
        <v>26</v>
      </c>
      <c r="D173" s="132">
        <f>H173+$H$51+$H$54+F173+H57-$I$35</f>
        <v>-291.68000000000006</v>
      </c>
      <c r="E173" s="40" cm="1">
        <f t="array" ref="E173">_xlfn.IFS('Overview and dashboard'!$S$9="No support",0,'Overview and dashboard'!$S$9="Current support schemes",IFERROR(VLOOKUP("Scotland",'1 - SA SP Orchards'!$C$144:$H$157,6,0),""),'Overview and dashboard'!$S$9="Income foregone",D173)</f>
        <v>0</v>
      </c>
      <c r="F173" s="40">
        <f>'6 - Lists'!N$26*$F$82</f>
        <v>0</v>
      </c>
      <c r="G173" s="40"/>
      <c r="H173" s="40">
        <f>'6 - Lists'!M$26*$E$138*($E$139)</f>
        <v>0</v>
      </c>
      <c r="I173" s="40"/>
      <c r="J173" s="40"/>
      <c r="K173" s="135">
        <f t="shared" si="3"/>
        <v>-98.575999999999993</v>
      </c>
      <c r="N173" s="135">
        <f t="shared" ref="N173:N177" si="4">$F$66-$F$63+$E$43+$E$44-$F$36+E173-F173-H173+I173+D173</f>
        <v>-390.25600000000009</v>
      </c>
    </row>
    <row r="174" spans="3:14">
      <c r="C174" s="47" t="s">
        <v>27</v>
      </c>
      <c r="D174" s="132">
        <f>$K$48+$K$51+$K$54+F174-$L$35</f>
        <v>221.39140106951871</v>
      </c>
      <c r="E174" s="40" cm="1">
        <f t="array" ref="E174">_xlfn.IFS('Overview and dashboard'!$S$9="No support",0,'Overview and dashboard'!$S$9="Current support schemes",IFERROR(VLOOKUP("Scotland",'1 - SA SP Orchards'!$C$144:$H$157,6,0),""),'Overview and dashboard'!$S$9="Income foregone",D174)</f>
        <v>0</v>
      </c>
      <c r="F174" s="40">
        <f>'6 - Lists'!R$26*$F$83</f>
        <v>122.81540106951873</v>
      </c>
      <c r="G174" s="40"/>
      <c r="H174" s="40"/>
      <c r="I174" s="40">
        <f>'6 - Lists'!Q$26*$D$36</f>
        <v>251.36128342245991</v>
      </c>
      <c r="J174" s="40"/>
      <c r="K174" s="135">
        <f t="shared" si="3"/>
        <v>29.96988235294117</v>
      </c>
      <c r="N174" s="135">
        <f t="shared" si="4"/>
        <v>251.36128342245988</v>
      </c>
    </row>
    <row r="175" spans="3:14">
      <c r="C175" s="47" t="s">
        <v>28</v>
      </c>
      <c r="D175" s="132">
        <f>$N$48+$N$51+$N$54+F175-$O$35</f>
        <v>103.5466970128023</v>
      </c>
      <c r="E175" s="40" cm="1">
        <f t="array" ref="E175">_xlfn.IFS('Overview and dashboard'!$S$9="No support",0,'Overview and dashboard'!$S$9="Current support schemes",IFERROR(VLOOKUP("Scotland",'1 - SA SP Orchards'!$C$144:$H$157,6,0),""),'Overview and dashboard'!$S$9="Income foregone",D175)</f>
        <v>0</v>
      </c>
      <c r="F175" s="40">
        <f>'6 - Lists'!V$26*$F$84</f>
        <v>4.970697012802276</v>
      </c>
      <c r="G175" s="40"/>
      <c r="H175" s="40"/>
      <c r="I175" s="40">
        <f>'6 - Lists'!U$26*$D$36</f>
        <v>13.04375533428165</v>
      </c>
      <c r="J175" s="40"/>
      <c r="K175" s="135">
        <f t="shared" si="3"/>
        <v>-90.502941678520614</v>
      </c>
      <c r="N175" s="135">
        <f t="shared" si="4"/>
        <v>13.043755334281684</v>
      </c>
    </row>
    <row r="176" spans="3:14">
      <c r="C176" s="47" t="s">
        <v>29</v>
      </c>
      <c r="D176" s="132">
        <f>$Q$48+$Q$51+$Q$54+F176-$R$35</f>
        <v>132.90400000000002</v>
      </c>
      <c r="E176" s="40" cm="1">
        <f t="array" ref="E176">_xlfn.IFS('Overview and dashboard'!$S$9="No support",0,'Overview and dashboard'!$S$9="Current support schemes",IFERROR(VLOOKUP("Scotland",'1 - SA SP Orchards'!$C$144:$H$157,6,0),""),'Overview and dashboard'!$S$9="Income foregone",D176)</f>
        <v>0</v>
      </c>
      <c r="F176" s="40">
        <f>'6 - Lists'!Z$26*$F$85</f>
        <v>34.328000000000003</v>
      </c>
      <c r="G176" s="40"/>
      <c r="H176" s="40"/>
      <c r="I176" s="40">
        <f>'6 - Lists'!Y$26*$D$36</f>
        <v>79.353846153846149</v>
      </c>
      <c r="J176" s="40"/>
      <c r="K176" s="135">
        <f t="shared" si="3"/>
        <v>-53.550153846153847</v>
      </c>
      <c r="N176" s="135">
        <f t="shared" si="4"/>
        <v>79.353846153846177</v>
      </c>
    </row>
    <row r="177" spans="3:14" ht="15.75" thickBot="1">
      <c r="C177" s="65" t="s">
        <v>30</v>
      </c>
      <c r="D177" s="280">
        <f>$T$48+$T$51+$T$54+F177-$U$35</f>
        <v>98.575999999999993</v>
      </c>
      <c r="E177" s="66" cm="1">
        <f t="array" ref="E177">_xlfn.IFS('Overview and dashboard'!$S$9="No support",0,'Overview and dashboard'!$S$9="Current support schemes",IFERROR(VLOOKUP("Scotland",'1 - SA SP Orchards'!$C$144:$H$157,6,0),""),'Overview and dashboard'!$S$9="Income foregone",D177)</f>
        <v>0</v>
      </c>
      <c r="F177" s="66">
        <f>'6 - Lists'!AD$26*$F$86</f>
        <v>0</v>
      </c>
      <c r="G177" s="66"/>
      <c r="H177" s="66"/>
      <c r="I177" s="66">
        <f>'6 - Lists'!AC$26*$D$36</f>
        <v>0</v>
      </c>
      <c r="J177" s="66"/>
      <c r="K177" s="135">
        <f t="shared" si="3"/>
        <v>-98.575999999999993</v>
      </c>
      <c r="N177" s="135">
        <f t="shared" si="4"/>
        <v>0</v>
      </c>
    </row>
    <row r="178" spans="3:14" ht="15.75" thickBot="1"/>
    <row r="179" spans="3:14">
      <c r="C179" s="460" t="s">
        <v>214</v>
      </c>
      <c r="D179" s="461"/>
      <c r="E179" s="461"/>
      <c r="F179" s="461"/>
      <c r="G179" s="461"/>
      <c r="H179" s="461"/>
      <c r="I179" s="461"/>
      <c r="J179" s="461"/>
      <c r="K179" s="462"/>
    </row>
    <row r="180" spans="3:14">
      <c r="C180" s="78" t="s">
        <v>215</v>
      </c>
      <c r="D180" s="40"/>
      <c r="E180" s="40"/>
      <c r="F180" s="40"/>
      <c r="G180" s="40"/>
      <c r="H180" s="40"/>
      <c r="I180" s="40"/>
      <c r="J180" s="40"/>
      <c r="K180" s="60"/>
      <c r="N180" s="60"/>
    </row>
    <row r="181" spans="3:14" ht="90">
      <c r="C181" s="47" t="s">
        <v>63</v>
      </c>
      <c r="D181" s="70" t="s">
        <v>208</v>
      </c>
      <c r="E181" s="70" t="s">
        <v>209</v>
      </c>
      <c r="F181" s="70" t="s">
        <v>210</v>
      </c>
      <c r="G181" s="40"/>
      <c r="H181" s="70" t="s">
        <v>96</v>
      </c>
      <c r="I181" s="70" t="s">
        <v>93</v>
      </c>
      <c r="J181" s="40"/>
      <c r="K181" s="76" t="s">
        <v>211</v>
      </c>
      <c r="N181" s="76" t="s">
        <v>211</v>
      </c>
    </row>
    <row r="182" spans="3:14">
      <c r="C182" s="47" t="s">
        <v>25</v>
      </c>
      <c r="D182" s="132">
        <f>H182+$E$48+$E$51+$E$54+F182-$F$35</f>
        <v>98.575999999999993</v>
      </c>
      <c r="E182" s="40" cm="1">
        <f t="array" ref="E182">_xlfn.IFS('Overview and dashboard'!$S$9="No support",0,'Overview and dashboard'!$S$9="Current support schemes",IFERROR(VLOOKUP("Wales",'1 - SA SP Orchards'!$C$144:$H$157,6,0),""),'Overview and dashboard'!$S$9="Income foregone",D182)</f>
        <v>0</v>
      </c>
      <c r="F182" s="40">
        <f>'6 - Lists'!J$27*$F$81</f>
        <v>0</v>
      </c>
      <c r="G182" s="40"/>
      <c r="H182" s="40">
        <f>'6 - Lists'!I$27*$E$138*($E$139)</f>
        <v>0</v>
      </c>
      <c r="I182" s="40"/>
      <c r="J182" s="40"/>
      <c r="K182" s="135">
        <f t="shared" ref="K182:K187" si="5">$F$66-$F$63+$E$43+$E$44-$F$36+E182-F182-H182+I182</f>
        <v>-98.575999999999993</v>
      </c>
      <c r="N182" s="135">
        <f>$F$66-$F$63+$E$43+$E$44-$F$36+E182-F182-H182+I182+D182</f>
        <v>0</v>
      </c>
    </row>
    <row r="183" spans="3:14">
      <c r="C183" s="47" t="s">
        <v>26</v>
      </c>
      <c r="D183" s="132">
        <f>H183+$H$51+$H$54+F183+H66-$I$35</f>
        <v>2.0959999999999752</v>
      </c>
      <c r="E183" s="40" cm="1">
        <f t="array" ref="E183">_xlfn.IFS('Overview and dashboard'!$S$9="No support",0,'Overview and dashboard'!$S$9="Current support schemes",IFERROR(VLOOKUP("Wales",'1 - SA SP Orchards'!$C$144:$H$157,6,0),""),'Overview and dashboard'!$S$9="Income foregone",D183)</f>
        <v>0</v>
      </c>
      <c r="F183" s="40">
        <f>'6 - Lists'!N$27*$F$82</f>
        <v>0</v>
      </c>
      <c r="G183" s="40"/>
      <c r="H183" s="40">
        <f>'6 - Lists'!M$27*$E$138*($E$139)</f>
        <v>0</v>
      </c>
      <c r="I183" s="40"/>
      <c r="J183" s="40"/>
      <c r="K183" s="135">
        <f t="shared" si="5"/>
        <v>-98.575999999999993</v>
      </c>
      <c r="N183" s="135">
        <f t="shared" ref="N183:N187" si="6">$F$66-$F$63+$E$43+$E$44-$F$36+E183-F183-H183+I183+D183</f>
        <v>-96.480000000000018</v>
      </c>
    </row>
    <row r="184" spans="3:14">
      <c r="C184" s="47" t="s">
        <v>27</v>
      </c>
      <c r="D184" s="132">
        <f>$K$48+$K$51+$K$54+F184-$L$35</f>
        <v>205.67370344882775</v>
      </c>
      <c r="E184" s="40" cm="1">
        <f t="array" ref="E184">_xlfn.IFS('Overview and dashboard'!$S$9="No support",0,'Overview and dashboard'!$S$9="Current support schemes",IFERROR(VLOOKUP("Wales",'1 - SA SP Orchards'!$C$144:$H$157,6,0),""),'Overview and dashboard'!$S$9="Income foregone",D184)</f>
        <v>0</v>
      </c>
      <c r="F184" s="40">
        <f>'6 - Lists'!R$27*$F$83</f>
        <v>107.09770344882773</v>
      </c>
      <c r="G184" s="40"/>
      <c r="H184" s="40"/>
      <c r="I184" s="40">
        <f>'6 - Lists'!Q$27*$D$36</f>
        <v>255.74137793070338</v>
      </c>
      <c r="J184" s="40"/>
      <c r="K184" s="135">
        <f t="shared" si="5"/>
        <v>50.067674481875656</v>
      </c>
      <c r="N184" s="135">
        <f t="shared" si="6"/>
        <v>255.74137793070341</v>
      </c>
    </row>
    <row r="185" spans="3:14">
      <c r="C185" s="47" t="s">
        <v>28</v>
      </c>
      <c r="D185" s="132">
        <f>$N$48+$N$51+$N$54+F185-$O$35</f>
        <v>116.80961823361824</v>
      </c>
      <c r="E185" s="40" cm="1">
        <f t="array" ref="E185">_xlfn.IFS('Overview and dashboard'!$S$9="No support",0,'Overview and dashboard'!$S$9="Current support schemes",IFERROR(VLOOKUP("Wales",'1 - SA SP Orchards'!$C$144:$H$157,6,0),""),'Overview and dashboard'!$S$9="Income foregone",D185)</f>
        <v>0</v>
      </c>
      <c r="F185" s="40">
        <f>'6 - Lists'!V$27*$F$84</f>
        <v>18.233618233618238</v>
      </c>
      <c r="G185" s="40"/>
      <c r="H185" s="40"/>
      <c r="I185" s="40">
        <f>'6 - Lists'!U$27*$D$36</f>
        <v>44.873644873644878</v>
      </c>
      <c r="J185" s="40"/>
      <c r="K185" s="135">
        <f t="shared" si="5"/>
        <v>-71.93597335997336</v>
      </c>
      <c r="N185" s="135">
        <f t="shared" si="6"/>
        <v>44.873644873644878</v>
      </c>
    </row>
    <row r="186" spans="3:14">
      <c r="C186" s="47" t="s">
        <v>29</v>
      </c>
      <c r="D186" s="132">
        <f>$Q$48+$Q$51+$Q$54+F186-$R$35</f>
        <v>130.52636835982938</v>
      </c>
      <c r="E186" s="40" cm="1">
        <f t="array" ref="E186">_xlfn.IFS('Overview and dashboard'!$S$9="No support",0,'Overview and dashboard'!$S$9="Current support schemes",IFERROR(VLOOKUP("Wales",'1 - SA SP Orchards'!$C$144:$H$157,6,0),""),'Overview and dashboard'!$S$9="Income foregone",D186)</f>
        <v>0</v>
      </c>
      <c r="F186" s="40">
        <f>'6 - Lists'!Z$27*$F$85</f>
        <v>31.95036835982939</v>
      </c>
      <c r="G186" s="40"/>
      <c r="H186" s="40"/>
      <c r="I186" s="40">
        <f>'6 - Lists'!Y$27*$D$36</f>
        <v>58.937572702597912</v>
      </c>
      <c r="J186" s="40"/>
      <c r="K186" s="135">
        <f t="shared" si="5"/>
        <v>-71.588795657231458</v>
      </c>
      <c r="N186" s="135">
        <f t="shared" si="6"/>
        <v>58.937572702597919</v>
      </c>
    </row>
    <row r="187" spans="3:14" ht="15.75" thickBot="1">
      <c r="C187" s="65" t="s">
        <v>30</v>
      </c>
      <c r="D187" s="280">
        <f>$T$48+$T$51+$T$54+F187-$U$35</f>
        <v>98.575999999999993</v>
      </c>
      <c r="E187" s="66" cm="1">
        <f t="array" ref="E187">_xlfn.IFS('Overview and dashboard'!$S$9="No support",0,'Overview and dashboard'!$S$9="Current support schemes",IFERROR(VLOOKUP("Wales",'1 - SA SP Orchards'!$C$144:$H$157,6,0),""),'Overview and dashboard'!$S$9="Income foregone",D187)</f>
        <v>0</v>
      </c>
      <c r="F187" s="66">
        <f>'6 - Lists'!AD$27*$F$86</f>
        <v>0</v>
      </c>
      <c r="G187" s="66"/>
      <c r="H187" s="66"/>
      <c r="I187" s="66">
        <f>'6 - Lists'!AC$27*$D$36</f>
        <v>0</v>
      </c>
      <c r="J187" s="66"/>
      <c r="K187" s="135">
        <f t="shared" si="5"/>
        <v>-98.575999999999993</v>
      </c>
      <c r="N187" s="135">
        <f t="shared" si="6"/>
        <v>0</v>
      </c>
    </row>
    <row r="188" spans="3:14" ht="15.75" thickBot="1"/>
    <row r="189" spans="3:14">
      <c r="C189" s="460" t="s">
        <v>216</v>
      </c>
      <c r="D189" s="461"/>
      <c r="E189" s="461"/>
      <c r="F189" s="461"/>
      <c r="G189" s="461"/>
      <c r="H189" s="461"/>
      <c r="I189" s="461"/>
      <c r="J189" s="461"/>
      <c r="K189" s="462"/>
    </row>
    <row r="190" spans="3:14">
      <c r="C190" s="78" t="s">
        <v>217</v>
      </c>
      <c r="D190" s="40"/>
      <c r="E190" s="40"/>
      <c r="F190" s="40"/>
      <c r="G190" s="40"/>
      <c r="H190" s="40"/>
      <c r="I190" s="40"/>
      <c r="J190" s="40"/>
      <c r="K190" s="60"/>
      <c r="N190" s="60"/>
    </row>
    <row r="191" spans="3:14" ht="90">
      <c r="C191" s="47" t="s">
        <v>63</v>
      </c>
      <c r="D191" s="70" t="s">
        <v>208</v>
      </c>
      <c r="E191" s="70" t="s">
        <v>209</v>
      </c>
      <c r="F191" s="70" t="s">
        <v>210</v>
      </c>
      <c r="G191" s="40"/>
      <c r="H191" s="70" t="s">
        <v>96</v>
      </c>
      <c r="I191" s="70" t="s">
        <v>93</v>
      </c>
      <c r="J191" s="40"/>
      <c r="K191" s="76" t="s">
        <v>211</v>
      </c>
      <c r="N191" s="76" t="s">
        <v>211</v>
      </c>
    </row>
    <row r="192" spans="3:14">
      <c r="C192" s="47" t="s">
        <v>25</v>
      </c>
      <c r="D192" s="132">
        <f>H192+$E$48+$E$51+$E$54+F192-$F$35</f>
        <v>206.98890833333328</v>
      </c>
      <c r="E192" s="40" cm="1">
        <f t="array" ref="E192">_xlfn.IFS('Overview and dashboard'!$S$9="No support",0,'Overview and dashboard'!$S$9="Current support schemes",IFERROR(VLOOKUP("Northern Ireland",'1 - SA SP Orchards'!$C$144:$H$157,6,0),""),'Overview and dashboard'!$S$9="Income foregone",D192)</f>
        <v>0</v>
      </c>
      <c r="F192" s="40">
        <f>'6 - Lists'!J$28*$F$81</f>
        <v>72.24933333333334</v>
      </c>
      <c r="G192" s="40"/>
      <c r="H192" s="40">
        <f>'6 - Lists'!I$28*$E$138*($E$139)</f>
        <v>36.163574999999994</v>
      </c>
      <c r="I192" s="40"/>
      <c r="J192" s="40"/>
      <c r="K192" s="135">
        <f t="shared" ref="K192:K197" si="7">$F$66-$F$63+$E$43+$E$44-$F$36+E192-F192-H192+I192</f>
        <v>-206.98890833333331</v>
      </c>
      <c r="N192" s="135">
        <f>$F$66-$F$63+$E$43+$E$44-$F$36+E192-F192-H192+I192+D192</f>
        <v>0</v>
      </c>
    </row>
    <row r="193" spans="3:14">
      <c r="C193" s="47" t="s">
        <v>26</v>
      </c>
      <c r="D193" s="132">
        <f>H193+$H$51+$H$54+F193+H76-$I$35</f>
        <v>2.0959999999999752</v>
      </c>
      <c r="E193" s="40" cm="1">
        <f t="array" ref="E193">_xlfn.IFS('Overview and dashboard'!$S$9="No support",0,'Overview and dashboard'!$S$9="Current support schemes",IFERROR(VLOOKUP("Northern Ireland",'1 - SA SP Orchards'!$C$144:$H$157,6,0),""),'Overview and dashboard'!$S$9="Income foregone",D193)</f>
        <v>0</v>
      </c>
      <c r="F193" s="40">
        <f>'6 - Lists'!N$28*$F$82</f>
        <v>0</v>
      </c>
      <c r="G193" s="40"/>
      <c r="H193" s="40">
        <f>'6 - Lists'!M$28*$E$138*($E$139)</f>
        <v>0</v>
      </c>
      <c r="I193" s="40"/>
      <c r="J193" s="40"/>
      <c r="K193" s="135">
        <f t="shared" si="7"/>
        <v>-98.575999999999993</v>
      </c>
      <c r="N193" s="135">
        <f t="shared" ref="N193:N197" si="8">$F$66-$F$63+$E$43+$E$44-$F$36+E193-F193-H193+I193+D193</f>
        <v>-96.480000000000018</v>
      </c>
    </row>
    <row r="194" spans="3:14">
      <c r="C194" s="47" t="s">
        <v>27</v>
      </c>
      <c r="D194" s="132">
        <f>$K$48+$K$51+$K$54+F194-$L$35</f>
        <v>204.03722448979593</v>
      </c>
      <c r="E194" s="40" cm="1">
        <f t="array" ref="E194">_xlfn.IFS('Overview and dashboard'!$S$9="No support",0,'Overview and dashboard'!$S$9="Current support schemes",IFERROR(VLOOKUP("Northern Ireland",'1 - SA SP Orchards'!$C$144:$H$157,6,0),""),'Overview and dashboard'!$S$9="Income foregone",D194)</f>
        <v>0</v>
      </c>
      <c r="F194" s="40">
        <f>'6 - Lists'!R$28*$F$83</f>
        <v>105.46122448979591</v>
      </c>
      <c r="G194" s="40"/>
      <c r="H194" s="40"/>
      <c r="I194" s="40">
        <f>'6 - Lists'!Q$28*$D$36</f>
        <v>253.64716553287982</v>
      </c>
      <c r="J194" s="40"/>
      <c r="K194" s="135">
        <f t="shared" si="7"/>
        <v>49.609941043083921</v>
      </c>
      <c r="N194" s="135">
        <f t="shared" si="8"/>
        <v>253.64716553287985</v>
      </c>
    </row>
    <row r="195" spans="3:14">
      <c r="C195" s="47" t="s">
        <v>28</v>
      </c>
      <c r="D195" s="132">
        <f>$N$48+$N$51+$N$54+F195-$O$35</f>
        <v>112.34259619450316</v>
      </c>
      <c r="E195" s="40" cm="1">
        <f t="array" ref="E195">_xlfn.IFS('Overview and dashboard'!$S$9="No support",0,'Overview and dashboard'!$S$9="Current support schemes",IFERROR(VLOOKUP("Northern Ireland",'1 - SA SP Orchards'!$C$144:$H$157,6,0),""),'Overview and dashboard'!$S$9="Income foregone",D195)</f>
        <v>0</v>
      </c>
      <c r="F195" s="40">
        <f>'6 - Lists'!V$28*$F$84</f>
        <v>13.766596194503173</v>
      </c>
      <c r="G195" s="40"/>
      <c r="H195" s="40"/>
      <c r="I195" s="40">
        <f>'6 - Lists'!U$28*$D$36</f>
        <v>39.706553911205077</v>
      </c>
      <c r="J195" s="40"/>
      <c r="K195" s="135">
        <f t="shared" si="7"/>
        <v>-72.636042283298082</v>
      </c>
      <c r="N195" s="135">
        <f t="shared" si="8"/>
        <v>39.706553911205077</v>
      </c>
    </row>
    <row r="196" spans="3:14">
      <c r="C196" s="47" t="s">
        <v>29</v>
      </c>
      <c r="D196" s="132">
        <f>$Q$48+$Q$51+$Q$54+F196-$R$35</f>
        <v>130.83770542635656</v>
      </c>
      <c r="E196" s="40" cm="1">
        <f t="array" ref="E196">_xlfn.IFS('Overview and dashboard'!$S$9="No support",0,'Overview and dashboard'!$S$9="Current support schemes",IFERROR(VLOOKUP("Northern Ireland",'1 - SA SP Orchards'!$C$144:$H$157,6,0),""),'Overview and dashboard'!$S$9="Income foregone",D196)</f>
        <v>0</v>
      </c>
      <c r="F196" s="40">
        <f>'6 - Lists'!Z$28*$F$85</f>
        <v>32.261705426356592</v>
      </c>
      <c r="G196" s="40"/>
      <c r="H196" s="40"/>
      <c r="I196" s="40">
        <f>'6 - Lists'!Y$28*$D$36</f>
        <v>75.988837209302332</v>
      </c>
      <c r="J196" s="40"/>
      <c r="K196" s="135">
        <f t="shared" si="7"/>
        <v>-54.84886821705426</v>
      </c>
      <c r="N196" s="135">
        <f t="shared" si="8"/>
        <v>75.988837209302304</v>
      </c>
    </row>
    <row r="197" spans="3:14" ht="15.75" thickBot="1">
      <c r="C197" s="65" t="s">
        <v>30</v>
      </c>
      <c r="D197" s="280">
        <f>$T$48+$T$51+$T$54+F197-$U$35</f>
        <v>98.575999999999993</v>
      </c>
      <c r="E197" s="66" cm="1">
        <f t="array" ref="E197">_xlfn.IFS('Overview and dashboard'!$S$9="No support",0,'Overview and dashboard'!$S$9="Current support schemes",IFERROR(VLOOKUP("Northern Ireland",'1 - SA SP Orchards'!$C$144:$H$157,6,0),""),'Overview and dashboard'!$S$9="Income foregone",D197)</f>
        <v>0</v>
      </c>
      <c r="F197" s="66">
        <f>'6 - Lists'!AD$28*$F$86</f>
        <v>0</v>
      </c>
      <c r="G197" s="66"/>
      <c r="H197" s="66"/>
      <c r="I197" s="66">
        <f>'6 - Lists'!AC$28*$D$36</f>
        <v>0</v>
      </c>
      <c r="J197" s="66"/>
      <c r="K197" s="135">
        <f t="shared" si="7"/>
        <v>-98.575999999999993</v>
      </c>
      <c r="N197" s="135">
        <f t="shared" si="8"/>
        <v>0</v>
      </c>
    </row>
  </sheetData>
  <sheetProtection algorithmName="SHA-512" hashValue="GhtywPGoguFjZyszl7R2M0ycfxBuCdwRcnRat+emxJ/P3RePzAKkzRHUDMOMmOT8WeDh74ggyA7Xb4LWL44f6g==" saltValue="26MNvdoA/XWAYmhZk9v95w==" spinCount="100000" sheet="1" objects="1" scenarios="1"/>
  <mergeCells count="26">
    <mergeCell ref="C189:K189"/>
    <mergeCell ref="C100:F100"/>
    <mergeCell ref="C88:E88"/>
    <mergeCell ref="C179:K179"/>
    <mergeCell ref="C169:K169"/>
    <mergeCell ref="C159:K159"/>
    <mergeCell ref="C141:H141"/>
    <mergeCell ref="C134:F134"/>
    <mergeCell ref="C144:F144"/>
    <mergeCell ref="C148:F148"/>
    <mergeCell ref="C151:F151"/>
    <mergeCell ref="C155:F155"/>
    <mergeCell ref="C142:H142"/>
    <mergeCell ref="C122:F122"/>
    <mergeCell ref="C69:E69"/>
    <mergeCell ref="C79:H79"/>
    <mergeCell ref="C115:E115"/>
    <mergeCell ref="C107:E107"/>
    <mergeCell ref="C129:F129"/>
    <mergeCell ref="E29:U29"/>
    <mergeCell ref="E30:F30"/>
    <mergeCell ref="H30:I30"/>
    <mergeCell ref="K30:L30"/>
    <mergeCell ref="N30:O30"/>
    <mergeCell ref="Q30:R30"/>
    <mergeCell ref="T30:U30"/>
  </mergeCells>
  <hyperlinks>
    <hyperlink ref="E117" r:id="rId1" xr:uid="{FDF96673-9458-49F1-9DA5-1EA6F0B2A012}"/>
    <hyperlink ref="F124" r:id="rId2" xr:uid="{59AB1F7C-5ED3-4A1E-AEBE-81E4EEA7AA61}"/>
    <hyperlink ref="F131" r:id="rId3" display="https://doi.org/10.1002/agj2.20489" xr:uid="{2F384520-43E1-4AEA-898D-F29C55EDC1F0}"/>
    <hyperlink ref="F139" r:id="rId4" display="https://doi.org/10.1002/agj2.20489" xr:uid="{237A5445-CCCD-42BF-BEE8-00720137ACAC}"/>
    <hyperlink ref="E119" r:id="rId5" xr:uid="{3BE44A5B-C77A-4E54-BA06-6C15AADED79E}"/>
    <hyperlink ref="E120" r:id="rId6" xr:uid="{2B18AE0C-5C65-404F-8B21-7A7C93AE581B}"/>
  </hyperlink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48E31-BA2C-4810-B7D4-CFDCC8FA7870}">
  <sheetPr codeName="Sheet4"/>
  <dimension ref="B2:V183"/>
  <sheetViews>
    <sheetView showGridLines="0" showRowColHeaders="0" workbookViewId="0"/>
    <sheetView topLeftCell="A7" workbookViewId="1"/>
  </sheetViews>
  <sheetFormatPr defaultRowHeight="15"/>
  <cols>
    <col min="2" max="2" width="3.5703125" customWidth="1"/>
    <col min="3" max="3" width="48" customWidth="1"/>
    <col min="4" max="4" width="14.7109375" customWidth="1"/>
    <col min="5" max="6" width="10.5703125" customWidth="1"/>
    <col min="7" max="7" width="0.5703125" customWidth="1"/>
    <col min="8" max="9" width="10.5703125" customWidth="1"/>
    <col min="10" max="10" width="0.5703125" customWidth="1"/>
    <col min="11" max="12" width="10.5703125" customWidth="1"/>
    <col min="13" max="13" width="0.5703125" customWidth="1"/>
    <col min="14" max="15" width="10.5703125" customWidth="1"/>
    <col min="16" max="16" width="0.5703125" customWidth="1"/>
    <col min="17" max="18" width="10.5703125" customWidth="1"/>
    <col min="19" max="19" width="0.5703125" customWidth="1"/>
    <col min="20" max="21" width="10.5703125" customWidth="1"/>
    <col min="22" max="22" width="5.7109375" customWidth="1"/>
  </cols>
  <sheetData>
    <row r="2" spans="2:22">
      <c r="B2" s="14"/>
      <c r="C2" s="14"/>
      <c r="D2" s="14"/>
      <c r="E2" s="14"/>
      <c r="F2" s="14"/>
      <c r="G2" s="14"/>
      <c r="H2" s="14"/>
      <c r="I2" s="14"/>
      <c r="J2" s="14"/>
      <c r="K2" s="14"/>
      <c r="L2" s="14"/>
      <c r="M2" s="14"/>
      <c r="N2" s="14"/>
      <c r="O2" s="14"/>
      <c r="P2" s="14"/>
      <c r="Q2" s="14"/>
      <c r="R2" s="14"/>
      <c r="S2" s="14"/>
      <c r="T2" s="14"/>
      <c r="U2" s="14"/>
      <c r="V2" s="14"/>
    </row>
    <row r="3" spans="2:22">
      <c r="B3" s="14"/>
      <c r="C3" s="15" t="s">
        <v>55</v>
      </c>
      <c r="D3" s="15"/>
      <c r="E3" s="14"/>
      <c r="F3" s="14"/>
      <c r="G3" s="14"/>
      <c r="H3" s="14"/>
      <c r="I3" s="14"/>
      <c r="J3" s="14"/>
      <c r="K3" s="14"/>
      <c r="L3" s="14"/>
      <c r="M3" s="14"/>
      <c r="N3" s="14"/>
      <c r="O3" s="14"/>
      <c r="P3" s="14"/>
      <c r="Q3" s="14"/>
      <c r="R3" s="14"/>
      <c r="S3" s="14"/>
      <c r="T3" s="14"/>
      <c r="U3" s="14"/>
      <c r="V3" s="14"/>
    </row>
    <row r="4" spans="2:22">
      <c r="B4" s="14"/>
      <c r="C4" s="15"/>
      <c r="D4" s="15"/>
      <c r="E4" s="14"/>
      <c r="F4" s="14"/>
      <c r="G4" s="14"/>
      <c r="H4" s="14"/>
      <c r="I4" s="14"/>
      <c r="J4" s="14"/>
      <c r="K4" s="14"/>
      <c r="L4" s="14"/>
      <c r="M4" s="14"/>
      <c r="N4" s="14"/>
      <c r="O4" s="14"/>
      <c r="P4" s="14"/>
      <c r="Q4" s="14"/>
      <c r="R4" s="14"/>
      <c r="S4" s="14"/>
      <c r="T4" s="14"/>
      <c r="U4" s="14"/>
      <c r="V4" s="14"/>
    </row>
    <row r="5" spans="2:22">
      <c r="B5" s="14"/>
      <c r="C5" s="15" t="s">
        <v>56</v>
      </c>
      <c r="D5" s="15"/>
      <c r="E5" s="16">
        <v>2</v>
      </c>
      <c r="F5" s="14"/>
      <c r="G5" s="14"/>
      <c r="H5" s="14"/>
      <c r="I5" s="14"/>
      <c r="J5" s="14"/>
      <c r="K5" s="14"/>
      <c r="L5" s="14"/>
      <c r="M5" s="14"/>
      <c r="N5" s="14"/>
      <c r="O5" s="14"/>
      <c r="P5" s="14"/>
      <c r="Q5" s="14"/>
      <c r="R5" s="14"/>
      <c r="S5" s="14"/>
      <c r="T5" s="14"/>
      <c r="U5" s="14"/>
      <c r="V5" s="14"/>
    </row>
    <row r="6" spans="2:22">
      <c r="B6" s="14"/>
      <c r="C6" s="15"/>
      <c r="D6" s="15"/>
      <c r="E6" s="14"/>
      <c r="F6" s="14"/>
      <c r="G6" s="14"/>
      <c r="H6" s="14"/>
      <c r="I6" s="14"/>
      <c r="J6" s="14"/>
      <c r="K6" s="14"/>
      <c r="L6" s="14"/>
      <c r="M6" s="14"/>
      <c r="N6" s="14"/>
      <c r="O6" s="14"/>
      <c r="P6" s="14"/>
      <c r="Q6" s="14"/>
      <c r="R6" s="14"/>
      <c r="S6" s="14"/>
      <c r="T6" s="14"/>
      <c r="U6" s="14"/>
      <c r="V6" s="14"/>
    </row>
    <row r="7" spans="2:22">
      <c r="B7" s="14"/>
      <c r="C7" s="15" t="s">
        <v>57</v>
      </c>
      <c r="D7" s="15"/>
      <c r="E7" s="14" t="s">
        <v>32</v>
      </c>
      <c r="F7" s="14"/>
      <c r="G7" s="14"/>
      <c r="H7" s="14"/>
      <c r="I7" s="14"/>
      <c r="J7" s="14"/>
      <c r="K7" s="14"/>
      <c r="L7" s="14"/>
      <c r="M7" s="14"/>
      <c r="N7" s="14"/>
      <c r="O7" s="14"/>
      <c r="P7" s="14"/>
      <c r="Q7" s="14"/>
      <c r="R7" s="14"/>
      <c r="S7" s="14"/>
      <c r="T7" s="14"/>
      <c r="U7" s="14"/>
      <c r="V7" s="14"/>
    </row>
    <row r="8" spans="2:22">
      <c r="B8" s="14"/>
      <c r="C8" s="15"/>
      <c r="D8" s="15"/>
      <c r="E8" s="14"/>
      <c r="F8" s="14"/>
      <c r="G8" s="14"/>
      <c r="H8" s="14"/>
      <c r="I8" s="14"/>
      <c r="J8" s="14"/>
      <c r="K8" s="14"/>
      <c r="L8" s="14"/>
      <c r="M8" s="14"/>
      <c r="N8" s="14"/>
      <c r="O8" s="14"/>
      <c r="P8" s="14"/>
      <c r="Q8" s="14"/>
      <c r="R8" s="14"/>
      <c r="S8" s="14"/>
      <c r="T8" s="14"/>
      <c r="U8" s="14"/>
      <c r="V8" s="14"/>
    </row>
    <row r="9" spans="2:22">
      <c r="B9" s="14"/>
      <c r="C9" s="15" t="s">
        <v>58</v>
      </c>
      <c r="D9" s="15"/>
      <c r="E9" s="14" t="s">
        <v>218</v>
      </c>
      <c r="F9" s="14"/>
      <c r="G9" s="14"/>
      <c r="H9" s="14"/>
      <c r="I9" s="14"/>
      <c r="J9" s="14"/>
      <c r="K9" s="14"/>
      <c r="L9" s="14"/>
      <c r="M9" s="14"/>
      <c r="N9" s="14"/>
      <c r="O9" s="14"/>
      <c r="P9" s="14"/>
      <c r="Q9" s="14"/>
      <c r="R9" s="14"/>
      <c r="S9" s="14"/>
      <c r="T9" s="14"/>
      <c r="U9" s="14"/>
      <c r="V9" s="14"/>
    </row>
    <row r="10" spans="2:22">
      <c r="B10" s="14"/>
      <c r="C10" s="15"/>
      <c r="D10" s="15"/>
      <c r="E10" s="14"/>
      <c r="F10" s="14"/>
      <c r="G10" s="14"/>
      <c r="H10" s="14"/>
      <c r="I10" s="14"/>
      <c r="J10" s="14"/>
      <c r="K10" s="14"/>
      <c r="L10" s="14"/>
      <c r="M10" s="14"/>
      <c r="N10" s="14"/>
      <c r="O10" s="14"/>
      <c r="P10" s="14"/>
      <c r="Q10" s="14"/>
      <c r="R10" s="14"/>
      <c r="S10" s="14"/>
      <c r="T10" s="14"/>
      <c r="U10" s="14"/>
      <c r="V10" s="14"/>
    </row>
    <row r="11" spans="2:22">
      <c r="B11" s="14"/>
      <c r="C11" s="15" t="s">
        <v>60</v>
      </c>
      <c r="D11" s="15"/>
      <c r="E11" s="14" t="s">
        <v>219</v>
      </c>
      <c r="F11" s="14"/>
      <c r="G11" s="14"/>
      <c r="H11" s="14"/>
      <c r="I11" s="14"/>
      <c r="J11" s="14"/>
      <c r="K11" s="14"/>
      <c r="L11" s="14"/>
      <c r="M11" s="14"/>
      <c r="N11" s="14"/>
      <c r="O11" s="14"/>
      <c r="P11" s="14"/>
      <c r="Q11" s="14"/>
      <c r="R11" s="14"/>
      <c r="S11" s="14"/>
      <c r="T11" s="14"/>
      <c r="U11" s="14"/>
      <c r="V11" s="14"/>
    </row>
    <row r="12" spans="2:22">
      <c r="B12" s="14"/>
      <c r="C12" s="15"/>
      <c r="D12" s="15"/>
      <c r="E12" s="14" t="s">
        <v>220</v>
      </c>
      <c r="F12" s="14"/>
      <c r="G12" s="14"/>
      <c r="H12" s="14"/>
      <c r="I12" s="14"/>
      <c r="J12" s="14"/>
      <c r="K12" s="14"/>
      <c r="L12" s="14"/>
      <c r="M12" s="14"/>
      <c r="N12" s="14"/>
      <c r="O12" s="14"/>
      <c r="P12" s="14"/>
      <c r="Q12" s="14"/>
      <c r="R12" s="14"/>
      <c r="S12" s="14"/>
      <c r="T12" s="14"/>
      <c r="U12" s="14"/>
      <c r="V12" s="14"/>
    </row>
    <row r="13" spans="2:22">
      <c r="B13" s="14"/>
      <c r="C13" s="15"/>
      <c r="D13" s="15"/>
      <c r="E13" s="14" t="s">
        <v>221</v>
      </c>
      <c r="F13" s="14"/>
      <c r="G13" s="14"/>
      <c r="H13" s="14"/>
      <c r="I13" s="14"/>
      <c r="J13" s="14"/>
      <c r="K13" s="14"/>
      <c r="L13" s="14"/>
      <c r="M13" s="14"/>
      <c r="N13" s="14"/>
      <c r="O13" s="14"/>
      <c r="P13" s="14"/>
      <c r="Q13" s="14"/>
      <c r="R13" s="14"/>
      <c r="S13" s="14"/>
      <c r="T13" s="14"/>
      <c r="U13" s="14"/>
      <c r="V13" s="14"/>
    </row>
    <row r="14" spans="2:22">
      <c r="B14" s="14"/>
      <c r="C14" s="15"/>
      <c r="D14" s="15"/>
      <c r="E14" s="14"/>
      <c r="F14" s="14"/>
      <c r="G14" s="14"/>
      <c r="H14" s="14"/>
      <c r="I14" s="14"/>
      <c r="J14" s="14"/>
      <c r="K14" s="14"/>
      <c r="L14" s="14"/>
      <c r="M14" s="14"/>
      <c r="N14" s="14"/>
      <c r="O14" s="14"/>
      <c r="P14" s="14"/>
      <c r="Q14" s="14"/>
      <c r="R14" s="14"/>
      <c r="S14" s="14"/>
      <c r="T14" s="14"/>
      <c r="U14" s="14"/>
      <c r="V14" s="14"/>
    </row>
    <row r="15" spans="2:22">
      <c r="B15" s="14"/>
      <c r="C15" s="15" t="s">
        <v>62</v>
      </c>
      <c r="D15" s="15"/>
      <c r="E15" s="14" t="s">
        <v>222</v>
      </c>
      <c r="F15" s="14"/>
      <c r="G15" s="14"/>
      <c r="H15" s="14"/>
      <c r="I15" s="14"/>
      <c r="J15" s="14"/>
      <c r="K15" s="14"/>
      <c r="L15" s="14"/>
      <c r="M15" s="14"/>
      <c r="N15" s="14"/>
      <c r="O15" s="14"/>
      <c r="P15" s="14"/>
      <c r="Q15" s="14"/>
      <c r="R15" s="14"/>
      <c r="S15" s="14"/>
      <c r="T15" s="14"/>
      <c r="U15" s="14"/>
      <c r="V15" s="14"/>
    </row>
    <row r="16" spans="2:22">
      <c r="B16" s="14"/>
      <c r="C16" s="15"/>
      <c r="D16" s="15"/>
      <c r="E16" s="14" t="s">
        <v>223</v>
      </c>
      <c r="F16" s="14"/>
      <c r="G16" s="14"/>
      <c r="H16" s="14"/>
      <c r="I16" s="14"/>
      <c r="J16" s="14"/>
      <c r="K16" s="14"/>
      <c r="L16" s="14"/>
      <c r="M16" s="14"/>
      <c r="N16" s="14"/>
      <c r="O16" s="14"/>
      <c r="P16" s="14"/>
      <c r="Q16" s="14"/>
      <c r="R16" s="14"/>
      <c r="S16" s="14"/>
      <c r="T16" s="14"/>
      <c r="U16" s="14"/>
      <c r="V16" s="14"/>
    </row>
    <row r="17" spans="2:22">
      <c r="B17" s="14"/>
      <c r="C17" s="15"/>
      <c r="D17" s="15"/>
      <c r="E17" s="14" t="s">
        <v>224</v>
      </c>
      <c r="F17" s="14"/>
      <c r="G17" s="14"/>
      <c r="H17" s="14"/>
      <c r="I17" s="14"/>
      <c r="J17" s="14"/>
      <c r="K17" s="14"/>
      <c r="L17" s="14"/>
      <c r="M17" s="14"/>
      <c r="N17" s="14"/>
      <c r="O17" s="14"/>
      <c r="P17" s="14"/>
      <c r="Q17" s="14"/>
      <c r="R17" s="14"/>
      <c r="S17" s="14"/>
      <c r="T17" s="14"/>
      <c r="U17" s="14"/>
      <c r="V17" s="14"/>
    </row>
    <row r="18" spans="2:22">
      <c r="B18" s="14"/>
      <c r="C18" s="15"/>
      <c r="D18" s="15"/>
      <c r="E18" s="14" t="s">
        <v>225</v>
      </c>
      <c r="F18" s="14"/>
      <c r="G18" s="14"/>
      <c r="H18" s="14"/>
      <c r="I18" s="14"/>
      <c r="J18" s="14"/>
      <c r="K18" s="14"/>
      <c r="L18" s="14"/>
      <c r="M18" s="14"/>
      <c r="N18" s="14"/>
      <c r="O18" s="14"/>
      <c r="P18" s="14"/>
      <c r="Q18" s="14"/>
      <c r="R18" s="14"/>
      <c r="S18" s="14"/>
      <c r="T18" s="14"/>
      <c r="U18" s="14"/>
      <c r="V18" s="14"/>
    </row>
    <row r="19" spans="2:22">
      <c r="B19" s="14"/>
      <c r="C19" s="15"/>
      <c r="D19" s="15"/>
      <c r="E19" s="14" t="s">
        <v>226</v>
      </c>
      <c r="F19" s="14"/>
      <c r="G19" s="14"/>
      <c r="H19" s="14"/>
      <c r="I19" s="14"/>
      <c r="J19" s="14"/>
      <c r="K19" s="14"/>
      <c r="L19" s="14"/>
      <c r="M19" s="14"/>
      <c r="N19" s="14"/>
      <c r="O19" s="14"/>
      <c r="P19" s="14"/>
      <c r="Q19" s="14"/>
      <c r="R19" s="14"/>
      <c r="S19" s="14"/>
      <c r="T19" s="14"/>
      <c r="U19" s="14"/>
      <c r="V19" s="14"/>
    </row>
    <row r="20" spans="2:22">
      <c r="B20" s="14"/>
      <c r="C20" s="15"/>
      <c r="D20" s="15"/>
      <c r="E20" s="14" t="s">
        <v>227</v>
      </c>
      <c r="F20" s="14"/>
      <c r="G20" s="14"/>
      <c r="H20" s="14"/>
      <c r="I20" s="14"/>
      <c r="J20" s="14"/>
      <c r="K20" s="14"/>
      <c r="L20" s="14"/>
      <c r="M20" s="14"/>
      <c r="N20" s="14"/>
      <c r="O20" s="14"/>
      <c r="P20" s="14"/>
      <c r="Q20" s="14"/>
      <c r="R20" s="14"/>
      <c r="S20" s="14"/>
      <c r="T20" s="14"/>
      <c r="U20" s="14"/>
      <c r="V20" s="14"/>
    </row>
    <row r="21" spans="2:22">
      <c r="B21" s="14"/>
      <c r="C21" s="15"/>
      <c r="D21" s="15"/>
      <c r="E21" s="14" t="s">
        <v>639</v>
      </c>
      <c r="F21" s="14"/>
      <c r="G21" s="14"/>
      <c r="H21" s="14"/>
      <c r="I21" s="14"/>
      <c r="J21" s="14"/>
      <c r="K21" s="14"/>
      <c r="L21" s="14"/>
      <c r="M21" s="14"/>
      <c r="N21" s="14"/>
      <c r="O21" s="14"/>
      <c r="P21" s="14"/>
      <c r="Q21" s="14"/>
      <c r="R21" s="14"/>
      <c r="S21" s="14"/>
      <c r="T21" s="14"/>
      <c r="U21" s="14"/>
      <c r="V21" s="14"/>
    </row>
    <row r="22" spans="2:22">
      <c r="B22" s="14"/>
      <c r="C22" s="15"/>
      <c r="D22" s="15"/>
      <c r="E22" s="14" t="s">
        <v>640</v>
      </c>
      <c r="F22" s="14"/>
      <c r="G22" s="14"/>
      <c r="H22" s="14"/>
      <c r="I22" s="14"/>
      <c r="J22" s="14"/>
      <c r="K22" s="14"/>
      <c r="L22" s="14"/>
      <c r="M22" s="14"/>
      <c r="N22" s="14"/>
      <c r="O22" s="14"/>
      <c r="P22" s="14"/>
      <c r="Q22" s="14"/>
      <c r="R22" s="14"/>
      <c r="S22" s="14"/>
      <c r="T22" s="14"/>
      <c r="U22" s="14"/>
      <c r="V22" s="14"/>
    </row>
    <row r="23" spans="2:22">
      <c r="B23" s="14"/>
      <c r="C23" s="15"/>
      <c r="D23" s="15"/>
      <c r="E23" s="14" t="s">
        <v>641</v>
      </c>
      <c r="F23" s="14"/>
      <c r="G23" s="14"/>
      <c r="H23" s="14"/>
      <c r="I23" s="14"/>
      <c r="J23" s="14"/>
      <c r="K23" s="14"/>
      <c r="L23" s="14"/>
      <c r="M23" s="14"/>
      <c r="N23" s="14"/>
      <c r="O23" s="14"/>
      <c r="P23" s="14"/>
      <c r="Q23" s="14"/>
      <c r="R23" s="14"/>
      <c r="S23" s="14"/>
      <c r="T23" s="14"/>
      <c r="U23" s="14"/>
      <c r="V23" s="14"/>
    </row>
    <row r="24" spans="2:22">
      <c r="B24" s="14"/>
      <c r="C24" s="15"/>
      <c r="D24" s="15"/>
      <c r="E24" s="14" t="s">
        <v>642</v>
      </c>
      <c r="F24" s="14"/>
      <c r="G24" s="14"/>
      <c r="H24" s="14"/>
      <c r="I24" s="14"/>
      <c r="J24" s="14"/>
      <c r="K24" s="14"/>
      <c r="L24" s="14"/>
      <c r="M24" s="14"/>
      <c r="N24" s="14"/>
      <c r="O24" s="14"/>
      <c r="P24" s="14"/>
      <c r="Q24" s="14"/>
      <c r="R24" s="14"/>
      <c r="S24" s="14"/>
      <c r="T24" s="14"/>
      <c r="U24" s="14"/>
      <c r="V24" s="14"/>
    </row>
    <row r="25" spans="2:22">
      <c r="B25" s="14"/>
      <c r="C25" s="15"/>
      <c r="D25" s="15"/>
      <c r="E25" s="14" t="s">
        <v>643</v>
      </c>
      <c r="F25" s="14"/>
      <c r="G25" s="14"/>
      <c r="H25" s="14"/>
      <c r="I25" s="14"/>
      <c r="J25" s="14"/>
      <c r="K25" s="14"/>
      <c r="L25" s="14"/>
      <c r="M25" s="14"/>
      <c r="N25" s="14"/>
      <c r="O25" s="14"/>
      <c r="P25" s="14"/>
      <c r="Q25" s="14"/>
      <c r="R25" s="14"/>
      <c r="S25" s="14"/>
      <c r="T25" s="14"/>
      <c r="U25" s="14"/>
      <c r="V25" s="14"/>
    </row>
    <row r="26" spans="2:22">
      <c r="B26" s="14"/>
      <c r="C26" s="14"/>
      <c r="D26" s="14"/>
      <c r="E26" s="14"/>
      <c r="F26" s="14"/>
      <c r="G26" s="14"/>
      <c r="H26" s="14"/>
      <c r="I26" s="14"/>
      <c r="J26" s="14"/>
      <c r="K26" s="14"/>
      <c r="L26" s="14"/>
      <c r="M26" s="14"/>
      <c r="N26" s="14"/>
      <c r="O26" s="14"/>
      <c r="P26" s="14"/>
      <c r="Q26" s="14"/>
      <c r="R26" s="14"/>
      <c r="S26" s="14"/>
      <c r="T26" s="14"/>
      <c r="U26" s="14"/>
      <c r="V26" s="14"/>
    </row>
    <row r="27" spans="2:22">
      <c r="B27" s="14"/>
      <c r="C27" s="14"/>
      <c r="D27" s="14"/>
      <c r="E27" s="450"/>
      <c r="F27" s="450"/>
      <c r="G27" s="450"/>
      <c r="H27" s="450"/>
      <c r="I27" s="450"/>
      <c r="J27" s="450"/>
      <c r="K27" s="450"/>
      <c r="L27" s="450"/>
      <c r="M27" s="450"/>
      <c r="N27" s="450"/>
      <c r="O27" s="450"/>
      <c r="P27" s="450"/>
      <c r="Q27" s="450"/>
      <c r="R27" s="450"/>
      <c r="S27" s="450"/>
      <c r="T27" s="450"/>
      <c r="U27" s="450"/>
      <c r="V27" s="14"/>
    </row>
    <row r="28" spans="2:22">
      <c r="B28" s="14"/>
      <c r="C28" s="14"/>
      <c r="D28" s="14"/>
      <c r="E28" s="450" t="s">
        <v>25</v>
      </c>
      <c r="F28" s="450"/>
      <c r="G28" s="25"/>
      <c r="H28" s="450" t="s">
        <v>42</v>
      </c>
      <c r="I28" s="450"/>
      <c r="J28" s="25"/>
      <c r="K28" s="450" t="s">
        <v>27</v>
      </c>
      <c r="L28" s="450"/>
      <c r="M28" s="25"/>
      <c r="N28" s="450" t="s">
        <v>28</v>
      </c>
      <c r="O28" s="450"/>
      <c r="P28" s="25"/>
      <c r="Q28" s="450" t="s">
        <v>29</v>
      </c>
      <c r="R28" s="450"/>
      <c r="S28" s="25"/>
      <c r="T28" s="450" t="s">
        <v>30</v>
      </c>
      <c r="U28" s="450"/>
      <c r="V28" s="14"/>
    </row>
    <row r="29" spans="2:22" ht="21" customHeight="1">
      <c r="B29" s="14"/>
      <c r="C29" s="14"/>
      <c r="D29" s="14"/>
      <c r="E29" s="18" t="s">
        <v>88</v>
      </c>
      <c r="F29" s="18" t="s">
        <v>89</v>
      </c>
      <c r="G29" s="25"/>
      <c r="H29" s="18" t="s">
        <v>88</v>
      </c>
      <c r="I29" s="18" t="s">
        <v>89</v>
      </c>
      <c r="J29" s="25"/>
      <c r="K29" s="18" t="s">
        <v>88</v>
      </c>
      <c r="L29" s="18" t="s">
        <v>89</v>
      </c>
      <c r="M29" s="25"/>
      <c r="N29" s="18" t="s">
        <v>88</v>
      </c>
      <c r="O29" s="18" t="s">
        <v>89</v>
      </c>
      <c r="P29" s="25"/>
      <c r="Q29" s="18" t="s">
        <v>88</v>
      </c>
      <c r="R29" s="18" t="s">
        <v>89</v>
      </c>
      <c r="S29" s="25"/>
      <c r="T29" s="18" t="s">
        <v>88</v>
      </c>
      <c r="U29" s="18" t="s">
        <v>89</v>
      </c>
      <c r="V29" s="14"/>
    </row>
    <row r="30" spans="2:22" ht="30">
      <c r="B30" s="14"/>
      <c r="C30" s="27"/>
      <c r="D30" s="108" t="s">
        <v>90</v>
      </c>
      <c r="E30" s="58" t="s">
        <v>91</v>
      </c>
      <c r="F30" s="58" t="s">
        <v>91</v>
      </c>
      <c r="G30" s="84"/>
      <c r="H30" s="58" t="s">
        <v>91</v>
      </c>
      <c r="I30" s="58" t="s">
        <v>91</v>
      </c>
      <c r="J30" s="84"/>
      <c r="K30" s="58" t="s">
        <v>91</v>
      </c>
      <c r="L30" s="58" t="s">
        <v>91</v>
      </c>
      <c r="M30" s="84"/>
      <c r="N30" s="58" t="s">
        <v>91</v>
      </c>
      <c r="O30" s="58" t="s">
        <v>91</v>
      </c>
      <c r="P30" s="84"/>
      <c r="Q30" s="58" t="s">
        <v>91</v>
      </c>
      <c r="R30" s="58" t="s">
        <v>91</v>
      </c>
      <c r="S30" s="84"/>
      <c r="T30" s="58" t="s">
        <v>91</v>
      </c>
      <c r="U30" s="58" t="s">
        <v>91</v>
      </c>
      <c r="V30" s="14"/>
    </row>
    <row r="31" spans="2:22">
      <c r="B31" s="14"/>
      <c r="C31" s="6"/>
      <c r="D31" s="105"/>
      <c r="E31" s="194"/>
      <c r="F31" s="194"/>
      <c r="G31" s="228"/>
      <c r="H31" s="194"/>
      <c r="I31" s="194"/>
      <c r="J31" s="228"/>
      <c r="K31" s="194"/>
      <c r="L31" s="194"/>
      <c r="M31" s="228"/>
      <c r="N31" s="194"/>
      <c r="O31" s="194"/>
      <c r="P31" s="228"/>
      <c r="Q31" s="194"/>
      <c r="R31" s="194"/>
      <c r="S31" s="228"/>
      <c r="T31" s="194"/>
      <c r="U31" s="194"/>
      <c r="V31" s="14"/>
    </row>
    <row r="32" spans="2:22">
      <c r="B32" s="14"/>
      <c r="C32" s="321" t="s">
        <v>92</v>
      </c>
      <c r="D32" s="106"/>
      <c r="E32" s="194"/>
      <c r="F32" s="194"/>
      <c r="G32" s="228"/>
      <c r="H32" s="194"/>
      <c r="I32" s="194"/>
      <c r="J32" s="228"/>
      <c r="K32" s="194"/>
      <c r="L32" s="194"/>
      <c r="M32" s="228"/>
      <c r="N32" s="194"/>
      <c r="O32" s="194"/>
      <c r="P32" s="228"/>
      <c r="Q32" s="194"/>
      <c r="R32" s="194"/>
      <c r="S32" s="228"/>
      <c r="T32" s="194"/>
      <c r="U32" s="194"/>
      <c r="V32" s="14"/>
    </row>
    <row r="33" spans="2:22">
      <c r="B33" s="14"/>
      <c r="C33" s="176" t="s">
        <v>228</v>
      </c>
      <c r="D33" s="106"/>
      <c r="E33" s="194"/>
      <c r="F33" s="194">
        <f>$E$77</f>
        <v>30.461538461538463</v>
      </c>
      <c r="G33" s="228"/>
      <c r="H33" s="194"/>
      <c r="I33" s="194">
        <f>$E$77</f>
        <v>30.461538461538463</v>
      </c>
      <c r="J33" s="228"/>
      <c r="K33" s="194"/>
      <c r="L33" s="194">
        <f>$E$77</f>
        <v>30.461538461538463</v>
      </c>
      <c r="M33" s="228"/>
      <c r="N33" s="194"/>
      <c r="O33" s="194">
        <f>$E$77</f>
        <v>30.461538461538463</v>
      </c>
      <c r="P33" s="228"/>
      <c r="Q33" s="194"/>
      <c r="R33" s="194">
        <f>$E$77</f>
        <v>30.461538461538463</v>
      </c>
      <c r="S33" s="228"/>
      <c r="T33" s="194"/>
      <c r="U33" s="194">
        <f>$E$77</f>
        <v>30.461538461538463</v>
      </c>
      <c r="V33" s="14"/>
    </row>
    <row r="34" spans="2:22">
      <c r="B34" s="14"/>
      <c r="C34" s="176" t="s">
        <v>93</v>
      </c>
      <c r="D34" s="147" cm="1">
        <f t="array" ref="D34">_xlfn.IFS('Overview and dashboard'!T13="Poor",0,'Overview and dashboard'!T13="Moderate",0.08,'Overview and dashboard'!T13="Good",0.11)</f>
        <v>0.08</v>
      </c>
      <c r="E34" s="194"/>
      <c r="F34" s="194"/>
      <c r="G34" s="228"/>
      <c r="H34" s="194"/>
      <c r="I34" s="194"/>
      <c r="J34" s="228"/>
      <c r="K34" s="194"/>
      <c r="L34" s="194">
        <f>$D$34*$E$83</f>
        <v>0</v>
      </c>
      <c r="M34" s="228"/>
      <c r="N34" s="194"/>
      <c r="O34" s="194">
        <f>$D$34*$E$84</f>
        <v>0</v>
      </c>
      <c r="P34" s="228"/>
      <c r="Q34" s="194"/>
      <c r="R34" s="194">
        <f>$D$34*$E$85</f>
        <v>0</v>
      </c>
      <c r="S34" s="228"/>
      <c r="T34" s="194"/>
      <c r="U34" s="194"/>
      <c r="V34" s="14"/>
    </row>
    <row r="35" spans="2:22">
      <c r="B35" s="14"/>
      <c r="C35" s="176" t="s">
        <v>632</v>
      </c>
      <c r="D35" s="147" cm="1">
        <f t="array" ref="D35">_xlfn.IFS('Overview and dashboard'!S13="Poor",0,'Overview and dashboard'!S13="Moderate",0.01,'Overview and dashboard'!S13="Good",0.02)</f>
        <v>0.01</v>
      </c>
      <c r="E35" s="194"/>
      <c r="F35" s="194"/>
      <c r="G35" s="228"/>
      <c r="H35" s="194"/>
      <c r="I35" s="194"/>
      <c r="J35" s="228"/>
      <c r="K35" s="194"/>
      <c r="L35" s="194"/>
      <c r="M35" s="228"/>
      <c r="N35" s="194"/>
      <c r="O35" s="194"/>
      <c r="P35" s="228"/>
      <c r="Q35" s="194"/>
      <c r="R35" s="194"/>
      <c r="S35" s="228"/>
      <c r="T35" s="194"/>
      <c r="U35" s="194">
        <f>T41+$D$37*$E$86</f>
        <v>0</v>
      </c>
      <c r="V35" s="14"/>
    </row>
    <row r="36" spans="2:22">
      <c r="B36" s="14"/>
      <c r="C36" s="176"/>
      <c r="D36" s="106"/>
      <c r="E36" s="194"/>
      <c r="F36" s="194"/>
      <c r="G36" s="228"/>
      <c r="H36" s="194"/>
      <c r="I36" s="194"/>
      <c r="J36" s="228"/>
      <c r="K36" s="194"/>
      <c r="L36" s="194"/>
      <c r="M36" s="228"/>
      <c r="N36" s="194"/>
      <c r="O36" s="194"/>
      <c r="P36" s="228"/>
      <c r="Q36" s="194"/>
      <c r="R36" s="194"/>
      <c r="S36" s="228"/>
      <c r="T36" s="194"/>
      <c r="U36" s="194"/>
      <c r="V36" s="14"/>
    </row>
    <row r="37" spans="2:22">
      <c r="B37" s="14"/>
      <c r="C37" s="321" t="s">
        <v>94</v>
      </c>
      <c r="D37" s="106"/>
      <c r="E37" s="194"/>
      <c r="F37" s="194"/>
      <c r="G37" s="228"/>
      <c r="H37" s="194"/>
      <c r="I37" s="194"/>
      <c r="J37" s="228"/>
      <c r="K37" s="194"/>
      <c r="L37" s="194"/>
      <c r="M37" s="228"/>
      <c r="N37" s="194"/>
      <c r="O37" s="194"/>
      <c r="P37" s="228"/>
      <c r="Q37" s="194"/>
      <c r="R37" s="194"/>
      <c r="S37" s="228"/>
      <c r="T37" s="194"/>
      <c r="U37" s="194"/>
      <c r="V37" s="14"/>
    </row>
    <row r="38" spans="2:22" ht="15.75" thickBot="1">
      <c r="B38" s="14"/>
      <c r="C38" s="176"/>
      <c r="D38" s="105"/>
      <c r="E38" s="194"/>
      <c r="F38" s="194"/>
      <c r="G38" s="228"/>
      <c r="H38" s="194"/>
      <c r="I38" s="194"/>
      <c r="J38" s="228"/>
      <c r="K38" s="194"/>
      <c r="L38" s="194"/>
      <c r="M38" s="228"/>
      <c r="N38" s="194"/>
      <c r="O38" s="194"/>
      <c r="P38" s="228"/>
      <c r="Q38" s="194"/>
      <c r="R38" s="194"/>
      <c r="S38" s="228"/>
      <c r="T38" s="194"/>
      <c r="U38" s="194"/>
      <c r="V38" s="14"/>
    </row>
    <row r="39" spans="2:22" ht="16.5" thickTop="1" thickBot="1">
      <c r="B39" s="14"/>
      <c r="C39" s="24" t="s">
        <v>68</v>
      </c>
      <c r="D39" s="107"/>
      <c r="E39" s="195">
        <f>SUM(E33:E37)</f>
        <v>0</v>
      </c>
      <c r="F39" s="195">
        <f>SUM(F33:F37)</f>
        <v>30.461538461538463</v>
      </c>
      <c r="G39" s="196"/>
      <c r="H39" s="195">
        <f>SUM(H32:H38)</f>
        <v>0</v>
      </c>
      <c r="I39" s="195">
        <f>SUM(I33:I38)</f>
        <v>30.461538461538463</v>
      </c>
      <c r="J39" s="196"/>
      <c r="K39" s="195">
        <f>SUM(K32:K38)</f>
        <v>0</v>
      </c>
      <c r="L39" s="195">
        <f>SUM(L33:L38)</f>
        <v>30.461538461538463</v>
      </c>
      <c r="M39" s="196"/>
      <c r="N39" s="195">
        <f>SUM(N32:N38)</f>
        <v>0</v>
      </c>
      <c r="O39" s="195">
        <f>SUM(O33:O38)</f>
        <v>30.461538461538463</v>
      </c>
      <c r="P39" s="196"/>
      <c r="Q39" s="195">
        <f>SUM(Q32:Q38)</f>
        <v>0</v>
      </c>
      <c r="R39" s="195">
        <f>SUM(R33:R38)</f>
        <v>30.461538461538463</v>
      </c>
      <c r="S39" s="196"/>
      <c r="T39" s="195">
        <f>SUM(T32:T38)</f>
        <v>0</v>
      </c>
      <c r="U39" s="195">
        <f>SUM(U33:U38)</f>
        <v>30.461538461538463</v>
      </c>
      <c r="V39" s="14"/>
    </row>
    <row r="40" spans="2:22" ht="15.75" thickTop="1">
      <c r="B40" s="14"/>
      <c r="C40" s="321" t="s">
        <v>95</v>
      </c>
      <c r="D40" s="105"/>
      <c r="E40" s="194"/>
      <c r="F40" s="194"/>
      <c r="G40" s="228"/>
      <c r="H40" s="194"/>
      <c r="I40" s="194"/>
      <c r="J40" s="228"/>
      <c r="K40" s="194"/>
      <c r="L40" s="194"/>
      <c r="M40" s="228"/>
      <c r="N40" s="194"/>
      <c r="O40" s="194"/>
      <c r="P40" s="228"/>
      <c r="Q40" s="194"/>
      <c r="R40" s="194"/>
      <c r="S40" s="228"/>
      <c r="T40" s="194"/>
      <c r="U40" s="194"/>
      <c r="V40" s="14"/>
    </row>
    <row r="41" spans="2:22">
      <c r="B41" s="14"/>
      <c r="C41" s="229" t="s">
        <v>229</v>
      </c>
      <c r="D41" s="105"/>
      <c r="E41" s="194">
        <f>H81</f>
        <v>0</v>
      </c>
      <c r="F41" s="194"/>
      <c r="G41" s="228"/>
      <c r="H41" s="194">
        <f>H82</f>
        <v>0</v>
      </c>
      <c r="I41" s="194"/>
      <c r="J41" s="228"/>
      <c r="K41" s="194">
        <f>H83</f>
        <v>0</v>
      </c>
      <c r="L41" s="194"/>
      <c r="M41" s="228"/>
      <c r="N41" s="194">
        <f>H84</f>
        <v>0</v>
      </c>
      <c r="O41" s="194"/>
      <c r="P41" s="228"/>
      <c r="Q41" s="194">
        <f>H85</f>
        <v>0</v>
      </c>
      <c r="R41" s="194"/>
      <c r="S41" s="228"/>
      <c r="T41" s="194">
        <f>H86</f>
        <v>0</v>
      </c>
      <c r="U41" s="194"/>
      <c r="V41" s="14"/>
    </row>
    <row r="42" spans="2:22" ht="18.600000000000001" customHeight="1">
      <c r="B42" s="14"/>
      <c r="C42" s="229" t="s">
        <v>96</v>
      </c>
      <c r="D42" s="241">
        <f>E128</f>
        <v>7.4999999999999997E-2</v>
      </c>
      <c r="E42" s="194">
        <f>$E$81*$E$127*($E$128)</f>
        <v>0</v>
      </c>
      <c r="F42" s="194"/>
      <c r="G42" s="228"/>
      <c r="H42" s="194">
        <f>$E$82*$E$127*($E$128)</f>
        <v>0</v>
      </c>
      <c r="I42" s="194"/>
      <c r="J42" s="228"/>
      <c r="K42" s="194"/>
      <c r="L42" s="194"/>
      <c r="M42" s="228"/>
      <c r="N42" s="194"/>
      <c r="O42" s="194"/>
      <c r="P42" s="228"/>
      <c r="Q42" s="194"/>
      <c r="R42" s="194"/>
      <c r="S42" s="228"/>
      <c r="T42" s="194"/>
      <c r="U42" s="194"/>
      <c r="V42" s="14"/>
    </row>
    <row r="43" spans="2:22">
      <c r="B43" s="14"/>
      <c r="C43" s="229"/>
      <c r="D43" s="106"/>
      <c r="E43" s="194"/>
      <c r="F43" s="194"/>
      <c r="G43" s="228"/>
      <c r="H43" s="194"/>
      <c r="I43" s="194"/>
      <c r="J43" s="228"/>
      <c r="K43" s="194"/>
      <c r="L43" s="194"/>
      <c r="M43" s="228"/>
      <c r="N43" s="194"/>
      <c r="O43" s="194"/>
      <c r="P43" s="228"/>
      <c r="Q43" s="194"/>
      <c r="R43" s="194"/>
      <c r="S43" s="228"/>
      <c r="T43" s="194"/>
      <c r="U43" s="194"/>
      <c r="V43" s="14"/>
    </row>
    <row r="44" spans="2:22">
      <c r="B44" s="14"/>
      <c r="C44" s="326" t="s">
        <v>97</v>
      </c>
      <c r="D44" s="106"/>
      <c r="E44" s="194"/>
      <c r="F44" s="194"/>
      <c r="G44" s="228"/>
      <c r="H44" s="194"/>
      <c r="I44" s="194"/>
      <c r="J44" s="228"/>
      <c r="K44" s="194"/>
      <c r="L44" s="194"/>
      <c r="M44" s="228"/>
      <c r="N44" s="194"/>
      <c r="O44" s="194"/>
      <c r="P44" s="228"/>
      <c r="Q44" s="194"/>
      <c r="R44" s="194"/>
      <c r="S44" s="228"/>
      <c r="T44" s="194"/>
      <c r="U44" s="194"/>
      <c r="V44" s="14"/>
    </row>
    <row r="45" spans="2:22">
      <c r="B45" s="14"/>
      <c r="C45" s="326" t="s">
        <v>98</v>
      </c>
      <c r="D45" s="105"/>
      <c r="E45" s="194"/>
      <c r="F45" s="194"/>
      <c r="G45" s="228"/>
      <c r="H45" s="194"/>
      <c r="I45" s="194"/>
      <c r="J45" s="228"/>
      <c r="K45" s="194"/>
      <c r="L45" s="194"/>
      <c r="M45" s="228"/>
      <c r="N45" s="194"/>
      <c r="O45" s="194"/>
      <c r="P45" s="228"/>
      <c r="Q45" s="194"/>
      <c r="R45" s="194"/>
      <c r="S45" s="228"/>
      <c r="T45" s="194"/>
      <c r="U45" s="194"/>
      <c r="V45" s="14"/>
    </row>
    <row r="46" spans="2:22" ht="30">
      <c r="B46" s="14"/>
      <c r="C46" s="229" t="str">
        <f>C98</f>
        <v>Average annual SA SP timber establishment costs over 25 year period</v>
      </c>
      <c r="D46" s="105"/>
      <c r="E46" s="194">
        <f>$E$98</f>
        <v>23.52</v>
      </c>
      <c r="F46" s="194"/>
      <c r="G46" s="228"/>
      <c r="H46" s="194">
        <f>$E$98</f>
        <v>23.52</v>
      </c>
      <c r="I46" s="194"/>
      <c r="J46" s="228"/>
      <c r="K46" s="194">
        <f>$E$98</f>
        <v>23.52</v>
      </c>
      <c r="L46" s="194"/>
      <c r="M46" s="228"/>
      <c r="N46" s="194">
        <f>$E$98</f>
        <v>23.52</v>
      </c>
      <c r="O46" s="194"/>
      <c r="P46" s="228"/>
      <c r="Q46" s="194">
        <f>$E$98</f>
        <v>23.52</v>
      </c>
      <c r="R46" s="194"/>
      <c r="S46" s="228"/>
      <c r="T46" s="194">
        <f>$E$98</f>
        <v>23.52</v>
      </c>
      <c r="U46" s="194"/>
      <c r="V46" s="14"/>
    </row>
    <row r="47" spans="2:22">
      <c r="B47" s="14"/>
      <c r="C47" s="229"/>
      <c r="D47" s="106"/>
      <c r="E47" s="194"/>
      <c r="F47" s="194"/>
      <c r="G47" s="228"/>
      <c r="H47" s="194"/>
      <c r="I47" s="194"/>
      <c r="J47" s="228"/>
      <c r="K47" s="194"/>
      <c r="L47" s="194"/>
      <c r="M47" s="228"/>
      <c r="N47" s="194"/>
      <c r="O47" s="194"/>
      <c r="P47" s="228"/>
      <c r="Q47" s="194"/>
      <c r="R47" s="194"/>
      <c r="S47" s="228"/>
      <c r="T47" s="194"/>
      <c r="U47" s="194"/>
      <c r="V47" s="14"/>
    </row>
    <row r="48" spans="2:22">
      <c r="B48" s="14"/>
      <c r="C48" s="326" t="s">
        <v>101</v>
      </c>
      <c r="D48" s="105"/>
      <c r="E48" s="194"/>
      <c r="F48" s="194"/>
      <c r="G48" s="228"/>
      <c r="H48" s="194"/>
      <c r="I48" s="194"/>
      <c r="J48" s="228"/>
      <c r="K48" s="194"/>
      <c r="L48" s="194"/>
      <c r="M48" s="228"/>
      <c r="N48" s="194"/>
      <c r="O48" s="194"/>
      <c r="P48" s="228"/>
      <c r="Q48" s="194"/>
      <c r="R48" s="194"/>
      <c r="S48" s="228"/>
      <c r="T48" s="194"/>
      <c r="U48" s="194"/>
      <c r="V48" s="14"/>
    </row>
    <row r="49" spans="2:22" ht="30">
      <c r="B49" s="14"/>
      <c r="C49" s="229" t="str">
        <f>C105</f>
        <v>Average annual SA SP timber maintenance costs over 25 year period</v>
      </c>
      <c r="D49" s="105"/>
      <c r="E49" s="194">
        <f>$E$105</f>
        <v>86.703999999999994</v>
      </c>
      <c r="F49" s="194"/>
      <c r="G49" s="228"/>
      <c r="H49" s="194">
        <f>$E$105</f>
        <v>86.703999999999994</v>
      </c>
      <c r="I49" s="194"/>
      <c r="J49" s="228"/>
      <c r="K49" s="194">
        <f>$E$105</f>
        <v>86.703999999999994</v>
      </c>
      <c r="L49" s="194"/>
      <c r="M49" s="228"/>
      <c r="N49" s="194">
        <f>$E$105</f>
        <v>86.703999999999994</v>
      </c>
      <c r="O49" s="194"/>
      <c r="P49" s="228"/>
      <c r="Q49" s="194">
        <f>$E$105</f>
        <v>86.703999999999994</v>
      </c>
      <c r="R49" s="194"/>
      <c r="S49" s="228"/>
      <c r="T49" s="194">
        <f>$E$105</f>
        <v>86.703999999999994</v>
      </c>
      <c r="U49" s="194"/>
      <c r="V49" s="14"/>
    </row>
    <row r="50" spans="2:22" ht="15.75" thickBot="1">
      <c r="B50" s="14"/>
      <c r="C50" s="229"/>
      <c r="D50" s="105"/>
      <c r="E50" s="194"/>
      <c r="F50" s="194"/>
      <c r="G50" s="228"/>
      <c r="H50" s="194"/>
      <c r="I50" s="194"/>
      <c r="J50" s="228"/>
      <c r="K50" s="194"/>
      <c r="L50" s="194"/>
      <c r="M50" s="228"/>
      <c r="N50" s="194"/>
      <c r="O50" s="194"/>
      <c r="P50" s="228"/>
      <c r="Q50" s="194"/>
      <c r="R50" s="194"/>
      <c r="S50" s="228"/>
      <c r="T50" s="194"/>
      <c r="U50" s="194"/>
      <c r="V50" s="14"/>
    </row>
    <row r="51" spans="2:22" ht="16.5" thickTop="1" thickBot="1">
      <c r="B51" s="14"/>
      <c r="C51" s="24" t="s">
        <v>68</v>
      </c>
      <c r="D51" s="91"/>
      <c r="E51" s="195">
        <f>SUM(E41:E50)</f>
        <v>110.22399999999999</v>
      </c>
      <c r="F51" s="195">
        <f>SUM(F41:F50)</f>
        <v>0</v>
      </c>
      <c r="G51" s="196"/>
      <c r="H51" s="195">
        <f>SUM(H41:H50)</f>
        <v>110.22399999999999</v>
      </c>
      <c r="I51" s="195">
        <f>SUM(I41:I50)</f>
        <v>0</v>
      </c>
      <c r="J51" s="196"/>
      <c r="K51" s="195">
        <f>SUM(K41:K50)</f>
        <v>110.22399999999999</v>
      </c>
      <c r="L51" s="195">
        <f>SUM(L41:L50)</f>
        <v>0</v>
      </c>
      <c r="M51" s="196"/>
      <c r="N51" s="195">
        <f>SUM(N41:N50)</f>
        <v>110.22399999999999</v>
      </c>
      <c r="O51" s="195">
        <f>SUM(O41:O50)</f>
        <v>0</v>
      </c>
      <c r="P51" s="196"/>
      <c r="Q51" s="195">
        <f>SUM(Q41:Q50)</f>
        <v>110.22399999999999</v>
      </c>
      <c r="R51" s="195">
        <f>SUM(R41:R50)</f>
        <v>0</v>
      </c>
      <c r="S51" s="196"/>
      <c r="T51" s="195">
        <f>SUM(T41:T50)</f>
        <v>110.22399999999999</v>
      </c>
      <c r="U51" s="195">
        <f>SUM(U41:U50)</f>
        <v>0</v>
      </c>
      <c r="V51" s="14"/>
    </row>
    <row r="52" spans="2:22" ht="15.75" thickTop="1">
      <c r="B52" s="14"/>
      <c r="C52" s="317"/>
      <c r="D52" s="318"/>
      <c r="E52" s="261"/>
      <c r="F52" s="261"/>
      <c r="G52" s="269"/>
      <c r="H52" s="261"/>
      <c r="I52" s="261"/>
      <c r="J52" s="269"/>
      <c r="K52" s="261"/>
      <c r="L52" s="261"/>
      <c r="M52" s="269"/>
      <c r="N52" s="261"/>
      <c r="O52" s="261"/>
      <c r="P52" s="269"/>
      <c r="Q52" s="261"/>
      <c r="R52" s="261"/>
      <c r="S52" s="269"/>
      <c r="T52" s="261"/>
      <c r="U52" s="261"/>
      <c r="V52" s="14"/>
    </row>
    <row r="53" spans="2:22">
      <c r="B53" s="14"/>
      <c r="C53" s="19" t="s">
        <v>75</v>
      </c>
      <c r="D53" s="22"/>
      <c r="E53" s="197">
        <f>-E39-E51</f>
        <v>-110.22399999999999</v>
      </c>
      <c r="F53" s="197">
        <f>F39+F51</f>
        <v>30.461538461538463</v>
      </c>
      <c r="G53" s="198"/>
      <c r="H53" s="197">
        <f>-H39-H51</f>
        <v>-110.22399999999999</v>
      </c>
      <c r="I53" s="197">
        <f>I39+I51</f>
        <v>30.461538461538463</v>
      </c>
      <c r="J53" s="198"/>
      <c r="K53" s="197">
        <f>-K39-K51</f>
        <v>-110.22399999999999</v>
      </c>
      <c r="L53" s="197">
        <f>L39+L51</f>
        <v>30.461538461538463</v>
      </c>
      <c r="M53" s="198"/>
      <c r="N53" s="197">
        <f>-N39-N51</f>
        <v>-110.22399999999999</v>
      </c>
      <c r="O53" s="197">
        <f>O39+O51</f>
        <v>30.461538461538463</v>
      </c>
      <c r="P53" s="198"/>
      <c r="Q53" s="197">
        <f>-Q39-Q51</f>
        <v>-110.22399999999999</v>
      </c>
      <c r="R53" s="197">
        <f>R39+R51</f>
        <v>30.461538461538463</v>
      </c>
      <c r="S53" s="198"/>
      <c r="T53" s="197">
        <f>-T39-T51</f>
        <v>-110.22399999999999</v>
      </c>
      <c r="U53" s="197">
        <f>U39+U51</f>
        <v>30.461538461538463</v>
      </c>
      <c r="V53" s="14"/>
    </row>
    <row r="54" spans="2:22" ht="4.5" customHeight="1">
      <c r="B54" s="14"/>
      <c r="C54" s="2"/>
      <c r="D54" s="1"/>
      <c r="E54" s="199"/>
      <c r="F54" s="199"/>
      <c r="G54" s="200"/>
      <c r="H54" s="199"/>
      <c r="I54" s="199"/>
      <c r="J54" s="200"/>
      <c r="K54" s="199"/>
      <c r="L54" s="199"/>
      <c r="M54" s="200"/>
      <c r="N54" s="199"/>
      <c r="O54" s="199"/>
      <c r="P54" s="200"/>
      <c r="Q54" s="199"/>
      <c r="R54" s="199"/>
      <c r="S54" s="200"/>
      <c r="T54" s="199"/>
      <c r="U54" s="199"/>
      <c r="V54" s="14"/>
    </row>
    <row r="55" spans="2:22">
      <c r="B55" s="14"/>
      <c r="C55" s="29" t="s">
        <v>102</v>
      </c>
      <c r="D55" s="92"/>
      <c r="E55" s="201"/>
      <c r="F55" s="201">
        <f>E53+F53</f>
        <v>-79.762461538461523</v>
      </c>
      <c r="G55" s="200"/>
      <c r="H55" s="201"/>
      <c r="I55" s="201">
        <f>H53+I53</f>
        <v>-79.762461538461523</v>
      </c>
      <c r="J55" s="200"/>
      <c r="K55" s="201"/>
      <c r="L55" s="201">
        <f>K53+L53</f>
        <v>-79.762461538461523</v>
      </c>
      <c r="M55" s="200"/>
      <c r="N55" s="201"/>
      <c r="O55" s="201">
        <f>N53+O53</f>
        <v>-79.762461538461523</v>
      </c>
      <c r="P55" s="200"/>
      <c r="Q55" s="201"/>
      <c r="R55" s="201">
        <f>Q53+R53</f>
        <v>-79.762461538461523</v>
      </c>
      <c r="S55" s="200"/>
      <c r="T55" s="201"/>
      <c r="U55" s="201">
        <f>T53+U53</f>
        <v>-79.762461538461523</v>
      </c>
      <c r="V55" s="14"/>
    </row>
    <row r="56" spans="2:22">
      <c r="B56" s="14"/>
      <c r="C56" s="321" t="s">
        <v>103</v>
      </c>
      <c r="D56" s="105"/>
      <c r="E56" s="202"/>
      <c r="F56" s="202"/>
      <c r="G56" s="323"/>
      <c r="H56" s="202"/>
      <c r="I56" s="202"/>
      <c r="J56" s="323"/>
      <c r="K56" s="202"/>
      <c r="L56" s="202"/>
      <c r="M56" s="323"/>
      <c r="N56" s="202"/>
      <c r="O56" s="202"/>
      <c r="P56" s="323"/>
      <c r="Q56" s="202"/>
      <c r="R56" s="202"/>
      <c r="S56" s="323"/>
      <c r="T56" s="202"/>
      <c r="U56" s="202"/>
      <c r="V56" s="14"/>
    </row>
    <row r="57" spans="2:22">
      <c r="B57" s="14"/>
      <c r="C57" s="321"/>
      <c r="D57" s="105"/>
      <c r="E57" s="253"/>
      <c r="F57" s="253"/>
      <c r="G57" s="323"/>
      <c r="H57" s="253"/>
      <c r="I57" s="253"/>
      <c r="J57" s="323"/>
      <c r="K57" s="253"/>
      <c r="L57" s="253"/>
      <c r="M57" s="323"/>
      <c r="N57" s="253"/>
      <c r="O57" s="253"/>
      <c r="P57" s="323"/>
      <c r="Q57" s="253"/>
      <c r="R57" s="253"/>
      <c r="S57" s="323"/>
      <c r="T57" s="253"/>
      <c r="U57" s="253"/>
      <c r="V57" s="14"/>
    </row>
    <row r="58" spans="2:22">
      <c r="B58" s="14"/>
      <c r="C58" s="321"/>
      <c r="D58" s="105"/>
      <c r="E58" s="253"/>
      <c r="F58" s="253"/>
      <c r="G58" s="323"/>
      <c r="H58" s="253"/>
      <c r="I58" s="253"/>
      <c r="J58" s="323"/>
      <c r="K58" s="253"/>
      <c r="L58" s="253"/>
      <c r="M58" s="323"/>
      <c r="N58" s="253"/>
      <c r="O58" s="253"/>
      <c r="P58" s="323"/>
      <c r="Q58" s="253"/>
      <c r="R58" s="253"/>
      <c r="S58" s="323"/>
      <c r="T58" s="253"/>
      <c r="U58" s="253"/>
      <c r="V58" s="14"/>
    </row>
    <row r="59" spans="2:22">
      <c r="B59" s="14"/>
      <c r="C59" s="176" t="s">
        <v>104</v>
      </c>
      <c r="D59" s="105"/>
      <c r="E59" s="253"/>
      <c r="F59" s="260" cm="1">
        <f t="array" ref="F59">_xlfn.IFS('Overview and dashboard'!$T$9="No support",0,'Overview and dashboard'!$T$9="Current support schemes",IFERROR(VLOOKUP('Overview and dashboard'!$F$6,$C$133:$H$143,6,0),0),'Overview and dashboard'!$T$9="Income foregone",E51-F33)</f>
        <v>0</v>
      </c>
      <c r="G59" s="269"/>
      <c r="H59" s="260"/>
      <c r="I59" s="260" cm="1">
        <f t="array" ref="I59">_xlfn.IFS('Overview and dashboard'!$T$9="No support",0,'Overview and dashboard'!$T$9="Current support schemes",IFERROR(VLOOKUP('Overview and dashboard'!$F$6,$C$133:$H$143,6,0),0),'Overview and dashboard'!$T$9="Income foregone",H51-I33)</f>
        <v>0</v>
      </c>
      <c r="J59" s="269"/>
      <c r="K59" s="260"/>
      <c r="L59" s="260" cm="1">
        <f t="array" ref="L59">_xlfn.IFS('Overview and dashboard'!$T$9="No support",0,'Overview and dashboard'!$T$9="Current support schemes",IFERROR(VLOOKUP('Overview and dashboard'!$F$6,$C$133:$H$143,6,0),0),'Overview and dashboard'!$T$9="Income foregone",K51-L33)</f>
        <v>0</v>
      </c>
      <c r="M59" s="269"/>
      <c r="N59" s="260"/>
      <c r="O59" s="260" cm="1">
        <f t="array" ref="O59">_xlfn.IFS('Overview and dashboard'!$T$9="No support",0,'Overview and dashboard'!$T$9="Current support schemes",IFERROR(VLOOKUP('Overview and dashboard'!$F$6,$C$133:$H$143,6,0),0),'Overview and dashboard'!$T$9="Income foregone",N51-O33)</f>
        <v>0</v>
      </c>
      <c r="P59" s="269"/>
      <c r="Q59" s="260"/>
      <c r="R59" s="260" cm="1">
        <f t="array" ref="R59">_xlfn.IFS('Overview and dashboard'!$T$9="No support",0,'Overview and dashboard'!$T$9="Current support schemes",IFERROR(VLOOKUP('Overview and dashboard'!$F$6,$C$133:$H$143,6,0),0),'Overview and dashboard'!$T$9="Income foregone",Q51-R33)</f>
        <v>0</v>
      </c>
      <c r="S59" s="269"/>
      <c r="T59" s="260"/>
      <c r="U59" s="260" cm="1">
        <f t="array" ref="U59">_xlfn.IFS('Overview and dashboard'!$T$9="No support",0,'Overview and dashboard'!$T$9="Current support schemes",IFERROR(VLOOKUP('Overview and dashboard'!$F$6,$C$133:$H$143,6,0),0),'Overview and dashboard'!$T$9="Income foregone",T51-U33)</f>
        <v>0</v>
      </c>
      <c r="V59" s="14"/>
    </row>
    <row r="60" spans="2:22" ht="15.75" thickBot="1">
      <c r="B60" s="14"/>
      <c r="C60" s="317" t="s">
        <v>230</v>
      </c>
      <c r="D60" s="327">
        <f>E120</f>
        <v>0</v>
      </c>
      <c r="E60" s="325"/>
      <c r="F60" s="254">
        <f>$E$121</f>
        <v>0</v>
      </c>
      <c r="G60" s="269"/>
      <c r="H60" s="325"/>
      <c r="I60" s="254">
        <f>$E$121</f>
        <v>0</v>
      </c>
      <c r="J60" s="269"/>
      <c r="K60" s="325"/>
      <c r="L60" s="254">
        <f>$E$121</f>
        <v>0</v>
      </c>
      <c r="M60" s="269"/>
      <c r="N60" s="325"/>
      <c r="O60" s="254">
        <f>$E$121</f>
        <v>0</v>
      </c>
      <c r="P60" s="269"/>
      <c r="Q60" s="325"/>
      <c r="R60" s="254">
        <f>$E$121</f>
        <v>0</v>
      </c>
      <c r="S60" s="269"/>
      <c r="T60" s="325"/>
      <c r="U60" s="254">
        <f>$E$121</f>
        <v>0</v>
      </c>
      <c r="V60" s="14"/>
    </row>
    <row r="61" spans="2:22" ht="16.5" thickTop="1" thickBot="1">
      <c r="B61" s="14"/>
      <c r="C61" s="24" t="s">
        <v>68</v>
      </c>
      <c r="D61" s="107"/>
      <c r="E61" s="195">
        <f>SUM(E56:E60)</f>
        <v>0</v>
      </c>
      <c r="F61" s="195">
        <f>SUM(F56:F60)</f>
        <v>0</v>
      </c>
      <c r="G61" s="196"/>
      <c r="H61" s="195">
        <f>SUM(H56:H60)</f>
        <v>0</v>
      </c>
      <c r="I61" s="195">
        <f>SUM(I56:I60)</f>
        <v>0</v>
      </c>
      <c r="J61" s="196"/>
      <c r="K61" s="195">
        <f>SUM(K56:K60)</f>
        <v>0</v>
      </c>
      <c r="L61" s="195">
        <f>SUM(L56:L60)</f>
        <v>0</v>
      </c>
      <c r="M61" s="196"/>
      <c r="N61" s="195">
        <f>SUM(N56:N60)</f>
        <v>0</v>
      </c>
      <c r="O61" s="195">
        <f>SUM(O56:O60)</f>
        <v>0</v>
      </c>
      <c r="P61" s="196"/>
      <c r="Q61" s="195">
        <f>SUM(Q56:Q60)</f>
        <v>0</v>
      </c>
      <c r="R61" s="195">
        <f>SUM(R56:R60)</f>
        <v>0</v>
      </c>
      <c r="S61" s="196"/>
      <c r="T61" s="195">
        <f>SUM(T56:T60)</f>
        <v>0</v>
      </c>
      <c r="U61" s="195">
        <f>SUM(U56:U60)</f>
        <v>0</v>
      </c>
      <c r="V61" s="14"/>
    </row>
    <row r="62" spans="2:22" ht="15.75" thickTop="1">
      <c r="B62" s="14"/>
      <c r="C62" s="29" t="s">
        <v>106</v>
      </c>
      <c r="D62" s="92"/>
      <c r="E62" s="201"/>
      <c r="F62" s="201">
        <f>F55+F61</f>
        <v>-79.762461538461523</v>
      </c>
      <c r="G62" s="200"/>
      <c r="H62" s="201"/>
      <c r="I62" s="201">
        <f>I55+I61</f>
        <v>-79.762461538461523</v>
      </c>
      <c r="J62" s="200"/>
      <c r="K62" s="201"/>
      <c r="L62" s="201">
        <f>L55+L61</f>
        <v>-79.762461538461523</v>
      </c>
      <c r="M62" s="200"/>
      <c r="N62" s="201"/>
      <c r="O62" s="201">
        <f>O55+O61</f>
        <v>-79.762461538461523</v>
      </c>
      <c r="P62" s="200"/>
      <c r="Q62" s="201"/>
      <c r="R62" s="201">
        <f>R55+R61</f>
        <v>-79.762461538461523</v>
      </c>
      <c r="S62" s="200"/>
      <c r="T62" s="201"/>
      <c r="U62" s="201">
        <f>U55+U61</f>
        <v>-79.762461538461523</v>
      </c>
      <c r="V62" s="14"/>
    </row>
    <row r="63" spans="2:22">
      <c r="B63" s="14"/>
      <c r="C63" s="14"/>
      <c r="D63" s="14"/>
      <c r="E63" s="14"/>
      <c r="F63" s="14"/>
      <c r="G63" s="14"/>
      <c r="H63" s="14"/>
      <c r="I63" s="14"/>
      <c r="J63" s="14"/>
      <c r="K63" s="14"/>
      <c r="L63" s="14"/>
      <c r="M63" s="14"/>
      <c r="N63" s="14"/>
      <c r="O63" s="14"/>
      <c r="P63" s="14"/>
      <c r="Q63" s="14"/>
      <c r="R63" s="14"/>
      <c r="S63" s="14"/>
      <c r="T63" s="14"/>
      <c r="U63" s="14"/>
      <c r="V63" s="14"/>
    </row>
    <row r="65" spans="3:8" s="28" customFormat="1" ht="15.75" thickBot="1"/>
    <row r="66" spans="3:8" s="28" customFormat="1">
      <c r="C66" s="463" t="s">
        <v>231</v>
      </c>
      <c r="D66" s="464"/>
      <c r="E66" s="465"/>
    </row>
    <row r="67" spans="3:8" s="28" customFormat="1">
      <c r="C67" s="78" t="s">
        <v>232</v>
      </c>
      <c r="D67" s="70"/>
      <c r="E67" s="76"/>
    </row>
    <row r="68" spans="3:8" s="28" customFormat="1">
      <c r="C68" s="75" t="s">
        <v>233</v>
      </c>
      <c r="D68" s="70"/>
      <c r="E68" s="76">
        <v>625</v>
      </c>
    </row>
    <row r="69" spans="3:8" s="28" customFormat="1" ht="45">
      <c r="C69" s="75" t="s">
        <v>234</v>
      </c>
      <c r="D69" s="70"/>
      <c r="E69" s="76">
        <v>16</v>
      </c>
    </row>
    <row r="70" spans="3:8" s="28" customFormat="1">
      <c r="C70" s="75" t="s">
        <v>235</v>
      </c>
      <c r="D70" s="70" t="s">
        <v>236</v>
      </c>
      <c r="E70" s="76">
        <v>693</v>
      </c>
    </row>
    <row r="71" spans="3:8" s="28" customFormat="1" ht="30">
      <c r="C71" s="75" t="s">
        <v>237</v>
      </c>
      <c r="D71" s="70" t="s">
        <v>114</v>
      </c>
      <c r="E71" s="76">
        <v>100</v>
      </c>
    </row>
    <row r="72" spans="3:8" s="28" customFormat="1">
      <c r="C72" s="75" t="s">
        <v>238</v>
      </c>
      <c r="D72" s="70" t="s">
        <v>119</v>
      </c>
      <c r="E72" s="81">
        <v>12.5</v>
      </c>
    </row>
    <row r="73" spans="3:8" s="28" customFormat="1" ht="75">
      <c r="C73" s="75" t="s">
        <v>239</v>
      </c>
      <c r="D73" s="70" t="s">
        <v>240</v>
      </c>
      <c r="E73" s="76">
        <v>1.82</v>
      </c>
    </row>
    <row r="74" spans="3:8" s="28" customFormat="1">
      <c r="C74" s="78" t="s">
        <v>241</v>
      </c>
      <c r="D74" s="59" t="s">
        <v>236</v>
      </c>
      <c r="E74" s="79">
        <f>E70/E68</f>
        <v>1.1088</v>
      </c>
    </row>
    <row r="75" spans="3:8" s="28" customFormat="1">
      <c r="C75" s="78" t="s">
        <v>242</v>
      </c>
      <c r="D75" s="59" t="s">
        <v>236</v>
      </c>
      <c r="E75" s="79">
        <f>E74*E71</f>
        <v>110.88</v>
      </c>
    </row>
    <row r="76" spans="3:8" s="28" customFormat="1">
      <c r="C76" s="78" t="s">
        <v>243</v>
      </c>
      <c r="D76" s="59"/>
      <c r="E76" s="83">
        <f>E75/E73*E72</f>
        <v>761.53846153846155</v>
      </c>
    </row>
    <row r="77" spans="3:8" ht="15.75" thickBot="1">
      <c r="C77" s="61" t="s">
        <v>244</v>
      </c>
      <c r="D77" s="80"/>
      <c r="E77" s="82">
        <f>E76/25</f>
        <v>30.461538461538463</v>
      </c>
      <c r="F77" s="28"/>
      <c r="G77" s="28"/>
    </row>
    <row r="78" spans="3:8" ht="15.75" thickBot="1"/>
    <row r="79" spans="3:8">
      <c r="C79" s="463" t="s">
        <v>245</v>
      </c>
      <c r="D79" s="464"/>
      <c r="E79" s="464"/>
      <c r="F79" s="464"/>
      <c r="G79" s="464"/>
      <c r="H79" s="465"/>
    </row>
    <row r="80" spans="3:8" ht="75">
      <c r="C80" s="78" t="s">
        <v>124</v>
      </c>
      <c r="D80" s="59" t="s">
        <v>125</v>
      </c>
      <c r="E80" s="59" t="s">
        <v>126</v>
      </c>
      <c r="F80" s="59" t="s">
        <v>246</v>
      </c>
      <c r="G80" s="40"/>
      <c r="H80" s="79" t="s">
        <v>128</v>
      </c>
    </row>
    <row r="81" spans="3:8">
      <c r="C81" s="47" t="s">
        <v>129</v>
      </c>
      <c r="D81" s="40">
        <f>Baseline!$D$24</f>
        <v>0</v>
      </c>
      <c r="E81" s="40">
        <f>Baseline!D23</f>
        <v>0</v>
      </c>
      <c r="F81" s="62">
        <v>0.08</v>
      </c>
      <c r="G81" s="40"/>
      <c r="H81" s="71">
        <f t="shared" ref="H81:H86" si="0">D81*F81</f>
        <v>0</v>
      </c>
    </row>
    <row r="82" spans="3:8">
      <c r="C82" s="47" t="s">
        <v>42</v>
      </c>
      <c r="D82" s="40">
        <f>Baseline!$E$24</f>
        <v>0</v>
      </c>
      <c r="E82" s="40">
        <f>Baseline!E23</f>
        <v>0</v>
      </c>
      <c r="F82" s="62">
        <v>0.08</v>
      </c>
      <c r="G82" s="40"/>
      <c r="H82" s="71">
        <f t="shared" si="0"/>
        <v>0</v>
      </c>
    </row>
    <row r="83" spans="3:8">
      <c r="C83" s="47" t="s">
        <v>27</v>
      </c>
      <c r="D83" s="40">
        <f>Baseline!$F$24</f>
        <v>0</v>
      </c>
      <c r="E83" s="40">
        <f>Baseline!F23</f>
        <v>0</v>
      </c>
      <c r="F83" s="62">
        <v>0.08</v>
      </c>
      <c r="G83" s="40"/>
      <c r="H83" s="71">
        <f t="shared" si="0"/>
        <v>0</v>
      </c>
    </row>
    <row r="84" spans="3:8">
      <c r="C84" s="47" t="s">
        <v>28</v>
      </c>
      <c r="D84" s="40">
        <f>Baseline!$G$24</f>
        <v>0</v>
      </c>
      <c r="E84" s="40">
        <f>Baseline!G23</f>
        <v>0</v>
      </c>
      <c r="F84" s="62">
        <v>0.08</v>
      </c>
      <c r="G84" s="40"/>
      <c r="H84" s="71">
        <f t="shared" si="0"/>
        <v>0</v>
      </c>
    </row>
    <row r="85" spans="3:8">
      <c r="C85" s="47" t="s">
        <v>29</v>
      </c>
      <c r="D85" s="40">
        <f>Baseline!$H$24</f>
        <v>0</v>
      </c>
      <c r="E85" s="40">
        <f>Baseline!H23</f>
        <v>0</v>
      </c>
      <c r="F85" s="62">
        <v>0.08</v>
      </c>
      <c r="G85" s="40"/>
      <c r="H85" s="71">
        <f t="shared" si="0"/>
        <v>0</v>
      </c>
    </row>
    <row r="86" spans="3:8" ht="15.75" thickBot="1">
      <c r="C86" s="65" t="s">
        <v>30</v>
      </c>
      <c r="D86" s="66">
        <f>Baseline!$I$24</f>
        <v>0</v>
      </c>
      <c r="E86" s="66">
        <f>Baseline!I23</f>
        <v>0</v>
      </c>
      <c r="F86" s="72">
        <v>0.08</v>
      </c>
      <c r="G86" s="66"/>
      <c r="H86" s="68">
        <f t="shared" si="0"/>
        <v>0</v>
      </c>
    </row>
    <row r="87" spans="3:8" ht="15.75" thickBot="1"/>
    <row r="88" spans="3:8">
      <c r="C88" s="463" t="s">
        <v>247</v>
      </c>
      <c r="D88" s="464"/>
      <c r="E88" s="465"/>
    </row>
    <row r="89" spans="3:8">
      <c r="C89" s="78" t="s">
        <v>131</v>
      </c>
      <c r="D89" s="63" t="s">
        <v>109</v>
      </c>
      <c r="E89" s="71" t="s">
        <v>132</v>
      </c>
    </row>
    <row r="90" spans="3:8">
      <c r="C90" s="75" t="s">
        <v>133</v>
      </c>
      <c r="D90" s="40" t="s">
        <v>64</v>
      </c>
      <c r="E90" s="48">
        <v>80</v>
      </c>
    </row>
    <row r="91" spans="3:8">
      <c r="C91" s="75" t="s">
        <v>134</v>
      </c>
      <c r="D91" s="40" t="s">
        <v>64</v>
      </c>
      <c r="E91" s="48">
        <v>170</v>
      </c>
    </row>
    <row r="92" spans="3:8">
      <c r="C92" s="75" t="s">
        <v>135</v>
      </c>
      <c r="D92" s="40" t="s">
        <v>64</v>
      </c>
      <c r="E92" s="48">
        <v>100</v>
      </c>
    </row>
    <row r="93" spans="3:8">
      <c r="C93" s="240" t="s">
        <v>248</v>
      </c>
      <c r="D93" s="40" t="s">
        <v>122</v>
      </c>
      <c r="E93" s="48">
        <v>1.6</v>
      </c>
    </row>
    <row r="94" spans="3:8">
      <c r="C94" s="240" t="s">
        <v>249</v>
      </c>
      <c r="D94" s="40" t="s">
        <v>114</v>
      </c>
      <c r="E94" s="60">
        <v>100</v>
      </c>
    </row>
    <row r="95" spans="3:8" ht="30">
      <c r="C95" s="240" t="s">
        <v>138</v>
      </c>
      <c r="D95" s="40" t="s">
        <v>137</v>
      </c>
      <c r="E95" s="48">
        <v>4</v>
      </c>
    </row>
    <row r="96" spans="3:8">
      <c r="C96" s="75" t="s">
        <v>250</v>
      </c>
      <c r="D96" s="40" t="s">
        <v>140</v>
      </c>
      <c r="E96" s="64">
        <v>0.08</v>
      </c>
    </row>
    <row r="97" spans="3:5">
      <c r="C97" s="85" t="s">
        <v>142</v>
      </c>
      <c r="D97" s="53"/>
      <c r="E97" s="69">
        <f>SUM(E90:E92)*E96+SUM(E95,E93)*E94</f>
        <v>588</v>
      </c>
    </row>
    <row r="98" spans="3:5" ht="15.75" thickBot="1">
      <c r="C98" s="54" t="s">
        <v>251</v>
      </c>
      <c r="D98" s="55"/>
      <c r="E98" s="50">
        <f>E97*0.04</f>
        <v>23.52</v>
      </c>
    </row>
    <row r="99" spans="3:5" ht="15.75" thickBot="1"/>
    <row r="100" spans="3:5">
      <c r="C100" s="463" t="s">
        <v>252</v>
      </c>
      <c r="D100" s="464"/>
      <c r="E100" s="465"/>
    </row>
    <row r="101" spans="3:5">
      <c r="C101" s="78" t="s">
        <v>101</v>
      </c>
      <c r="D101" s="63" t="s">
        <v>109</v>
      </c>
      <c r="E101" s="71" t="s">
        <v>110</v>
      </c>
    </row>
    <row r="102" spans="3:5" ht="30">
      <c r="C102" s="75" t="s">
        <v>253</v>
      </c>
      <c r="D102" s="40" t="s">
        <v>122</v>
      </c>
      <c r="E102" s="48">
        <f>E97*0.2</f>
        <v>117.60000000000001</v>
      </c>
    </row>
    <row r="103" spans="3:5" ht="30">
      <c r="C103" s="75" t="s">
        <v>153</v>
      </c>
      <c r="D103" s="40" t="s">
        <v>122</v>
      </c>
      <c r="E103" s="48">
        <v>800</v>
      </c>
    </row>
    <row r="104" spans="3:5" ht="29.45" customHeight="1">
      <c r="C104" s="75" t="s">
        <v>154</v>
      </c>
      <c r="D104" s="40" t="s">
        <v>155</v>
      </c>
      <c r="E104" s="48">
        <f>50*25</f>
        <v>1250</v>
      </c>
    </row>
    <row r="105" spans="3:5" ht="15.75" thickBot="1">
      <c r="C105" s="473" t="s">
        <v>254</v>
      </c>
      <c r="D105" s="474"/>
      <c r="E105" s="50">
        <f>SUM(E102:E104)*0.04</f>
        <v>86.703999999999994</v>
      </c>
    </row>
    <row r="106" spans="3:5" ht="15.75" thickBot="1"/>
    <row r="107" spans="3:5">
      <c r="C107" s="463" t="s">
        <v>255</v>
      </c>
      <c r="D107" s="464"/>
      <c r="E107" s="465"/>
    </row>
    <row r="108" spans="3:5">
      <c r="C108" s="78" t="s">
        <v>256</v>
      </c>
      <c r="D108" s="63" t="s">
        <v>257</v>
      </c>
      <c r="E108" s="71" t="s">
        <v>167</v>
      </c>
    </row>
    <row r="109" spans="3:5">
      <c r="C109" s="75" t="s">
        <v>258</v>
      </c>
      <c r="D109" s="40">
        <v>10</v>
      </c>
      <c r="E109" s="149" t="s">
        <v>170</v>
      </c>
    </row>
    <row r="110" spans="3:5">
      <c r="C110" s="75" t="s">
        <v>258</v>
      </c>
      <c r="D110" s="148">
        <v>18</v>
      </c>
      <c r="E110" s="60" t="s">
        <v>259</v>
      </c>
    </row>
    <row r="111" spans="3:5">
      <c r="C111" s="75" t="s">
        <v>260</v>
      </c>
      <c r="D111" s="40">
        <v>24</v>
      </c>
      <c r="E111" s="60" t="s">
        <v>261</v>
      </c>
    </row>
    <row r="112" spans="3:5">
      <c r="C112" s="75" t="s">
        <v>258</v>
      </c>
      <c r="D112" s="40">
        <v>33</v>
      </c>
      <c r="E112" s="60" t="s">
        <v>262</v>
      </c>
    </row>
    <row r="113" spans="3:6">
      <c r="C113" s="75" t="s">
        <v>258</v>
      </c>
      <c r="D113" s="40">
        <v>4.4000000000000004</v>
      </c>
      <c r="E113" s="60" t="s">
        <v>263</v>
      </c>
    </row>
    <row r="114" spans="3:6" ht="30.75" thickBot="1">
      <c r="C114" s="77" t="s">
        <v>264</v>
      </c>
      <c r="D114" s="66">
        <f>AVERAGE(D109:D113)</f>
        <v>17.880000000000003</v>
      </c>
      <c r="E114" s="67"/>
    </row>
    <row r="115" spans="3:6" ht="15.75" thickBot="1"/>
    <row r="116" spans="3:6">
      <c r="C116" s="463" t="s">
        <v>265</v>
      </c>
      <c r="D116" s="464"/>
      <c r="E116" s="464"/>
      <c r="F116" s="465"/>
    </row>
    <row r="117" spans="3:6">
      <c r="C117" s="94" t="s">
        <v>266</v>
      </c>
      <c r="D117" s="63" t="s">
        <v>109</v>
      </c>
      <c r="E117" s="63" t="s">
        <v>110</v>
      </c>
      <c r="F117" s="71" t="s">
        <v>167</v>
      </c>
    </row>
    <row r="118" spans="3:6">
      <c r="C118" s="75" t="s">
        <v>168</v>
      </c>
      <c r="D118" s="40" t="s">
        <v>169</v>
      </c>
      <c r="E118" s="40">
        <v>17.88</v>
      </c>
      <c r="F118" s="149" t="s">
        <v>170</v>
      </c>
    </row>
    <row r="119" spans="3:6">
      <c r="C119" s="47" t="s">
        <v>246</v>
      </c>
      <c r="D119" s="97" t="s">
        <v>140</v>
      </c>
      <c r="E119" s="97">
        <v>0.08</v>
      </c>
      <c r="F119" s="60"/>
    </row>
    <row r="120" spans="3:6">
      <c r="C120" s="47" t="s">
        <v>171</v>
      </c>
      <c r="D120" s="40" t="s">
        <v>172</v>
      </c>
      <c r="E120" s="40">
        <f>'Overview and dashboard'!T11</f>
        <v>0</v>
      </c>
      <c r="F120" s="60"/>
    </row>
    <row r="121" spans="3:6" ht="15.75" thickBot="1">
      <c r="C121" s="65" t="s">
        <v>173</v>
      </c>
      <c r="D121" s="66" t="s">
        <v>122</v>
      </c>
      <c r="E121" s="66">
        <f>E118*E119*E120</f>
        <v>0</v>
      </c>
      <c r="F121" s="67"/>
    </row>
    <row r="122" spans="3:6" ht="15.75" thickBot="1"/>
    <row r="123" spans="3:6">
      <c r="C123" s="463" t="s">
        <v>267</v>
      </c>
      <c r="D123" s="464"/>
      <c r="E123" s="464"/>
      <c r="F123" s="465"/>
    </row>
    <row r="124" spans="3:6">
      <c r="C124" s="94" t="s">
        <v>180</v>
      </c>
      <c r="D124" s="63" t="s">
        <v>109</v>
      </c>
      <c r="E124" s="63" t="s">
        <v>110</v>
      </c>
      <c r="F124" s="71" t="s">
        <v>167</v>
      </c>
    </row>
    <row r="125" spans="3:6" s="28" customFormat="1" ht="45">
      <c r="C125" s="75" t="s">
        <v>181</v>
      </c>
      <c r="D125" s="70" t="s">
        <v>182</v>
      </c>
      <c r="E125" s="70" t="s">
        <v>268</v>
      </c>
      <c r="F125" s="76"/>
    </row>
    <row r="126" spans="3:6">
      <c r="C126" s="47" t="s">
        <v>183</v>
      </c>
      <c r="D126" s="40" t="s">
        <v>182</v>
      </c>
      <c r="E126" s="40">
        <v>400</v>
      </c>
      <c r="F126" s="60"/>
    </row>
    <row r="127" spans="3:6">
      <c r="C127" s="47" t="s">
        <v>184</v>
      </c>
      <c r="D127" s="40" t="s">
        <v>185</v>
      </c>
      <c r="E127" s="40">
        <v>0.92</v>
      </c>
      <c r="F127" s="60"/>
    </row>
    <row r="128" spans="3:6" ht="15.75" thickBot="1">
      <c r="C128" s="65" t="s">
        <v>186</v>
      </c>
      <c r="D128" s="66" t="s">
        <v>140</v>
      </c>
      <c r="E128" s="226" cm="1">
        <f t="array" ref="E128">_xlfn.IFS('Overview and dashboard'!T13="Poor",15%,'Overview and dashboard'!T13="Moderate",7.5%,'Overview and dashboard'!T13="Good",0%)</f>
        <v>7.4999999999999997E-2</v>
      </c>
      <c r="F128" s="227" t="s">
        <v>177</v>
      </c>
    </row>
    <row r="129" spans="3:8" ht="15.75" thickBot="1"/>
    <row r="130" spans="3:8">
      <c r="C130" s="463" t="s">
        <v>269</v>
      </c>
      <c r="D130" s="464"/>
      <c r="E130" s="464"/>
      <c r="F130" s="464"/>
      <c r="G130" s="464"/>
      <c r="H130" s="465"/>
    </row>
    <row r="131" spans="3:8">
      <c r="C131" s="470" t="s">
        <v>188</v>
      </c>
      <c r="D131" s="471"/>
      <c r="E131" s="471"/>
      <c r="F131" s="471"/>
      <c r="G131" s="471"/>
      <c r="H131" s="472"/>
    </row>
    <row r="132" spans="3:8" ht="120">
      <c r="C132" s="235"/>
      <c r="D132" s="59" t="s">
        <v>109</v>
      </c>
      <c r="E132" s="59" t="s">
        <v>270</v>
      </c>
      <c r="F132" s="59" t="s">
        <v>190</v>
      </c>
      <c r="G132" s="70"/>
      <c r="H132" s="79" t="s">
        <v>191</v>
      </c>
    </row>
    <row r="133" spans="3:8">
      <c r="C133" s="470" t="s">
        <v>1</v>
      </c>
      <c r="D133" s="471"/>
      <c r="E133" s="471"/>
      <c r="F133" s="471"/>
      <c r="G133" s="40"/>
      <c r="H133" s="60">
        <f>(F134+F135)/25</f>
        <v>21.12</v>
      </c>
    </row>
    <row r="134" spans="3:8">
      <c r="C134" s="94" t="s">
        <v>193</v>
      </c>
      <c r="D134" s="40" t="s">
        <v>137</v>
      </c>
      <c r="E134" s="40">
        <v>1.28</v>
      </c>
      <c r="F134" s="40">
        <f>E134*$E$94</f>
        <v>128</v>
      </c>
      <c r="G134" s="40"/>
      <c r="H134" s="60"/>
    </row>
    <row r="135" spans="3:8">
      <c r="C135" s="94" t="s">
        <v>194</v>
      </c>
      <c r="D135" s="40" t="s">
        <v>137</v>
      </c>
      <c r="E135" s="40">
        <v>4</v>
      </c>
      <c r="F135" s="40">
        <f>E135*$E$94</f>
        <v>400</v>
      </c>
      <c r="G135" s="40"/>
      <c r="H135" s="60"/>
    </row>
    <row r="136" spans="3:8">
      <c r="C136" s="470" t="s">
        <v>195</v>
      </c>
      <c r="D136" s="471"/>
      <c r="E136" s="471"/>
      <c r="F136" s="471"/>
      <c r="G136" s="40"/>
      <c r="H136" s="60"/>
    </row>
    <row r="137" spans="3:8">
      <c r="C137" s="94" t="s">
        <v>196</v>
      </c>
      <c r="D137" s="40" t="s">
        <v>137</v>
      </c>
      <c r="E137" s="40">
        <v>3</v>
      </c>
      <c r="F137" s="40">
        <f>E137*$E$94</f>
        <v>300</v>
      </c>
      <c r="G137" s="40"/>
      <c r="H137" s="60">
        <f>480/25</f>
        <v>19.2</v>
      </c>
    </row>
    <row r="138" spans="3:8">
      <c r="C138" s="94" t="s">
        <v>197</v>
      </c>
      <c r="D138" s="40" t="s">
        <v>198</v>
      </c>
      <c r="E138" s="40">
        <v>2100</v>
      </c>
      <c r="F138" s="40" t="s">
        <v>271</v>
      </c>
      <c r="G138" s="40"/>
      <c r="H138" s="60"/>
    </row>
    <row r="139" spans="3:8">
      <c r="C139" s="470" t="s">
        <v>199</v>
      </c>
      <c r="D139" s="471"/>
      <c r="E139" s="471"/>
      <c r="F139" s="471"/>
      <c r="G139" s="40"/>
      <c r="H139" s="60">
        <f>F141/25</f>
        <v>78.400000000000006</v>
      </c>
    </row>
    <row r="140" spans="3:8">
      <c r="C140" s="78" t="s">
        <v>200</v>
      </c>
      <c r="D140" s="70" t="s">
        <v>64</v>
      </c>
      <c r="E140" s="70">
        <v>345.27</v>
      </c>
      <c r="F140" s="70">
        <f>345.27*1</f>
        <v>345.27</v>
      </c>
      <c r="G140" s="40"/>
      <c r="H140" s="60"/>
    </row>
    <row r="141" spans="3:8">
      <c r="C141" s="78" t="s">
        <v>202</v>
      </c>
      <c r="D141" s="70" t="s">
        <v>64</v>
      </c>
      <c r="E141" s="70">
        <v>1960</v>
      </c>
      <c r="F141" s="40">
        <f>E141*1</f>
        <v>1960</v>
      </c>
      <c r="G141" s="40"/>
      <c r="H141" s="60"/>
    </row>
    <row r="142" spans="3:8">
      <c r="C142" s="470" t="s">
        <v>203</v>
      </c>
      <c r="D142" s="471"/>
      <c r="E142" s="471"/>
      <c r="F142" s="471"/>
      <c r="G142" s="40"/>
      <c r="H142" s="60">
        <f>F143/25</f>
        <v>15.175999999999998</v>
      </c>
    </row>
    <row r="143" spans="3:8" ht="15.75" thickBot="1">
      <c r="C143" s="61" t="s">
        <v>204</v>
      </c>
      <c r="D143" s="234" t="s">
        <v>64</v>
      </c>
      <c r="E143" s="66">
        <v>379.4</v>
      </c>
      <c r="F143" s="66">
        <f>E143*1</f>
        <v>379.4</v>
      </c>
      <c r="G143" s="66"/>
      <c r="H143" s="67"/>
    </row>
    <row r="144" spans="3:8" ht="15.75" thickBot="1"/>
    <row r="145" spans="3:11">
      <c r="C145" s="463" t="s">
        <v>272</v>
      </c>
      <c r="D145" s="464"/>
      <c r="E145" s="464"/>
      <c r="F145" s="464"/>
      <c r="G145" s="464"/>
      <c r="H145" s="464"/>
      <c r="I145" s="464"/>
      <c r="J145" s="464"/>
      <c r="K145" s="465"/>
    </row>
    <row r="146" spans="3:11">
      <c r="C146" s="78" t="s">
        <v>207</v>
      </c>
      <c r="D146" s="40"/>
      <c r="E146" s="40"/>
      <c r="F146" s="40"/>
      <c r="G146" s="40"/>
      <c r="H146" s="40"/>
      <c r="I146" s="40"/>
      <c r="J146" s="40"/>
      <c r="K146" s="60"/>
    </row>
    <row r="147" spans="3:11" ht="90">
      <c r="C147" s="47" t="s">
        <v>63</v>
      </c>
      <c r="D147" s="70" t="s">
        <v>208</v>
      </c>
      <c r="E147" s="70" t="s">
        <v>209</v>
      </c>
      <c r="F147" s="70" t="s">
        <v>210</v>
      </c>
      <c r="G147" s="40"/>
      <c r="H147" s="70" t="s">
        <v>96</v>
      </c>
      <c r="I147" s="70" t="s">
        <v>93</v>
      </c>
      <c r="J147" s="40"/>
      <c r="K147" s="76" t="s">
        <v>211</v>
      </c>
    </row>
    <row r="148" spans="3:11">
      <c r="C148" s="47" t="s">
        <v>25</v>
      </c>
      <c r="D148" s="132">
        <f>H148+E127+$E$46+$E$49+F148-$F$33</f>
        <v>198.17557447331691</v>
      </c>
      <c r="E148" s="40" cm="1">
        <f t="array" ref="E148">_xlfn.IFS('Overview and dashboard'!$T$9="No support",0,'Overview and dashboard'!$T$9="Current support schemes",IFERROR(VLOOKUP("England",$C$133:$H$143,6,0),""),'Overview and dashboard'!$T$9="Income foregone",D148)</f>
        <v>0</v>
      </c>
      <c r="F148" s="40">
        <f>'6 - Lists'!J$25*$F$81</f>
        <v>53.125185186731407</v>
      </c>
      <c r="G148" s="40"/>
      <c r="H148" s="40">
        <f>'6 - Lists'!I$25*$E$127*($E$128)</f>
        <v>64.367927748123961</v>
      </c>
      <c r="I148" s="40"/>
      <c r="J148" s="40"/>
      <c r="K148" s="135">
        <f>$F$62-$F$59+$E$41+$E$42-$F$34+E148-F148-H148+I148</f>
        <v>-197.25557447331687</v>
      </c>
    </row>
    <row r="149" spans="3:11">
      <c r="C149" s="47" t="s">
        <v>26</v>
      </c>
      <c r="D149" s="132">
        <f>H149+F149+$H$46+$H$49-$I$33</f>
        <v>1694.0772280049091</v>
      </c>
      <c r="E149" s="40" cm="1">
        <f t="array" ref="E149">_xlfn.IFS('Overview and dashboard'!$S$9="No support",0,'Overview and dashboard'!$S$9="Current support schemes",IFERROR(VLOOKUP("England",$C$133:$H$143,6,0),""),'Overview and dashboard'!$S$9="Income foregone",D149)</f>
        <v>0</v>
      </c>
      <c r="F149" s="40">
        <f>'6 - Lists'!N$25*$F$82</f>
        <v>647.52403356005868</v>
      </c>
      <c r="G149" s="40"/>
      <c r="H149" s="40">
        <f>'6 - Lists'!M$25*$E$127*($E$128)</f>
        <v>966.79073290638905</v>
      </c>
      <c r="I149" s="40"/>
      <c r="J149" s="40"/>
      <c r="K149" s="135">
        <f>$I$62-$I$59+$H$41+$H$42-$I$34+E149-F149-H149+I149</f>
        <v>-1694.0772280049091</v>
      </c>
    </row>
    <row r="150" spans="3:11">
      <c r="C150" s="47" t="s">
        <v>27</v>
      </c>
      <c r="D150" s="132">
        <f>H150+$K$46+$K$49+F150-$L$33</f>
        <v>203.85016967342432</v>
      </c>
      <c r="E150" s="40" cm="1">
        <f t="array" ref="E150">_xlfn.IFS('Overview and dashboard'!$T$9="No support",0,'Overview and dashboard'!$T$9="Current support schemes",IFERROR(VLOOKUP("England",$C$133:$H$143,6,0),""),'Overview and dashboard'!$T$9="Income foregone",D150)</f>
        <v>0</v>
      </c>
      <c r="F150" s="40">
        <f>'6 - Lists'!R$25*$F$83</f>
        <v>124.08770813496277</v>
      </c>
      <c r="G150" s="40"/>
      <c r="H150" s="40"/>
      <c r="I150" s="40">
        <f>'6 - Lists'!Q$25*$F$83</f>
        <v>263.47872809160833</v>
      </c>
      <c r="J150" s="40"/>
      <c r="K150" s="135">
        <f>$L$62-$L$59+$K$41+$K$42-$L$34+E150-F150-H150+I150</f>
        <v>59.628558418184042</v>
      </c>
    </row>
    <row r="151" spans="3:11">
      <c r="C151" s="47" t="s">
        <v>28</v>
      </c>
      <c r="D151" s="132">
        <f>H151+$N$46+$N$49+F151-$O$33</f>
        <v>90.371885721114737</v>
      </c>
      <c r="E151" s="40" cm="1">
        <f t="array" ref="E151">_xlfn.IFS('Overview and dashboard'!$T$9="No support",0,'Overview and dashboard'!$T$9="Current support schemes",IFERROR(VLOOKUP("England",$C$133:$H$143,6,0),""),'Overview and dashboard'!$T$9="Income foregone",D151)</f>
        <v>0</v>
      </c>
      <c r="F151" s="40">
        <f>'6 - Lists'!V$25*$F$84</f>
        <v>10.609424182653212</v>
      </c>
      <c r="G151" s="40"/>
      <c r="H151" s="40"/>
      <c r="I151" s="40">
        <f>'6 - Lists'!U$25*$F$83</f>
        <v>29.716769391263519</v>
      </c>
      <c r="J151" s="40"/>
      <c r="K151" s="135">
        <f>$O$62-$O$59+$N$41+$N$42-$O$34+E151-F151-H151+I151</f>
        <v>-60.655116329851218</v>
      </c>
    </row>
    <row r="152" spans="3:11">
      <c r="C152" s="47" t="s">
        <v>29</v>
      </c>
      <c r="D152" s="132">
        <f>H152+$Q$46+$Q$49+F152-$R$33</f>
        <v>106.79860063171868</v>
      </c>
      <c r="E152" s="40" cm="1">
        <f t="array" ref="E152">_xlfn.IFS('Overview and dashboard'!$T$9="No support",0,'Overview and dashboard'!$T$9="Current support schemes",IFERROR(VLOOKUP("England",$C$133:$H$143,6,0),""),'Overview and dashboard'!$T$9="Income foregone",D152)</f>
        <v>0</v>
      </c>
      <c r="F152" s="40">
        <f>'6 - Lists'!Z$25*$F$85</f>
        <v>27.036139093257166</v>
      </c>
      <c r="G152" s="40"/>
      <c r="H152" s="40"/>
      <c r="I152" s="40">
        <f>'6 - Lists'!Y$25*$F$83</f>
        <v>58.613064395970149</v>
      </c>
      <c r="J152" s="40"/>
      <c r="K152" s="135">
        <f>$R$62-$R$59+$Q$41+$Q$42-$R$34+E152-F152-H152+I152</f>
        <v>-48.185536235748536</v>
      </c>
    </row>
    <row r="153" spans="3:11" ht="15.75" thickBot="1">
      <c r="C153" s="65" t="s">
        <v>30</v>
      </c>
      <c r="D153" s="280">
        <f>H153+$T$46+$T$49+F153-$U$33</f>
        <v>484.51739401595603</v>
      </c>
      <c r="E153" s="66" cm="1">
        <f t="array" ref="E153">_xlfn.IFS('Overview and dashboard'!$T$9="No support",0,'Overview and dashboard'!$T$9="Current support schemes",IFERROR(VLOOKUP("England",$C$133:$H$143,6,0),""),'Overview and dashboard'!$T$9="Income foregone",D153)</f>
        <v>0</v>
      </c>
      <c r="F153" s="66">
        <f>'6 - Lists'!AD$25*$F$86</f>
        <v>404.75493247749455</v>
      </c>
      <c r="G153" s="66"/>
      <c r="H153" s="66"/>
      <c r="I153" s="66">
        <f>'6 - Lists'!AC$25*$F$83</f>
        <v>1126.1432963506259</v>
      </c>
      <c r="J153" s="66"/>
      <c r="K153" s="276">
        <f>$U$62-$U$59+$T$41+$T$42-$U$34+E153-F153-H153+I153</f>
        <v>641.62590233466972</v>
      </c>
    </row>
    <row r="154" spans="3:11" ht="15.75" thickBot="1"/>
    <row r="155" spans="3:11">
      <c r="C155" s="463" t="s">
        <v>273</v>
      </c>
      <c r="D155" s="464"/>
      <c r="E155" s="464"/>
      <c r="F155" s="464"/>
      <c r="G155" s="464"/>
      <c r="H155" s="464"/>
      <c r="I155" s="464"/>
      <c r="J155" s="464"/>
      <c r="K155" s="465"/>
    </row>
    <row r="156" spans="3:11">
      <c r="C156" s="78" t="s">
        <v>213</v>
      </c>
      <c r="D156" s="40"/>
      <c r="E156" s="40"/>
      <c r="F156" s="40"/>
      <c r="G156" s="40"/>
      <c r="H156" s="40"/>
      <c r="I156" s="40"/>
      <c r="J156" s="40"/>
      <c r="K156" s="60"/>
    </row>
    <row r="157" spans="3:11" ht="90">
      <c r="C157" s="47" t="s">
        <v>63</v>
      </c>
      <c r="D157" s="70" t="s">
        <v>208</v>
      </c>
      <c r="E157" s="70" t="s">
        <v>209</v>
      </c>
      <c r="F157" s="70" t="s">
        <v>210</v>
      </c>
      <c r="G157" s="40"/>
      <c r="H157" s="70" t="s">
        <v>96</v>
      </c>
      <c r="I157" s="70" t="s">
        <v>93</v>
      </c>
      <c r="J157" s="40"/>
      <c r="K157" s="76" t="s">
        <v>211</v>
      </c>
    </row>
    <row r="158" spans="3:11">
      <c r="C158" s="47" t="s">
        <v>25</v>
      </c>
      <c r="D158" s="132">
        <f>H158+$E$46+$E$49+F158-$F$33</f>
        <v>256.66374153846152</v>
      </c>
      <c r="E158" s="40" cm="1">
        <f t="array" ref="E158">_xlfn.IFS('Overview and dashboard'!$T$9="No support",0,'Overview and dashboard'!$T$9="Current support schemes",IFERROR(VLOOKUP("Scotland",$C$133:$H$143,6,0),""),'Overview and dashboard'!$T$9="Income foregone",D158)</f>
        <v>0</v>
      </c>
      <c r="F158" s="40">
        <f>'6 - Lists'!J$26*$F$81</f>
        <v>80.960000000000008</v>
      </c>
      <c r="G158" s="40"/>
      <c r="H158" s="40">
        <f>'6 - Lists'!I$26*$E$127*($E$128)</f>
        <v>95.941280000000006</v>
      </c>
      <c r="I158" s="40"/>
      <c r="J158" s="40"/>
      <c r="K158" s="135">
        <f>$F$62-$F$59+$E$41+$E$42-$F$34+E158-F158-H158+I158</f>
        <v>-256.66374153846152</v>
      </c>
    </row>
    <row r="159" spans="3:11">
      <c r="C159" s="47" t="s">
        <v>26</v>
      </c>
      <c r="D159" s="132">
        <f>H159+$H$46+$H$49+F159-$I$33</f>
        <v>79.762461538461523</v>
      </c>
      <c r="E159" s="40" cm="1">
        <f t="array" ref="E159">_xlfn.IFS('Overview and dashboard'!$S$9="No support",0,'Overview and dashboard'!$S$9="Current support schemes",IFERROR(VLOOKUP("Scotland",$C$133:$H$143,6,0),""),'Overview and dashboard'!$S$9="Income foregone",D159)</f>
        <v>0</v>
      </c>
      <c r="F159" s="40">
        <f>'6 - Lists'!N$26*$F$82</f>
        <v>0</v>
      </c>
      <c r="G159" s="40"/>
      <c r="H159" s="40">
        <f>'6 - Lists'!M$26*$E$127*($E$128)</f>
        <v>0</v>
      </c>
      <c r="I159" s="40"/>
      <c r="J159" s="40"/>
      <c r="K159" s="135">
        <f>$I$62-$I$59+$H$41+$H$42-$I$34+E159-F159-H159+I159</f>
        <v>-79.762461538461523</v>
      </c>
    </row>
    <row r="160" spans="3:11">
      <c r="C160" s="47" t="s">
        <v>27</v>
      </c>
      <c r="D160" s="132">
        <f>H160+$K$46+$K$49+F160-$L$33</f>
        <v>202.57786260798025</v>
      </c>
      <c r="E160" s="40" cm="1">
        <f t="array" ref="E160">_xlfn.IFS('Overview and dashboard'!$T$9="No support",0,'Overview and dashboard'!$T$9="Current support schemes",IFERROR(VLOOKUP("Scotland",$C$133:$H$143,6,0),""),'Overview and dashboard'!$T$9="Income foregone",D160)</f>
        <v>0</v>
      </c>
      <c r="F160" s="40">
        <f>'6 - Lists'!R$26*$F$83</f>
        <v>122.81540106951873</v>
      </c>
      <c r="G160" s="40"/>
      <c r="H160" s="40"/>
      <c r="I160" s="40">
        <f>'6 - Lists'!Q$26*$F$83</f>
        <v>251.36128342245991</v>
      </c>
      <c r="J160" s="40"/>
      <c r="K160" s="135">
        <f>$L$62-$L$59+$K$41+$K$42-$L$34+E160-F160-H160+I160</f>
        <v>48.783420814479655</v>
      </c>
    </row>
    <row r="161" spans="3:11">
      <c r="C161" s="47" t="s">
        <v>28</v>
      </c>
      <c r="D161" s="132">
        <f>H161+$N$46+$N$49+F161-$O$33</f>
        <v>84.733158551263799</v>
      </c>
      <c r="E161" s="40" cm="1">
        <f t="array" ref="E161">_xlfn.IFS('Overview and dashboard'!$T$9="No support",0,'Overview and dashboard'!$T$9="Current support schemes",IFERROR(VLOOKUP("Scotland",$C$133:$H$143,6,0),""),'Overview and dashboard'!$T$9="Income foregone",D161)</f>
        <v>0</v>
      </c>
      <c r="F161" s="40">
        <f>'6 - Lists'!V$26*$F$84</f>
        <v>4.970697012802276</v>
      </c>
      <c r="G161" s="40"/>
      <c r="H161" s="40"/>
      <c r="I161" s="40">
        <f>'6 - Lists'!U$26*$F$83</f>
        <v>13.04375533428165</v>
      </c>
      <c r="J161" s="40"/>
      <c r="K161" s="135">
        <f>$O$62-$O$59+$N$41+$N$42-$O$34+E161-F161-H161+I161</f>
        <v>-71.689403216982143</v>
      </c>
    </row>
    <row r="162" spans="3:11">
      <c r="C162" s="47" t="s">
        <v>29</v>
      </c>
      <c r="D162" s="132">
        <f>H162+$Q$46+$Q$49+F162-$R$33</f>
        <v>114.09046153846153</v>
      </c>
      <c r="E162" s="40" cm="1">
        <f t="array" ref="E162">_xlfn.IFS('Overview and dashboard'!$T$9="No support",0,'Overview and dashboard'!$T$9="Current support schemes",IFERROR(VLOOKUP("Scotland",$C$133:$H$143,6,0),""),'Overview and dashboard'!$T$9="Income foregone",D162)</f>
        <v>0</v>
      </c>
      <c r="F162" s="40">
        <f>'6 - Lists'!Z$26*$F$85</f>
        <v>34.328000000000003</v>
      </c>
      <c r="G162" s="40"/>
      <c r="H162" s="40"/>
      <c r="I162" s="40">
        <f>'6 - Lists'!Y$26*$F$83</f>
        <v>79.353846153846149</v>
      </c>
      <c r="J162" s="40"/>
      <c r="K162" s="135">
        <f>$R$62-$R$59+$Q$41+$Q$42-$R$34+E162-F162-H162+I162</f>
        <v>-34.736615384615376</v>
      </c>
    </row>
    <row r="163" spans="3:11" ht="15.75" thickBot="1">
      <c r="C163" s="65" t="s">
        <v>30</v>
      </c>
      <c r="D163" s="280">
        <f>H163+$T$46+$T$49+F163-$U$33</f>
        <v>79.762461538461523</v>
      </c>
      <c r="E163" s="66" cm="1">
        <f t="array" ref="E163">_xlfn.IFS('Overview and dashboard'!$T$9="No support",0,'Overview and dashboard'!$T$9="Current support schemes",IFERROR(VLOOKUP("Scotland",$C$133:$H$143,6,0),""),'Overview and dashboard'!$T$9="Income foregone",D163)</f>
        <v>0</v>
      </c>
      <c r="F163" s="66">
        <f>'6 - Lists'!AD$26*$F$86</f>
        <v>0</v>
      </c>
      <c r="G163" s="66"/>
      <c r="H163" s="66"/>
      <c r="I163" s="66">
        <f>'6 - Lists'!AC$26*$F$83</f>
        <v>0</v>
      </c>
      <c r="J163" s="66"/>
      <c r="K163" s="276">
        <f>$U$62-$U$59+$T$41+$T$42-$U$34+E163-F163-H163+I163</f>
        <v>-79.762461538461523</v>
      </c>
    </row>
    <row r="164" spans="3:11" ht="15.75" thickBot="1"/>
    <row r="165" spans="3:11">
      <c r="C165" s="463" t="s">
        <v>274</v>
      </c>
      <c r="D165" s="464"/>
      <c r="E165" s="464"/>
      <c r="F165" s="464"/>
      <c r="G165" s="464"/>
      <c r="H165" s="464"/>
      <c r="I165" s="464"/>
      <c r="J165" s="464"/>
      <c r="K165" s="465"/>
    </row>
    <row r="166" spans="3:11">
      <c r="C166" s="78" t="s">
        <v>215</v>
      </c>
      <c r="D166" s="40"/>
      <c r="E166" s="40"/>
      <c r="F166" s="40"/>
      <c r="G166" s="40"/>
      <c r="H166" s="40"/>
      <c r="I166" s="40"/>
      <c r="J166" s="40"/>
      <c r="K166" s="60"/>
    </row>
    <row r="167" spans="3:11" ht="90">
      <c r="C167" s="47" t="s">
        <v>63</v>
      </c>
      <c r="D167" s="70" t="s">
        <v>208</v>
      </c>
      <c r="E167" s="70" t="s">
        <v>209</v>
      </c>
      <c r="F167" s="70" t="s">
        <v>210</v>
      </c>
      <c r="G167" s="40"/>
      <c r="H167" s="70" t="s">
        <v>96</v>
      </c>
      <c r="I167" s="70" t="s">
        <v>93</v>
      </c>
      <c r="J167" s="40"/>
      <c r="K167" s="76" t="s">
        <v>211</v>
      </c>
    </row>
    <row r="168" spans="3:11">
      <c r="C168" s="47" t="s">
        <v>25</v>
      </c>
      <c r="D168" s="132">
        <f>H168+$E$46+$E$49+F168-$F$33</f>
        <v>79.762461538461523</v>
      </c>
      <c r="E168" s="40" cm="1">
        <f t="array" ref="E168">_xlfn.IFS('Overview and dashboard'!$T$9="No support",0,'Overview and dashboard'!$T$9="Current support schemes",IFERROR(VLOOKUP("Wales",$C$133:$H$143,6,0),""),'Overview and dashboard'!$T$9="Income foregone",D168)</f>
        <v>0</v>
      </c>
      <c r="F168" s="40">
        <f>'6 - Lists'!J$27*$F$81</f>
        <v>0</v>
      </c>
      <c r="G168" s="40"/>
      <c r="H168" s="40">
        <f>'6 - Lists'!I$27*$E$127*($E$128)</f>
        <v>0</v>
      </c>
      <c r="I168" s="40"/>
      <c r="J168" s="40"/>
      <c r="K168" s="135">
        <f>$F$62-$F$59+$E$41+$E$42-$F$34+E168-F168-H168+I168</f>
        <v>-79.762461538461523</v>
      </c>
    </row>
    <row r="169" spans="3:11">
      <c r="C169" s="47" t="s">
        <v>26</v>
      </c>
      <c r="D169" s="132">
        <f>H169+$H$46+$H$49+F169-$I$33</f>
        <v>79.762461538461523</v>
      </c>
      <c r="E169" s="40" cm="1">
        <f t="array" ref="E169">_xlfn.IFS('Overview and dashboard'!$S$9="No support",0,'Overview and dashboard'!$S$9="Current support schemes",IFERROR(VLOOKUP("Wales",$C$133:$H$143,6,0),""),'Overview and dashboard'!$S$9="Income foregone",D169)</f>
        <v>0</v>
      </c>
      <c r="F169" s="40">
        <f>'6 - Lists'!N$27*$F$82</f>
        <v>0</v>
      </c>
      <c r="G169" s="40"/>
      <c r="H169" s="40">
        <f>'6 - Lists'!M$27*$E$127*($E$128)</f>
        <v>0</v>
      </c>
      <c r="I169" s="40"/>
      <c r="J169" s="40"/>
      <c r="K169" s="135">
        <f>$I$62-$I$59+$H$41+$H$42-$I$34+E169-F169-H169+I169</f>
        <v>-79.762461538461523</v>
      </c>
    </row>
    <row r="170" spans="3:11">
      <c r="C170" s="47" t="s">
        <v>27</v>
      </c>
      <c r="D170" s="132">
        <f>H170+$K$46+$K$49+F170-$L$33</f>
        <v>186.86016498728927</v>
      </c>
      <c r="E170" s="40" cm="1">
        <f t="array" ref="E170">_xlfn.IFS('Overview and dashboard'!$T$9="No support",0,'Overview and dashboard'!$T$9="Current support schemes",IFERROR(VLOOKUP("Wales",$C$133:$H$143,6,0),""),'Overview and dashboard'!$T$9="Income foregone",D170)</f>
        <v>0</v>
      </c>
      <c r="F170" s="40">
        <f>'6 - Lists'!R$27*$F$83</f>
        <v>107.09770344882773</v>
      </c>
      <c r="G170" s="40"/>
      <c r="H170" s="40"/>
      <c r="I170" s="40">
        <f>'6 - Lists'!Q$27*$F$83</f>
        <v>255.74137793070338</v>
      </c>
      <c r="J170" s="40"/>
      <c r="K170" s="135">
        <f>$L$62-$L$59+$K$41+$K$42-$L$34+E170-F170-H170+I170</f>
        <v>68.881212943414141</v>
      </c>
    </row>
    <row r="171" spans="3:11">
      <c r="C171" s="47" t="s">
        <v>28</v>
      </c>
      <c r="D171" s="132">
        <f>H171+$N$46+$N$49+F171-$O$33</f>
        <v>97.996079772079767</v>
      </c>
      <c r="E171" s="40" cm="1">
        <f t="array" ref="E171">_xlfn.IFS('Overview and dashboard'!$T$9="No support",0,'Overview and dashboard'!$T$9="Current support schemes",IFERROR(VLOOKUP("Wales",$C$133:$H$143,6,0),""),'Overview and dashboard'!$T$9="Income foregone",D171)</f>
        <v>0</v>
      </c>
      <c r="F171" s="40">
        <f>'6 - Lists'!V$27*$F$84</f>
        <v>18.233618233618238</v>
      </c>
      <c r="G171" s="40"/>
      <c r="H171" s="40"/>
      <c r="I171" s="40">
        <f>'6 - Lists'!U$27*$F$83</f>
        <v>44.873644873644878</v>
      </c>
      <c r="J171" s="40"/>
      <c r="K171" s="135">
        <f>$O$62-$O$59+$N$41+$N$42-$O$34+E171-F171-H171+I171</f>
        <v>-53.122434898434875</v>
      </c>
    </row>
    <row r="172" spans="3:11">
      <c r="C172" s="47" t="s">
        <v>29</v>
      </c>
      <c r="D172" s="132">
        <f>H172+$Q$46+$Q$49+F172-$R$33</f>
        <v>111.71282989829091</v>
      </c>
      <c r="E172" s="40" cm="1">
        <f t="array" ref="E172">_xlfn.IFS('Overview and dashboard'!$T$9="No support",0,'Overview and dashboard'!$T$9="Current support schemes",IFERROR(VLOOKUP("Wales",$C$133:$H$143,6,0),""),'Overview and dashboard'!$T$9="Income foregone",D172)</f>
        <v>0</v>
      </c>
      <c r="F172" s="40">
        <f>'6 - Lists'!Z$27*$F$85</f>
        <v>31.95036835982939</v>
      </c>
      <c r="G172" s="40"/>
      <c r="H172" s="40"/>
      <c r="I172" s="40">
        <f>'6 - Lists'!Y$27*$F$83</f>
        <v>58.937572702597912</v>
      </c>
      <c r="J172" s="40"/>
      <c r="K172" s="135">
        <f>$R$62-$R$59+$Q$41+$Q$42-$R$34+E172-F172-H172+I172</f>
        <v>-52.775257195693008</v>
      </c>
    </row>
    <row r="173" spans="3:11" ht="15.75" thickBot="1">
      <c r="C173" s="65" t="s">
        <v>30</v>
      </c>
      <c r="D173" s="280">
        <f>H173+$T$46+$T$49+F173-$U$33</f>
        <v>79.762461538461523</v>
      </c>
      <c r="E173" s="66" cm="1">
        <f t="array" ref="E173">_xlfn.IFS('Overview and dashboard'!$T$9="No support",0,'Overview and dashboard'!$T$9="Current support schemes",IFERROR(VLOOKUP("Wales",$C$133:$H$143,6,0),""),'Overview and dashboard'!$T$9="Income foregone",D173)</f>
        <v>0</v>
      </c>
      <c r="F173" s="66">
        <f>'6 - Lists'!AD$27*$F$86</f>
        <v>0</v>
      </c>
      <c r="G173" s="66"/>
      <c r="H173" s="66"/>
      <c r="I173" s="66">
        <f>'6 - Lists'!AC$27*$F$83</f>
        <v>0</v>
      </c>
      <c r="J173" s="66"/>
      <c r="K173" s="276">
        <f>$U$62-$U$59+$T$41+$T$42-$U$34+E173-F173-H173+I173</f>
        <v>-79.762461538461523</v>
      </c>
    </row>
    <row r="174" spans="3:11" ht="15.75" thickBot="1"/>
    <row r="175" spans="3:11">
      <c r="C175" s="463" t="s">
        <v>275</v>
      </c>
      <c r="D175" s="464"/>
      <c r="E175" s="464"/>
      <c r="F175" s="464"/>
      <c r="G175" s="464"/>
      <c r="H175" s="464"/>
      <c r="I175" s="464"/>
      <c r="J175" s="464"/>
      <c r="K175" s="465"/>
    </row>
    <row r="176" spans="3:11">
      <c r="C176" s="78" t="s">
        <v>217</v>
      </c>
      <c r="D176" s="40"/>
      <c r="E176" s="40"/>
      <c r="F176" s="40"/>
      <c r="G176" s="40"/>
      <c r="H176" s="40"/>
      <c r="I176" s="40"/>
      <c r="J176" s="40"/>
      <c r="K176" s="60"/>
    </row>
    <row r="177" spans="3:11" ht="90">
      <c r="C177" s="47" t="s">
        <v>63</v>
      </c>
      <c r="D177" s="70" t="s">
        <v>208</v>
      </c>
      <c r="E177" s="70" t="s">
        <v>209</v>
      </c>
      <c r="F177" s="70" t="s">
        <v>210</v>
      </c>
      <c r="G177" s="40"/>
      <c r="H177" s="70" t="s">
        <v>96</v>
      </c>
      <c r="I177" s="70" t="s">
        <v>93</v>
      </c>
      <c r="J177" s="40"/>
      <c r="K177" s="76" t="s">
        <v>211</v>
      </c>
    </row>
    <row r="178" spans="3:11">
      <c r="C178" s="47" t="s">
        <v>25</v>
      </c>
      <c r="D178" s="132">
        <f>H178+$E$46+$E$49+F178-$F$33</f>
        <v>244.42981987179485</v>
      </c>
      <c r="E178" s="40" cm="1">
        <f t="array" ref="E178">_xlfn.IFS('Overview and dashboard'!$T$9="No support",0,'Overview and dashboard'!$T$9="Current support schemes",IFERROR(VLOOKUP("Northern Ireland",$C$133:$H$143,6,0),""),'Overview and dashboard'!$T$9="Income foregone",D178)</f>
        <v>0</v>
      </c>
      <c r="F178" s="40">
        <f>'6 - Lists'!J$28*$F$81</f>
        <v>72.24933333333334</v>
      </c>
      <c r="G178" s="40"/>
      <c r="H178" s="40">
        <f>'6 - Lists'!I$28*$E$127*($E$128)</f>
        <v>92.418025</v>
      </c>
      <c r="I178" s="40"/>
      <c r="J178" s="40"/>
      <c r="K178" s="135">
        <f>$F$62-$F$59+$E$41+$E$42-$F$34+E178-F178-H178+I178</f>
        <v>-244.42981987179485</v>
      </c>
    </row>
    <row r="179" spans="3:11">
      <c r="C179" s="47" t="s">
        <v>26</v>
      </c>
      <c r="D179" s="132">
        <f>H179+$H$46+$H$49+F179-$I$33</f>
        <v>79.762461538461523</v>
      </c>
      <c r="E179" s="40" cm="1">
        <f t="array" ref="E179">_xlfn.IFS('Overview and dashboard'!$S$9="No support",0,'Overview and dashboard'!$S$9="Current support schemes",IFERROR(VLOOKUP("Northern Ireland",$C$133:$H$143,6,0),""),'Overview and dashboard'!$S$9="Income foregone",D179)</f>
        <v>0</v>
      </c>
      <c r="F179" s="40">
        <f>'6 - Lists'!N$28*$F$82</f>
        <v>0</v>
      </c>
      <c r="G179" s="40"/>
      <c r="H179" s="40">
        <f>'6 - Lists'!M$28*$E$127*($E$128)</f>
        <v>0</v>
      </c>
      <c r="I179" s="40"/>
      <c r="J179" s="40"/>
      <c r="K179" s="135">
        <f>$I$62-$I$59+$H$41+$H$42-$I$34+E179-F179-H179+I179</f>
        <v>-79.762461538461523</v>
      </c>
    </row>
    <row r="180" spans="3:11">
      <c r="C180" s="47" t="s">
        <v>27</v>
      </c>
      <c r="D180" s="132">
        <f>H180+$K$46+$K$49+F180-$L$33</f>
        <v>185.22368602825745</v>
      </c>
      <c r="E180" s="40" cm="1">
        <f t="array" ref="E180">_xlfn.IFS('Overview and dashboard'!$T$9="No support",0,'Overview and dashboard'!$T$9="Current support schemes",IFERROR(VLOOKUP("Northern Ireland",$C$133:$H$143,6,0),""),'Overview and dashboard'!$T$9="Income foregone",D180)</f>
        <v>0</v>
      </c>
      <c r="F180" s="40">
        <f>'6 - Lists'!R$28*$F$83</f>
        <v>105.46122448979591</v>
      </c>
      <c r="G180" s="40"/>
      <c r="H180" s="40"/>
      <c r="I180" s="40">
        <f>'6 - Lists'!Q$28*$F$83</f>
        <v>253.64716553287982</v>
      </c>
      <c r="J180" s="40"/>
      <c r="K180" s="135">
        <f>$L$62-$L$59+$K$41+$K$42-$L$34+E180-F180-H180+I180</f>
        <v>68.423479504622406</v>
      </c>
    </row>
    <row r="181" spans="3:11">
      <c r="C181" s="47" t="s">
        <v>28</v>
      </c>
      <c r="D181" s="132">
        <f>H181+$N$46+$N$49+F181-$O$33</f>
        <v>93.529057732964688</v>
      </c>
      <c r="E181" s="40" cm="1">
        <f t="array" ref="E181">_xlfn.IFS('Overview and dashboard'!$T$9="No support",0,'Overview and dashboard'!$T$9="Current support schemes",IFERROR(VLOOKUP("Northern Ireland",$C$133:$H$143,6,0),""),'Overview and dashboard'!$T$9="Income foregone",D181)</f>
        <v>0</v>
      </c>
      <c r="F181" s="40">
        <f>'6 - Lists'!V$28*$F$84</f>
        <v>13.766596194503173</v>
      </c>
      <c r="G181" s="40"/>
      <c r="H181" s="40"/>
      <c r="I181" s="40">
        <f>'6 - Lists'!U$28*$F$83</f>
        <v>39.706553911205077</v>
      </c>
      <c r="J181" s="40"/>
      <c r="K181" s="135">
        <f>$O$62-$O$59+$N$41+$N$42-$O$34+E181-F181-H181+I181</f>
        <v>-53.822503821759625</v>
      </c>
    </row>
    <row r="182" spans="3:11">
      <c r="C182" s="47" t="s">
        <v>29</v>
      </c>
      <c r="D182" s="132">
        <f>H182+$Q$46+$Q$49+F182-$R$33</f>
        <v>112.02416696481812</v>
      </c>
      <c r="E182" s="40" cm="1">
        <f t="array" ref="E182">_xlfn.IFS('Overview and dashboard'!$T$9="No support",0,'Overview and dashboard'!$T$9="Current support schemes",IFERROR(VLOOKUP("Northern Ireland",$C$133:$H$143,6,0),""),'Overview and dashboard'!$T$9="Income foregone",D182)</f>
        <v>0</v>
      </c>
      <c r="F182" s="40">
        <f>'6 - Lists'!Z$28*$F$85</f>
        <v>32.261705426356592</v>
      </c>
      <c r="G182" s="40"/>
      <c r="H182" s="40"/>
      <c r="I182" s="40">
        <f>'6 - Lists'!Y$28*$F$83</f>
        <v>75.988837209302332</v>
      </c>
      <c r="J182" s="40"/>
      <c r="K182" s="135">
        <f>$R$62-$R$59+$Q$41+$Q$42-$R$34+E182-F182-H182+I182</f>
        <v>-36.035329755515775</v>
      </c>
    </row>
    <row r="183" spans="3:11" ht="15.75" thickBot="1">
      <c r="C183" s="65" t="s">
        <v>30</v>
      </c>
      <c r="D183" s="280">
        <f>H183+$T$46+$T$49+F183-$U$33</f>
        <v>79.762461538461523</v>
      </c>
      <c r="E183" s="66" cm="1">
        <f t="array" ref="E183">_xlfn.IFS('Overview and dashboard'!$T$9="No support",0,'Overview and dashboard'!$T$9="Current support schemes",IFERROR(VLOOKUP("Northern Ireland",$C$133:$H$143,6,0),""),'Overview and dashboard'!$T$9="Income foregone",D183)</f>
        <v>0</v>
      </c>
      <c r="F183" s="66">
        <f>'6 - Lists'!AD$28*$F$86</f>
        <v>0</v>
      </c>
      <c r="G183" s="66"/>
      <c r="H183" s="66"/>
      <c r="I183" s="66">
        <f>'6 - Lists'!AC$28*$F$83</f>
        <v>0</v>
      </c>
      <c r="J183" s="66"/>
      <c r="K183" s="276">
        <f>$U$62-$U$59+$T$41+$T$42-$U$34+E183-F183-H183+I183</f>
        <v>-79.762461538461523</v>
      </c>
    </row>
  </sheetData>
  <sheetProtection algorithmName="SHA-512" hashValue="IWJwiVcomO6fca0x2UiqVYCLLDqwodGzIm+MvI+2qQdOXj8V8qeXWjmw5e2Dw9Yz+AkN4Y6Cf1SLMoJVg93OGg==" saltValue="RieSbuVwXEs854cmR7lk9Q==" spinCount="100000" sheet="1" objects="1" scenarios="1"/>
  <mergeCells count="25">
    <mergeCell ref="C123:F123"/>
    <mergeCell ref="C116:F116"/>
    <mergeCell ref="C107:E107"/>
    <mergeCell ref="C100:E100"/>
    <mergeCell ref="C88:E88"/>
    <mergeCell ref="C105:D105"/>
    <mergeCell ref="C175:K175"/>
    <mergeCell ref="C165:K165"/>
    <mergeCell ref="C155:K155"/>
    <mergeCell ref="C145:K145"/>
    <mergeCell ref="C130:H130"/>
    <mergeCell ref="C131:H131"/>
    <mergeCell ref="C133:F133"/>
    <mergeCell ref="C136:F136"/>
    <mergeCell ref="C139:F139"/>
    <mergeCell ref="C142:F142"/>
    <mergeCell ref="C79:H79"/>
    <mergeCell ref="C66:E66"/>
    <mergeCell ref="E27:U27"/>
    <mergeCell ref="E28:F28"/>
    <mergeCell ref="H28:I28"/>
    <mergeCell ref="K28:L28"/>
    <mergeCell ref="N28:O28"/>
    <mergeCell ref="Q28:R28"/>
    <mergeCell ref="T28:U28"/>
  </mergeCells>
  <hyperlinks>
    <hyperlink ref="E109" r:id="rId1" xr:uid="{E30F2C43-CE71-4F53-991A-DC644759CCFE}"/>
    <hyperlink ref="F118" r:id="rId2" xr:uid="{86D4B985-5968-4176-BE8D-F71A60F3615F}"/>
    <hyperlink ref="F128" r:id="rId3" display="https://doi.org/10.1002/agj2.20489" xr:uid="{2F3D5080-71D1-49AF-AEE5-D9BD55E6CC44}"/>
  </hyperlinks>
  <pageMargins left="0.7" right="0.7" top="0.75" bottom="0.75" header="0.3" footer="0.3"/>
  <pageSetup paperSize="9" orientation="portrait"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354A7-C084-4BF2-AC3E-F991BB09FB91}">
  <sheetPr codeName="Sheet5"/>
  <dimension ref="B2:V148"/>
  <sheetViews>
    <sheetView showGridLines="0" showRowColHeaders="0" workbookViewId="0"/>
    <sheetView workbookViewId="1"/>
  </sheetViews>
  <sheetFormatPr defaultRowHeight="15"/>
  <cols>
    <col min="2" max="2" width="3.5703125" customWidth="1"/>
    <col min="3" max="3" width="44.42578125" customWidth="1"/>
    <col min="4" max="4" width="13.140625" customWidth="1"/>
    <col min="5" max="6" width="10.5703125" customWidth="1"/>
    <col min="7" max="7" width="0.5703125" customWidth="1"/>
    <col min="8" max="8" width="10.5703125" customWidth="1"/>
    <col min="9" max="9" width="11.42578125" customWidth="1"/>
    <col min="10" max="10" width="0.5703125" customWidth="1"/>
    <col min="11" max="12" width="10.5703125" customWidth="1"/>
    <col min="13" max="13" width="0.5703125" customWidth="1"/>
    <col min="14" max="15" width="10.5703125" customWidth="1"/>
    <col min="16" max="16" width="0.5703125" customWidth="1"/>
    <col min="17" max="18" width="10.5703125" customWidth="1"/>
    <col min="19" max="19" width="0.5703125" customWidth="1"/>
    <col min="20" max="21" width="10.5703125" customWidth="1"/>
    <col min="22" max="22" width="4.85546875" customWidth="1"/>
  </cols>
  <sheetData>
    <row r="2" spans="2:22">
      <c r="B2" s="14"/>
      <c r="C2" s="14"/>
      <c r="D2" s="14"/>
      <c r="E2" s="14"/>
      <c r="F2" s="14"/>
      <c r="G2" s="14"/>
      <c r="H2" s="14"/>
      <c r="I2" s="14"/>
      <c r="J2" s="14"/>
      <c r="K2" s="14"/>
      <c r="L2" s="14"/>
      <c r="M2" s="14"/>
      <c r="N2" s="14"/>
      <c r="O2" s="14"/>
      <c r="P2" s="14"/>
      <c r="Q2" s="14"/>
      <c r="R2" s="14"/>
      <c r="S2" s="14"/>
      <c r="T2" s="14"/>
      <c r="U2" s="14"/>
      <c r="V2" s="14"/>
    </row>
    <row r="3" spans="2:22">
      <c r="B3" s="14"/>
      <c r="C3" s="15" t="s">
        <v>55</v>
      </c>
      <c r="D3" s="15"/>
      <c r="E3" s="14"/>
      <c r="F3" s="14"/>
      <c r="G3" s="14"/>
      <c r="H3" s="14"/>
      <c r="I3" s="14"/>
      <c r="J3" s="14"/>
      <c r="K3" s="14"/>
      <c r="L3" s="14"/>
      <c r="M3" s="14"/>
      <c r="N3" s="14"/>
      <c r="O3" s="14"/>
      <c r="P3" s="14"/>
      <c r="Q3" s="14"/>
      <c r="R3" s="14"/>
      <c r="S3" s="14"/>
      <c r="T3" s="14"/>
      <c r="U3" s="14"/>
      <c r="V3" s="14"/>
    </row>
    <row r="4" spans="2:22">
      <c r="B4" s="14"/>
      <c r="C4" s="15"/>
      <c r="D4" s="15"/>
      <c r="E4" s="14"/>
      <c r="F4" s="14"/>
      <c r="G4" s="14"/>
      <c r="H4" s="14"/>
      <c r="I4" s="14"/>
      <c r="J4" s="14"/>
      <c r="K4" s="14"/>
      <c r="L4" s="14"/>
      <c r="M4" s="14"/>
      <c r="N4" s="14"/>
      <c r="O4" s="14"/>
      <c r="P4" s="14"/>
      <c r="Q4" s="14"/>
      <c r="R4" s="14"/>
      <c r="S4" s="14"/>
      <c r="T4" s="14"/>
      <c r="U4" s="14"/>
      <c r="V4" s="14"/>
    </row>
    <row r="5" spans="2:22">
      <c r="B5" s="14"/>
      <c r="C5" s="15" t="s">
        <v>56</v>
      </c>
      <c r="D5" s="15"/>
      <c r="E5" s="16">
        <v>3</v>
      </c>
      <c r="F5" s="14"/>
      <c r="G5" s="14"/>
      <c r="H5" s="14"/>
      <c r="I5" s="14"/>
      <c r="J5" s="14"/>
      <c r="K5" s="14"/>
      <c r="L5" s="14"/>
      <c r="M5" s="14"/>
      <c r="N5" s="14"/>
      <c r="O5" s="14"/>
      <c r="P5" s="14"/>
      <c r="Q5" s="14"/>
      <c r="R5" s="14"/>
      <c r="S5" s="14"/>
      <c r="T5" s="14"/>
      <c r="U5" s="14"/>
      <c r="V5" s="14"/>
    </row>
    <row r="6" spans="2:22">
      <c r="B6" s="14"/>
      <c r="C6" s="15"/>
      <c r="D6" s="15"/>
      <c r="E6" s="14"/>
      <c r="F6" s="14"/>
      <c r="G6" s="14"/>
      <c r="H6" s="14"/>
      <c r="I6" s="14"/>
      <c r="J6" s="14"/>
      <c r="K6" s="14"/>
      <c r="L6" s="14"/>
      <c r="M6" s="14"/>
      <c r="N6" s="14"/>
      <c r="O6" s="14"/>
      <c r="P6" s="14"/>
      <c r="Q6" s="14"/>
      <c r="R6" s="14"/>
      <c r="S6" s="14"/>
      <c r="T6" s="14"/>
      <c r="U6" s="14"/>
      <c r="V6" s="14"/>
    </row>
    <row r="7" spans="2:22">
      <c r="B7" s="14"/>
      <c r="C7" s="15" t="s">
        <v>57</v>
      </c>
      <c r="D7" s="15"/>
      <c r="E7" s="14" t="s">
        <v>6</v>
      </c>
      <c r="F7" s="14"/>
      <c r="G7" s="14"/>
      <c r="H7" s="14"/>
      <c r="I7" s="14"/>
      <c r="J7" s="14"/>
      <c r="K7" s="14"/>
      <c r="L7" s="14"/>
      <c r="M7" s="14"/>
      <c r="N7" s="14"/>
      <c r="O7" s="14"/>
      <c r="P7" s="14"/>
      <c r="Q7" s="14"/>
      <c r="R7" s="14"/>
      <c r="S7" s="14"/>
      <c r="T7" s="14"/>
      <c r="U7" s="14"/>
      <c r="V7" s="14"/>
    </row>
    <row r="8" spans="2:22">
      <c r="B8" s="14"/>
      <c r="C8" s="15"/>
      <c r="D8" s="15"/>
      <c r="E8" s="14"/>
      <c r="F8" s="14"/>
      <c r="G8" s="14"/>
      <c r="H8" s="14"/>
      <c r="I8" s="14"/>
      <c r="J8" s="14"/>
      <c r="K8" s="14"/>
      <c r="L8" s="14"/>
      <c r="M8" s="14"/>
      <c r="N8" s="14"/>
      <c r="O8" s="14"/>
      <c r="P8" s="14"/>
      <c r="Q8" s="14"/>
      <c r="R8" s="14"/>
      <c r="S8" s="14"/>
      <c r="T8" s="14"/>
      <c r="U8" s="14"/>
      <c r="V8" s="14"/>
    </row>
    <row r="9" spans="2:22">
      <c r="B9" s="14"/>
      <c r="C9" s="15" t="s">
        <v>58</v>
      </c>
      <c r="D9" s="15"/>
      <c r="E9" s="14" t="s">
        <v>276</v>
      </c>
      <c r="F9" s="14"/>
      <c r="G9" s="14"/>
      <c r="H9" s="14"/>
      <c r="I9" s="14"/>
      <c r="J9" s="14"/>
      <c r="K9" s="14"/>
      <c r="L9" s="14"/>
      <c r="M9" s="14"/>
      <c r="N9" s="14"/>
      <c r="O9" s="14"/>
      <c r="P9" s="14"/>
      <c r="Q9" s="14"/>
      <c r="R9" s="14"/>
      <c r="S9" s="14"/>
      <c r="T9" s="14"/>
      <c r="U9" s="14"/>
      <c r="V9" s="14"/>
    </row>
    <row r="10" spans="2:22">
      <c r="B10" s="14"/>
      <c r="C10" s="15"/>
      <c r="D10" s="15"/>
      <c r="E10" s="14"/>
      <c r="F10" s="14"/>
      <c r="G10" s="14"/>
      <c r="H10" s="14"/>
      <c r="I10" s="14"/>
      <c r="J10" s="14"/>
      <c r="K10" s="14"/>
      <c r="L10" s="14"/>
      <c r="M10" s="14"/>
      <c r="N10" s="14"/>
      <c r="O10" s="14"/>
      <c r="P10" s="14"/>
      <c r="Q10" s="14"/>
      <c r="R10" s="14"/>
      <c r="S10" s="14"/>
      <c r="T10" s="14"/>
      <c r="U10" s="14"/>
      <c r="V10" s="14"/>
    </row>
    <row r="11" spans="2:22">
      <c r="B11" s="14"/>
      <c r="C11" s="15" t="s">
        <v>60</v>
      </c>
      <c r="D11" s="15"/>
      <c r="E11" s="14" t="s">
        <v>277</v>
      </c>
      <c r="F11" s="14"/>
      <c r="G11" s="14"/>
      <c r="H11" s="14"/>
      <c r="I11" s="14"/>
      <c r="J11" s="14"/>
      <c r="K11" s="14"/>
      <c r="L11" s="14"/>
      <c r="M11" s="14"/>
      <c r="N11" s="14"/>
      <c r="O11" s="14"/>
      <c r="P11" s="14"/>
      <c r="Q11" s="14"/>
      <c r="R11" s="14"/>
      <c r="S11" s="14"/>
      <c r="T11" s="14"/>
      <c r="U11" s="14"/>
      <c r="V11" s="14"/>
    </row>
    <row r="12" spans="2:22">
      <c r="B12" s="14"/>
      <c r="C12" s="15"/>
      <c r="D12" s="15"/>
      <c r="E12" s="14"/>
      <c r="F12" s="14"/>
      <c r="G12" s="14"/>
      <c r="H12" s="14"/>
      <c r="I12" s="14"/>
      <c r="J12" s="14"/>
      <c r="K12" s="14"/>
      <c r="L12" s="14"/>
      <c r="M12" s="14"/>
      <c r="N12" s="14"/>
      <c r="O12" s="14"/>
      <c r="P12" s="14"/>
      <c r="Q12" s="14"/>
      <c r="R12" s="14"/>
      <c r="S12" s="14"/>
      <c r="T12" s="14"/>
      <c r="U12" s="14"/>
      <c r="V12" s="14"/>
    </row>
    <row r="13" spans="2:22">
      <c r="B13" s="14"/>
      <c r="C13" s="15" t="s">
        <v>62</v>
      </c>
      <c r="D13" s="15"/>
      <c r="E13" s="14" t="s">
        <v>278</v>
      </c>
      <c r="F13" s="14"/>
      <c r="G13" s="14"/>
      <c r="H13" s="14"/>
      <c r="I13" s="14"/>
      <c r="J13" s="14"/>
      <c r="K13" s="14"/>
      <c r="L13" s="14"/>
      <c r="M13" s="14"/>
      <c r="N13" s="14"/>
      <c r="O13" s="14"/>
      <c r="P13" s="14"/>
      <c r="Q13" s="14"/>
      <c r="R13" s="14"/>
      <c r="S13" s="14"/>
      <c r="T13" s="14"/>
      <c r="U13" s="14"/>
      <c r="V13" s="14"/>
    </row>
    <row r="14" spans="2:22">
      <c r="B14" s="14"/>
      <c r="C14" s="15"/>
      <c r="D14" s="15"/>
      <c r="E14" s="14" t="s">
        <v>279</v>
      </c>
      <c r="F14" s="14"/>
      <c r="G14" s="14"/>
      <c r="H14" s="14"/>
      <c r="I14" s="14"/>
      <c r="J14" s="14"/>
      <c r="K14" s="14"/>
      <c r="L14" s="14"/>
      <c r="M14" s="14"/>
      <c r="N14" s="14"/>
      <c r="O14" s="14"/>
      <c r="P14" s="14"/>
      <c r="Q14" s="14"/>
      <c r="R14" s="14"/>
      <c r="S14" s="14"/>
      <c r="T14" s="14"/>
      <c r="U14" s="14"/>
      <c r="V14" s="14"/>
    </row>
    <row r="15" spans="2:22">
      <c r="B15" s="14"/>
      <c r="C15" s="15"/>
      <c r="D15" s="15"/>
      <c r="E15" s="14" t="s">
        <v>639</v>
      </c>
      <c r="F15" s="14"/>
      <c r="G15" s="14"/>
      <c r="H15" s="14"/>
      <c r="I15" s="14"/>
      <c r="J15" s="14"/>
      <c r="K15" s="14"/>
      <c r="L15" s="14"/>
      <c r="M15" s="14"/>
      <c r="N15" s="14"/>
      <c r="O15" s="14"/>
      <c r="P15" s="14"/>
      <c r="Q15" s="14"/>
      <c r="R15" s="14"/>
      <c r="S15" s="14"/>
      <c r="T15" s="14"/>
      <c r="U15" s="14"/>
      <c r="V15" s="14"/>
    </row>
    <row r="16" spans="2:22">
      <c r="B16" s="14"/>
      <c r="C16" s="15"/>
      <c r="D16" s="15"/>
      <c r="E16" s="14" t="s">
        <v>640</v>
      </c>
      <c r="F16" s="14"/>
      <c r="G16" s="14"/>
      <c r="H16" s="14"/>
      <c r="I16" s="14"/>
      <c r="J16" s="14"/>
      <c r="K16" s="14"/>
      <c r="L16" s="14"/>
      <c r="M16" s="14"/>
      <c r="N16" s="14"/>
      <c r="O16" s="14"/>
      <c r="P16" s="14"/>
      <c r="Q16" s="14"/>
      <c r="R16" s="14"/>
      <c r="S16" s="14"/>
      <c r="T16" s="14"/>
      <c r="U16" s="14"/>
      <c r="V16" s="14"/>
    </row>
    <row r="17" spans="2:22">
      <c r="B17" s="14"/>
      <c r="C17" s="15"/>
      <c r="D17" s="15"/>
      <c r="E17" s="14" t="s">
        <v>641</v>
      </c>
      <c r="F17" s="14"/>
      <c r="G17" s="14"/>
      <c r="H17" s="14"/>
      <c r="I17" s="14"/>
      <c r="J17" s="14"/>
      <c r="K17" s="14"/>
      <c r="L17" s="14"/>
      <c r="M17" s="14"/>
      <c r="N17" s="14"/>
      <c r="O17" s="14"/>
      <c r="P17" s="14"/>
      <c r="Q17" s="14"/>
      <c r="R17" s="14"/>
      <c r="S17" s="14"/>
      <c r="T17" s="14"/>
      <c r="U17" s="14"/>
      <c r="V17" s="14"/>
    </row>
    <row r="18" spans="2:22">
      <c r="B18" s="14"/>
      <c r="C18" s="15"/>
      <c r="D18" s="15"/>
      <c r="E18" s="14" t="s">
        <v>642</v>
      </c>
      <c r="F18" s="14"/>
      <c r="G18" s="14"/>
      <c r="H18" s="14"/>
      <c r="I18" s="14"/>
      <c r="J18" s="14"/>
      <c r="K18" s="14"/>
      <c r="L18" s="14"/>
      <c r="M18" s="14"/>
      <c r="N18" s="14"/>
      <c r="O18" s="14"/>
      <c r="P18" s="14"/>
      <c r="Q18" s="14"/>
      <c r="R18" s="14"/>
      <c r="S18" s="14"/>
      <c r="T18" s="14"/>
      <c r="U18" s="14"/>
      <c r="V18" s="14"/>
    </row>
    <row r="19" spans="2:22">
      <c r="B19" s="14"/>
      <c r="C19" s="15"/>
      <c r="D19" s="15"/>
      <c r="E19" s="14" t="s">
        <v>643</v>
      </c>
      <c r="F19" s="14"/>
      <c r="G19" s="14"/>
      <c r="H19" s="14"/>
      <c r="I19" s="14"/>
      <c r="J19" s="14"/>
      <c r="K19" s="14"/>
      <c r="L19" s="14"/>
      <c r="M19" s="14"/>
      <c r="N19" s="14"/>
      <c r="O19" s="14"/>
      <c r="P19" s="14"/>
      <c r="Q19" s="14"/>
      <c r="R19" s="14"/>
      <c r="S19" s="14"/>
      <c r="T19" s="14"/>
      <c r="U19" s="14"/>
      <c r="V19" s="14"/>
    </row>
    <row r="20" spans="2:22">
      <c r="B20" s="14"/>
      <c r="C20" s="14"/>
      <c r="D20" s="14"/>
      <c r="E20" s="14"/>
      <c r="F20" s="14"/>
      <c r="G20" s="14"/>
      <c r="H20" s="14"/>
      <c r="I20" s="14"/>
      <c r="J20" s="14"/>
      <c r="K20" s="14"/>
      <c r="L20" s="14"/>
      <c r="M20" s="14"/>
      <c r="N20" s="14"/>
      <c r="O20" s="14"/>
      <c r="P20" s="14"/>
      <c r="Q20" s="14"/>
      <c r="R20" s="14"/>
      <c r="S20" s="14"/>
      <c r="T20" s="14"/>
      <c r="U20" s="14"/>
      <c r="V20" s="14"/>
    </row>
    <row r="21" spans="2:22">
      <c r="B21" s="14"/>
      <c r="C21" s="14"/>
      <c r="D21" s="14"/>
      <c r="E21" s="447"/>
      <c r="F21" s="448"/>
      <c r="G21" s="448"/>
      <c r="H21" s="448"/>
      <c r="I21" s="448"/>
      <c r="J21" s="448"/>
      <c r="K21" s="448"/>
      <c r="L21" s="448"/>
      <c r="M21" s="448"/>
      <c r="N21" s="448"/>
      <c r="O21" s="448"/>
      <c r="P21" s="448"/>
      <c r="Q21" s="448"/>
      <c r="R21" s="448"/>
      <c r="S21" s="448"/>
      <c r="T21" s="448"/>
      <c r="U21" s="449"/>
      <c r="V21" s="14"/>
    </row>
    <row r="22" spans="2:22">
      <c r="B22" s="14"/>
      <c r="C22" s="14"/>
      <c r="D22" s="14"/>
      <c r="E22" s="450" t="s">
        <v>25</v>
      </c>
      <c r="F22" s="450"/>
      <c r="G22" s="25"/>
      <c r="H22" s="450" t="s">
        <v>42</v>
      </c>
      <c r="I22" s="450"/>
      <c r="J22" s="25"/>
      <c r="K22" s="450" t="s">
        <v>27</v>
      </c>
      <c r="L22" s="450"/>
      <c r="M22" s="25"/>
      <c r="N22" s="450" t="s">
        <v>28</v>
      </c>
      <c r="O22" s="450"/>
      <c r="P22" s="25"/>
      <c r="Q22" s="450" t="s">
        <v>29</v>
      </c>
      <c r="R22" s="450"/>
      <c r="S22" s="25"/>
      <c r="T22" s="450" t="s">
        <v>30</v>
      </c>
      <c r="U22" s="450"/>
      <c r="V22" s="14"/>
    </row>
    <row r="23" spans="2:22" ht="21" customHeight="1">
      <c r="B23" s="14"/>
      <c r="C23" s="14"/>
      <c r="D23" s="14"/>
      <c r="E23" s="18" t="s">
        <v>88</v>
      </c>
      <c r="F23" s="18" t="s">
        <v>89</v>
      </c>
      <c r="G23" s="25"/>
      <c r="H23" s="18" t="s">
        <v>88</v>
      </c>
      <c r="I23" s="18" t="s">
        <v>89</v>
      </c>
      <c r="J23" s="25"/>
      <c r="K23" s="18" t="s">
        <v>88</v>
      </c>
      <c r="L23" s="18" t="s">
        <v>89</v>
      </c>
      <c r="M23" s="25"/>
      <c r="N23" s="18" t="s">
        <v>88</v>
      </c>
      <c r="O23" s="18" t="s">
        <v>89</v>
      </c>
      <c r="P23" s="25"/>
      <c r="Q23" s="18" t="s">
        <v>88</v>
      </c>
      <c r="R23" s="18" t="s">
        <v>89</v>
      </c>
      <c r="S23" s="25"/>
      <c r="T23" s="18" t="s">
        <v>88</v>
      </c>
      <c r="U23" s="18" t="s">
        <v>89</v>
      </c>
      <c r="V23" s="14"/>
    </row>
    <row r="24" spans="2:22" ht="30">
      <c r="B24" s="14"/>
      <c r="C24" s="27"/>
      <c r="D24" s="108" t="s">
        <v>90</v>
      </c>
      <c r="E24" s="58" t="s">
        <v>91</v>
      </c>
      <c r="F24" s="23" t="s">
        <v>91</v>
      </c>
      <c r="G24" s="319"/>
      <c r="H24" s="23" t="s">
        <v>91</v>
      </c>
      <c r="I24" s="23" t="s">
        <v>91</v>
      </c>
      <c r="J24" s="319"/>
      <c r="K24" s="23" t="s">
        <v>91</v>
      </c>
      <c r="L24" s="23" t="s">
        <v>91</v>
      </c>
      <c r="M24" s="319"/>
      <c r="N24" s="23" t="s">
        <v>91</v>
      </c>
      <c r="O24" s="23" t="s">
        <v>91</v>
      </c>
      <c r="P24" s="319"/>
      <c r="Q24" s="23" t="s">
        <v>91</v>
      </c>
      <c r="R24" s="23" t="s">
        <v>91</v>
      </c>
      <c r="S24" s="319"/>
      <c r="T24" s="23" t="s">
        <v>91</v>
      </c>
      <c r="U24" s="23" t="s">
        <v>91</v>
      </c>
      <c r="V24" s="14"/>
    </row>
    <row r="25" spans="2:22">
      <c r="B25" s="14"/>
      <c r="C25" s="6"/>
      <c r="D25" s="105"/>
      <c r="E25" s="194"/>
      <c r="F25" s="194"/>
      <c r="G25" s="228"/>
      <c r="H25" s="194"/>
      <c r="I25" s="194"/>
      <c r="J25" s="228"/>
      <c r="K25" s="194"/>
      <c r="L25" s="194"/>
      <c r="M25" s="228"/>
      <c r="N25" s="194"/>
      <c r="O25" s="194"/>
      <c r="P25" s="228"/>
      <c r="Q25" s="194"/>
      <c r="R25" s="194"/>
      <c r="S25" s="228"/>
      <c r="T25" s="194"/>
      <c r="U25" s="194"/>
      <c r="V25" s="14"/>
    </row>
    <row r="26" spans="2:22">
      <c r="B26" s="14"/>
      <c r="C26" s="321" t="s">
        <v>92</v>
      </c>
      <c r="D26" s="106"/>
      <c r="E26" s="194"/>
      <c r="F26" s="194"/>
      <c r="G26" s="228"/>
      <c r="H26" s="194"/>
      <c r="I26" s="194"/>
      <c r="J26" s="228"/>
      <c r="K26" s="194"/>
      <c r="L26" s="194"/>
      <c r="M26" s="228"/>
      <c r="N26" s="194"/>
      <c r="O26" s="194"/>
      <c r="P26" s="228"/>
      <c r="Q26" s="194"/>
      <c r="R26" s="194"/>
      <c r="S26" s="228"/>
      <c r="T26" s="194"/>
      <c r="U26" s="194"/>
      <c r="V26" s="14"/>
    </row>
    <row r="27" spans="2:22">
      <c r="B27" s="14"/>
      <c r="C27" s="176" t="s">
        <v>280</v>
      </c>
      <c r="D27" s="106"/>
      <c r="E27" s="194"/>
      <c r="F27" s="194"/>
      <c r="G27" s="228"/>
      <c r="H27" s="194"/>
      <c r="I27" s="194"/>
      <c r="J27" s="228"/>
      <c r="K27" s="194"/>
      <c r="L27" s="194">
        <f>$E$66</f>
        <v>0.65279999999999994</v>
      </c>
      <c r="M27" s="228"/>
      <c r="N27" s="194"/>
      <c r="O27" s="194">
        <f>$E$66</f>
        <v>0.65279999999999994</v>
      </c>
      <c r="P27" s="228"/>
      <c r="Q27" s="194"/>
      <c r="R27" s="194">
        <f>$E$66</f>
        <v>0.65279999999999994</v>
      </c>
      <c r="S27" s="228"/>
      <c r="T27" s="194"/>
      <c r="U27" s="194">
        <f>$E$66</f>
        <v>0.65279999999999994</v>
      </c>
      <c r="V27" s="14"/>
    </row>
    <row r="28" spans="2:22">
      <c r="B28" s="14"/>
      <c r="C28" s="176" t="s">
        <v>93</v>
      </c>
      <c r="D28" s="147" cm="1">
        <f t="array" ref="D28">_xlfn.IFS('Overview and dashboard'!U13="Poor",0,'Overview and dashboard'!U13="Moderate",0.08,'Overview and dashboard'!U13="Good",0.11)</f>
        <v>0.08</v>
      </c>
      <c r="E28" s="194"/>
      <c r="F28" s="194"/>
      <c r="G28" s="228"/>
      <c r="H28" s="194"/>
      <c r="I28" s="194"/>
      <c r="J28" s="228"/>
      <c r="K28" s="194"/>
      <c r="L28" s="194">
        <f>$D$28*$E$72</f>
        <v>0</v>
      </c>
      <c r="M28" s="228"/>
      <c r="N28" s="194"/>
      <c r="O28" s="194">
        <f>$D$28*$E$73</f>
        <v>0</v>
      </c>
      <c r="P28" s="228"/>
      <c r="Q28" s="194"/>
      <c r="R28" s="194">
        <f>$D$28*$E$74</f>
        <v>0</v>
      </c>
      <c r="S28" s="228"/>
      <c r="T28" s="194"/>
      <c r="U28" s="194"/>
      <c r="V28" s="14"/>
    </row>
    <row r="29" spans="2:22">
      <c r="B29" s="14"/>
      <c r="C29" s="176" t="s">
        <v>632</v>
      </c>
      <c r="D29" s="147" cm="1">
        <f t="array" ref="D29">_xlfn.IFS('Overview and dashboard'!S13="Poor",0,'Overview and dashboard'!S13="Moderate",0.01,'Overview and dashboard'!S13="Good",0.02)</f>
        <v>0.01</v>
      </c>
      <c r="E29" s="194"/>
      <c r="F29" s="194"/>
      <c r="G29" s="228"/>
      <c r="H29" s="194"/>
      <c r="I29" s="194"/>
      <c r="J29" s="228"/>
      <c r="K29" s="194"/>
      <c r="L29" s="194"/>
      <c r="M29" s="228"/>
      <c r="N29" s="194"/>
      <c r="O29" s="194"/>
      <c r="P29" s="228"/>
      <c r="Q29" s="194"/>
      <c r="R29" s="194"/>
      <c r="S29" s="228"/>
      <c r="T29" s="194"/>
      <c r="U29" s="194">
        <f>T35+$D$29*$E$75</f>
        <v>0</v>
      </c>
      <c r="V29" s="14"/>
    </row>
    <row r="30" spans="2:22">
      <c r="B30" s="14"/>
      <c r="C30" s="176"/>
      <c r="D30" s="106"/>
      <c r="E30" s="194"/>
      <c r="F30" s="194"/>
      <c r="G30" s="228"/>
      <c r="H30" s="194"/>
      <c r="I30" s="194"/>
      <c r="J30" s="228"/>
      <c r="K30" s="194"/>
      <c r="L30" s="194"/>
      <c r="M30" s="228"/>
      <c r="N30" s="194"/>
      <c r="O30" s="194"/>
      <c r="P30" s="228"/>
      <c r="Q30" s="194"/>
      <c r="R30" s="194"/>
      <c r="S30" s="228"/>
      <c r="T30" s="194"/>
      <c r="U30" s="194"/>
      <c r="V30" s="14"/>
    </row>
    <row r="31" spans="2:22">
      <c r="B31" s="14"/>
      <c r="C31" s="321" t="s">
        <v>94</v>
      </c>
      <c r="D31" s="106"/>
      <c r="E31" s="194"/>
      <c r="F31" s="194"/>
      <c r="G31" s="228"/>
      <c r="H31" s="194"/>
      <c r="I31" s="194"/>
      <c r="J31" s="228"/>
      <c r="K31" s="194"/>
      <c r="L31" s="194"/>
      <c r="M31" s="228"/>
      <c r="N31" s="194"/>
      <c r="O31" s="194"/>
      <c r="P31" s="228"/>
      <c r="Q31" s="194"/>
      <c r="R31" s="194"/>
      <c r="S31" s="228"/>
      <c r="T31" s="194"/>
      <c r="U31" s="194"/>
      <c r="V31" s="14"/>
    </row>
    <row r="32" spans="2:22" ht="15.75" thickBot="1">
      <c r="B32" s="14"/>
      <c r="C32" s="176"/>
      <c r="D32" s="105"/>
      <c r="E32" s="194"/>
      <c r="F32" s="194"/>
      <c r="G32" s="228"/>
      <c r="H32" s="194"/>
      <c r="I32" s="194"/>
      <c r="J32" s="228"/>
      <c r="K32" s="194"/>
      <c r="L32" s="194"/>
      <c r="M32" s="228"/>
      <c r="N32" s="194"/>
      <c r="O32" s="194"/>
      <c r="P32" s="228"/>
      <c r="Q32" s="194"/>
      <c r="R32" s="194"/>
      <c r="S32" s="228"/>
      <c r="T32" s="194"/>
      <c r="U32" s="194"/>
      <c r="V32" s="14"/>
    </row>
    <row r="33" spans="2:22" ht="16.5" thickTop="1" thickBot="1">
      <c r="B33" s="14"/>
      <c r="C33" s="24" t="s">
        <v>68</v>
      </c>
      <c r="D33" s="107"/>
      <c r="E33" s="195">
        <f>SUM(E25:E32)</f>
        <v>0</v>
      </c>
      <c r="F33" s="195">
        <f>SUM(F25:F32)</f>
        <v>0</v>
      </c>
      <c r="G33" s="196"/>
      <c r="H33" s="195">
        <f>SUM(H25:H32)</f>
        <v>0</v>
      </c>
      <c r="I33" s="195">
        <f>SUM(I25:I32)</f>
        <v>0</v>
      </c>
      <c r="J33" s="196"/>
      <c r="K33" s="195">
        <f>SUM(K25:K32)</f>
        <v>0</v>
      </c>
      <c r="L33" s="195">
        <f>SUM(L25:L32)</f>
        <v>0.65279999999999994</v>
      </c>
      <c r="M33" s="196"/>
      <c r="N33" s="195">
        <f>SUM(N25:N32)</f>
        <v>0</v>
      </c>
      <c r="O33" s="195">
        <f>SUM(O25:O32)</f>
        <v>0.65279999999999994</v>
      </c>
      <c r="P33" s="196"/>
      <c r="Q33" s="195">
        <f>SUM(Q25:Q32)</f>
        <v>0</v>
      </c>
      <c r="R33" s="195">
        <f>SUM(R25:R32)</f>
        <v>0.65279999999999994</v>
      </c>
      <c r="S33" s="196"/>
      <c r="T33" s="195">
        <f>SUM(T25:T32)</f>
        <v>0</v>
      </c>
      <c r="U33" s="195">
        <f>SUM(U25:U32)</f>
        <v>0.65279999999999994</v>
      </c>
      <c r="V33" s="14"/>
    </row>
    <row r="34" spans="2:22" ht="15.75" thickTop="1">
      <c r="B34" s="14"/>
      <c r="C34" s="321" t="s">
        <v>95</v>
      </c>
      <c r="D34" s="106"/>
      <c r="E34" s="194"/>
      <c r="F34" s="194"/>
      <c r="G34" s="228"/>
      <c r="H34" s="194"/>
      <c r="I34" s="194"/>
      <c r="J34" s="228"/>
      <c r="K34" s="194"/>
      <c r="L34" s="194"/>
      <c r="M34" s="228"/>
      <c r="N34" s="194"/>
      <c r="O34" s="194"/>
      <c r="P34" s="228"/>
      <c r="Q34" s="194"/>
      <c r="R34" s="194"/>
      <c r="S34" s="228"/>
      <c r="T34" s="194"/>
      <c r="U34" s="194"/>
      <c r="V34" s="14"/>
    </row>
    <row r="35" spans="2:22">
      <c r="B35" s="14"/>
      <c r="C35" s="176" t="s">
        <v>229</v>
      </c>
      <c r="D35" s="105"/>
      <c r="E35" s="194"/>
      <c r="F35" s="194"/>
      <c r="G35" s="228"/>
      <c r="H35" s="194"/>
      <c r="I35" s="194"/>
      <c r="J35" s="228"/>
      <c r="K35" s="194"/>
      <c r="L35" s="194"/>
      <c r="M35" s="228"/>
      <c r="N35" s="194"/>
      <c r="O35" s="194"/>
      <c r="P35" s="228"/>
      <c r="Q35" s="194"/>
      <c r="R35" s="194"/>
      <c r="S35" s="228"/>
      <c r="T35" s="194"/>
      <c r="U35" s="194"/>
      <c r="V35" s="14"/>
    </row>
    <row r="36" spans="2:22">
      <c r="B36" s="14"/>
      <c r="C36" s="176"/>
      <c r="D36" s="105"/>
      <c r="E36" s="194"/>
      <c r="F36" s="194"/>
      <c r="G36" s="228"/>
      <c r="H36" s="194"/>
      <c r="I36" s="194"/>
      <c r="J36" s="228"/>
      <c r="K36" s="194"/>
      <c r="L36" s="194"/>
      <c r="M36" s="228"/>
      <c r="N36" s="194"/>
      <c r="O36" s="194"/>
      <c r="P36" s="228"/>
      <c r="Q36" s="194"/>
      <c r="R36" s="194"/>
      <c r="S36" s="228"/>
      <c r="T36" s="194"/>
      <c r="U36" s="194"/>
      <c r="V36" s="14"/>
    </row>
    <row r="37" spans="2:22">
      <c r="B37" s="14"/>
      <c r="C37" s="321" t="s">
        <v>97</v>
      </c>
      <c r="D37" s="106"/>
      <c r="E37" s="194"/>
      <c r="F37" s="194"/>
      <c r="G37" s="228"/>
      <c r="H37" s="194"/>
      <c r="I37" s="194"/>
      <c r="J37" s="228"/>
      <c r="K37" s="194"/>
      <c r="L37" s="194"/>
      <c r="M37" s="228"/>
      <c r="N37" s="194"/>
      <c r="O37" s="194"/>
      <c r="P37" s="228"/>
      <c r="Q37" s="194"/>
      <c r="R37" s="194"/>
      <c r="S37" s="228"/>
      <c r="T37" s="194"/>
      <c r="U37" s="194"/>
      <c r="V37" s="14"/>
    </row>
    <row r="38" spans="2:22" ht="30">
      <c r="B38" s="14"/>
      <c r="C38" s="229" t="str">
        <f>C83</f>
        <v>Average annual silvopastoral establishment costs over 25 year period</v>
      </c>
      <c r="D38" s="105"/>
      <c r="E38" s="194"/>
      <c r="F38" s="194"/>
      <c r="G38" s="228"/>
      <c r="H38" s="194"/>
      <c r="I38" s="194"/>
      <c r="J38" s="228"/>
      <c r="K38" s="194">
        <f>$E$83</f>
        <v>53.76</v>
      </c>
      <c r="L38" s="194"/>
      <c r="M38" s="228"/>
      <c r="N38" s="194">
        <f>$E$83</f>
        <v>53.76</v>
      </c>
      <c r="O38" s="194"/>
      <c r="P38" s="228"/>
      <c r="Q38" s="194">
        <f>$E$83</f>
        <v>53.76</v>
      </c>
      <c r="R38" s="194"/>
      <c r="S38" s="228"/>
      <c r="T38" s="194">
        <f>$E$83</f>
        <v>53.76</v>
      </c>
      <c r="U38" s="194"/>
      <c r="V38" s="14"/>
    </row>
    <row r="39" spans="2:22">
      <c r="B39" s="14"/>
      <c r="C39" s="176"/>
      <c r="D39" s="105"/>
      <c r="E39" s="194"/>
      <c r="F39" s="194"/>
      <c r="G39" s="228"/>
      <c r="H39" s="194"/>
      <c r="I39" s="194"/>
      <c r="J39" s="228"/>
      <c r="K39" s="194"/>
      <c r="L39" s="194"/>
      <c r="M39" s="228"/>
      <c r="N39" s="194"/>
      <c r="O39" s="194"/>
      <c r="P39" s="228"/>
      <c r="Q39" s="194"/>
      <c r="R39" s="194"/>
      <c r="S39" s="228"/>
      <c r="T39" s="194"/>
      <c r="U39" s="194"/>
      <c r="V39" s="14"/>
    </row>
    <row r="40" spans="2:22" ht="27" customHeight="1">
      <c r="B40" s="14"/>
      <c r="C40" s="321" t="s">
        <v>101</v>
      </c>
      <c r="D40" s="106"/>
      <c r="E40" s="194"/>
      <c r="F40" s="194"/>
      <c r="G40" s="228"/>
      <c r="H40" s="194"/>
      <c r="I40" s="194"/>
      <c r="J40" s="228"/>
      <c r="K40" s="194"/>
      <c r="L40" s="194"/>
      <c r="M40" s="228"/>
      <c r="N40" s="194"/>
      <c r="O40" s="194"/>
      <c r="P40" s="228"/>
      <c r="Q40" s="194"/>
      <c r="R40" s="194"/>
      <c r="S40" s="228"/>
      <c r="T40" s="194"/>
      <c r="U40" s="194"/>
      <c r="V40" s="14"/>
    </row>
    <row r="41" spans="2:22" ht="30">
      <c r="B41" s="14"/>
      <c r="C41" s="229" t="str">
        <f>C90</f>
        <v>Average annual silvopastoral maintanence costs over 25 year period</v>
      </c>
      <c r="D41" s="105"/>
      <c r="E41" s="194"/>
      <c r="F41" s="194"/>
      <c r="G41" s="228"/>
      <c r="H41" s="194"/>
      <c r="I41" s="194"/>
      <c r="J41" s="228"/>
      <c r="K41" s="194">
        <f>$E$90</f>
        <v>85.13600000000001</v>
      </c>
      <c r="L41" s="194"/>
      <c r="M41" s="228"/>
      <c r="N41" s="194">
        <f>$E$90</f>
        <v>85.13600000000001</v>
      </c>
      <c r="O41" s="194"/>
      <c r="P41" s="228"/>
      <c r="Q41" s="194">
        <f>$E$90</f>
        <v>85.13600000000001</v>
      </c>
      <c r="R41" s="194"/>
      <c r="S41" s="228"/>
      <c r="T41" s="194">
        <f>$E$90</f>
        <v>85.13600000000001</v>
      </c>
      <c r="U41" s="194"/>
      <c r="V41" s="14"/>
    </row>
    <row r="42" spans="2:22" ht="15.75" thickBot="1">
      <c r="B42" s="14"/>
      <c r="C42" s="176"/>
      <c r="D42" s="105"/>
      <c r="E42" s="194"/>
      <c r="F42" s="194"/>
      <c r="G42" s="228"/>
      <c r="H42" s="194"/>
      <c r="I42" s="194"/>
      <c r="J42" s="228"/>
      <c r="K42" s="194"/>
      <c r="L42" s="194"/>
      <c r="M42" s="228"/>
      <c r="N42" s="194"/>
      <c r="O42" s="194"/>
      <c r="P42" s="228"/>
      <c r="Q42" s="194"/>
      <c r="R42" s="194"/>
      <c r="S42" s="228"/>
      <c r="T42" s="194"/>
      <c r="U42" s="194"/>
      <c r="V42" s="14"/>
    </row>
    <row r="43" spans="2:22" ht="16.5" thickTop="1" thickBot="1">
      <c r="B43" s="14"/>
      <c r="C43" s="24" t="s">
        <v>68</v>
      </c>
      <c r="D43" s="91"/>
      <c r="E43" s="195">
        <f>SUM(E34:E42)</f>
        <v>0</v>
      </c>
      <c r="F43" s="195">
        <f>SUM(F34:F42)</f>
        <v>0</v>
      </c>
      <c r="G43" s="196"/>
      <c r="H43" s="195">
        <f>SUM(H34:H42)</f>
        <v>0</v>
      </c>
      <c r="I43" s="195">
        <f>SUM(I34:I42)</f>
        <v>0</v>
      </c>
      <c r="J43" s="196"/>
      <c r="K43" s="195">
        <f>SUM(K34:K42)</f>
        <v>138.89600000000002</v>
      </c>
      <c r="L43" s="195">
        <f>SUM(L34:L42)</f>
        <v>0</v>
      </c>
      <c r="M43" s="196"/>
      <c r="N43" s="195">
        <f>SUM(N34:N42)</f>
        <v>138.89600000000002</v>
      </c>
      <c r="O43" s="195">
        <f>SUM(O34:O42)</f>
        <v>0</v>
      </c>
      <c r="P43" s="196"/>
      <c r="Q43" s="195">
        <f>SUM(Q34:Q42)</f>
        <v>138.89600000000002</v>
      </c>
      <c r="R43" s="195">
        <f>SUM(R34:R42)</f>
        <v>0</v>
      </c>
      <c r="S43" s="196"/>
      <c r="T43" s="195">
        <f>SUM(T34:T42)</f>
        <v>138.89600000000002</v>
      </c>
      <c r="U43" s="195">
        <f>SUM(U34:U42)</f>
        <v>0</v>
      </c>
      <c r="V43" s="14"/>
    </row>
    <row r="44" spans="2:22" ht="15.75" thickTop="1">
      <c r="B44" s="14"/>
      <c r="C44" s="317"/>
      <c r="D44" s="318"/>
      <c r="E44" s="261"/>
      <c r="F44" s="261"/>
      <c r="G44" s="269"/>
      <c r="H44" s="261"/>
      <c r="I44" s="261"/>
      <c r="J44" s="269"/>
      <c r="K44" s="261"/>
      <c r="L44" s="261"/>
      <c r="M44" s="269"/>
      <c r="N44" s="261"/>
      <c r="O44" s="261"/>
      <c r="P44" s="269"/>
      <c r="Q44" s="261"/>
      <c r="R44" s="261"/>
      <c r="S44" s="269"/>
      <c r="T44" s="261"/>
      <c r="U44" s="261"/>
      <c r="V44" s="14"/>
    </row>
    <row r="45" spans="2:22" ht="21.95" customHeight="1">
      <c r="B45" s="14"/>
      <c r="C45" s="19" t="s">
        <v>75</v>
      </c>
      <c r="D45" s="22"/>
      <c r="E45" s="197">
        <f>-E33-E43</f>
        <v>0</v>
      </c>
      <c r="F45" s="197">
        <f>F33+F43</f>
        <v>0</v>
      </c>
      <c r="G45" s="198"/>
      <c r="H45" s="197">
        <f>-H33-H43</f>
        <v>0</v>
      </c>
      <c r="I45" s="197">
        <f>I33+I43</f>
        <v>0</v>
      </c>
      <c r="J45" s="198"/>
      <c r="K45" s="197">
        <f>-K33-K43</f>
        <v>-138.89600000000002</v>
      </c>
      <c r="L45" s="197">
        <f>L33+L43</f>
        <v>0.65279999999999994</v>
      </c>
      <c r="M45" s="198"/>
      <c r="N45" s="197">
        <f>-N33-N43</f>
        <v>-138.89600000000002</v>
      </c>
      <c r="O45" s="197">
        <f>O33+O43</f>
        <v>0.65279999999999994</v>
      </c>
      <c r="P45" s="198"/>
      <c r="Q45" s="197">
        <f>-Q33-Q43</f>
        <v>-138.89600000000002</v>
      </c>
      <c r="R45" s="197">
        <f>R33+R43</f>
        <v>0.65279999999999994</v>
      </c>
      <c r="S45" s="198"/>
      <c r="T45" s="197">
        <f>-T33-T43</f>
        <v>-138.89600000000002</v>
      </c>
      <c r="U45" s="197">
        <f>U33+U43</f>
        <v>0.65279999999999994</v>
      </c>
      <c r="V45" s="14"/>
    </row>
    <row r="46" spans="2:22">
      <c r="B46" s="14"/>
      <c r="C46" s="2"/>
      <c r="D46" s="1"/>
      <c r="E46" s="199"/>
      <c r="F46" s="199"/>
      <c r="G46" s="200"/>
      <c r="H46" s="199"/>
      <c r="I46" s="199"/>
      <c r="J46" s="200"/>
      <c r="K46" s="199"/>
      <c r="L46" s="199"/>
      <c r="M46" s="200"/>
      <c r="N46" s="199"/>
      <c r="O46" s="199"/>
      <c r="P46" s="200"/>
      <c r="Q46" s="199"/>
      <c r="R46" s="199"/>
      <c r="S46" s="200"/>
      <c r="T46" s="199"/>
      <c r="U46" s="199"/>
      <c r="V46" s="14"/>
    </row>
    <row r="47" spans="2:22">
      <c r="B47" s="14"/>
      <c r="C47" s="29" t="s">
        <v>102</v>
      </c>
      <c r="D47" s="92"/>
      <c r="E47" s="201"/>
      <c r="F47" s="201">
        <f>SUM(E45:F45)</f>
        <v>0</v>
      </c>
      <c r="G47" s="200"/>
      <c r="H47" s="201"/>
      <c r="I47" s="201">
        <f>SUM(H45:I45)</f>
        <v>0</v>
      </c>
      <c r="J47" s="200"/>
      <c r="K47" s="201"/>
      <c r="L47" s="201">
        <f>SUM(K45:L45)</f>
        <v>-138.2432</v>
      </c>
      <c r="M47" s="200"/>
      <c r="N47" s="201"/>
      <c r="O47" s="201">
        <f>SUM(N45:O45)</f>
        <v>-138.2432</v>
      </c>
      <c r="P47" s="200"/>
      <c r="Q47" s="201"/>
      <c r="R47" s="201">
        <f>SUM(Q45:R45)</f>
        <v>-138.2432</v>
      </c>
      <c r="S47" s="200"/>
      <c r="T47" s="203"/>
      <c r="U47" s="204">
        <f>SUM(T45:U45)</f>
        <v>-138.2432</v>
      </c>
      <c r="V47" s="14"/>
    </row>
    <row r="48" spans="2:22">
      <c r="B48" s="14"/>
      <c r="C48" s="321" t="s">
        <v>103</v>
      </c>
      <c r="D48" s="105"/>
      <c r="E48" s="202"/>
      <c r="F48" s="202"/>
      <c r="G48" s="323"/>
      <c r="H48" s="202"/>
      <c r="I48" s="202"/>
      <c r="J48" s="323"/>
      <c r="K48" s="202"/>
      <c r="L48" s="202"/>
      <c r="M48" s="323"/>
      <c r="N48" s="202"/>
      <c r="O48" s="202"/>
      <c r="P48" s="323"/>
      <c r="Q48" s="202"/>
      <c r="R48" s="202"/>
      <c r="S48" s="323"/>
      <c r="T48" s="202"/>
      <c r="U48" s="202"/>
      <c r="V48" s="14"/>
    </row>
    <row r="49" spans="2:22">
      <c r="B49" s="14"/>
      <c r="C49" s="321"/>
      <c r="D49" s="105"/>
      <c r="E49" s="253"/>
      <c r="F49" s="253"/>
      <c r="G49" s="323"/>
      <c r="H49" s="253"/>
      <c r="I49" s="253"/>
      <c r="J49" s="323"/>
      <c r="K49" s="253"/>
      <c r="L49" s="253"/>
      <c r="M49" s="323"/>
      <c r="N49" s="253"/>
      <c r="O49" s="253"/>
      <c r="P49" s="323"/>
      <c r="Q49" s="253"/>
      <c r="R49" s="253"/>
      <c r="S49" s="323"/>
      <c r="T49" s="253"/>
      <c r="U49" s="253"/>
      <c r="V49" s="14"/>
    </row>
    <row r="50" spans="2:22">
      <c r="B50" s="14"/>
      <c r="C50" s="321"/>
      <c r="D50" s="105"/>
      <c r="E50" s="253"/>
      <c r="F50" s="253"/>
      <c r="G50" s="323"/>
      <c r="H50" s="253"/>
      <c r="I50" s="253"/>
      <c r="J50" s="323"/>
      <c r="K50" s="253"/>
      <c r="L50" s="253"/>
      <c r="M50" s="323"/>
      <c r="N50" s="253"/>
      <c r="O50" s="253"/>
      <c r="P50" s="323"/>
      <c r="Q50" s="253"/>
      <c r="R50" s="253"/>
      <c r="S50" s="323"/>
      <c r="T50" s="253"/>
      <c r="U50" s="253"/>
      <c r="V50" s="14"/>
    </row>
    <row r="51" spans="2:22">
      <c r="B51" s="14"/>
      <c r="C51" s="176" t="s">
        <v>104</v>
      </c>
      <c r="D51" s="105"/>
      <c r="E51" s="253"/>
      <c r="F51" s="253"/>
      <c r="G51" s="269"/>
      <c r="H51" s="253"/>
      <c r="I51" s="253"/>
      <c r="J51" s="269"/>
      <c r="K51" s="253"/>
      <c r="L51" s="260" cm="1">
        <f t="array" ref="L51">_xlfn.IFS('Overview and dashboard'!$U$9="No support",0,'Overview and dashboard'!$U$9="Current support schemes",IFERROR(VLOOKUP('Overview and dashboard'!$F$6,$C$102:$H$108,6,0),0),'Overview and dashboard'!$U$9="Income foregone",K43-L27)</f>
        <v>0</v>
      </c>
      <c r="M51" s="269"/>
      <c r="N51" s="253"/>
      <c r="O51" s="260" cm="1">
        <f t="array" ref="O51">_xlfn.IFS('Overview and dashboard'!$U$9="No support",0,'Overview and dashboard'!$U$9="Current support schemes",IFERROR(VLOOKUP('Overview and dashboard'!$F$6,$C$102:$H$108,6,0),0),'Overview and dashboard'!$U$9="Income foregone",N43-O27)</f>
        <v>0</v>
      </c>
      <c r="P51" s="269"/>
      <c r="Q51" s="253"/>
      <c r="R51" s="260" cm="1">
        <f t="array" ref="R51">_xlfn.IFS('Overview and dashboard'!$U$9="No support",0,'Overview and dashboard'!$U$9="Current support schemes",IFERROR(VLOOKUP('Overview and dashboard'!$F$6,$C$102:$H$108,6,0),0),'Overview and dashboard'!$U$9="Income foregone",Q43-R27)</f>
        <v>0</v>
      </c>
      <c r="S51" s="269"/>
      <c r="T51" s="253"/>
      <c r="U51" s="260" cm="1">
        <f t="array" ref="U51">_xlfn.IFS('Overview and dashboard'!$U$9="No support",0,'Overview and dashboard'!$U$9="Current support schemes",IFERROR(VLOOKUP('Overview and dashboard'!$F$6,$C$102:$H$108,6,0),0),'Overview and dashboard'!$U$9="Income foregone",T43-U27)</f>
        <v>0</v>
      </c>
      <c r="V51" s="14"/>
    </row>
    <row r="52" spans="2:22" ht="15.75" thickBot="1">
      <c r="B52" s="14"/>
      <c r="C52" s="317" t="s">
        <v>105</v>
      </c>
      <c r="D52" s="327">
        <f>E96</f>
        <v>0</v>
      </c>
      <c r="E52" s="325"/>
      <c r="F52" s="254"/>
      <c r="G52" s="269"/>
      <c r="H52" s="325"/>
      <c r="I52" s="254"/>
      <c r="J52" s="269"/>
      <c r="K52" s="325"/>
      <c r="L52" s="254">
        <f>$E$97</f>
        <v>0</v>
      </c>
      <c r="M52" s="269"/>
      <c r="N52" s="325"/>
      <c r="O52" s="254">
        <f>$E$97</f>
        <v>0</v>
      </c>
      <c r="P52" s="269"/>
      <c r="Q52" s="325"/>
      <c r="R52" s="254">
        <f>$E$97</f>
        <v>0</v>
      </c>
      <c r="S52" s="269"/>
      <c r="T52" s="325"/>
      <c r="U52" s="254">
        <f>$E$97</f>
        <v>0</v>
      </c>
      <c r="V52" s="14"/>
    </row>
    <row r="53" spans="2:22" ht="16.5" thickTop="1" thickBot="1">
      <c r="B53" s="14"/>
      <c r="C53" s="24" t="s">
        <v>68</v>
      </c>
      <c r="D53" s="107"/>
      <c r="E53" s="195">
        <f>SUM(E48:E52)</f>
        <v>0</v>
      </c>
      <c r="F53" s="195">
        <f>SUM(F48:F52)</f>
        <v>0</v>
      </c>
      <c r="G53" s="196"/>
      <c r="H53" s="195">
        <f>SUM(H48:H52)</f>
        <v>0</v>
      </c>
      <c r="I53" s="195">
        <f>SUM(I48:I52)</f>
        <v>0</v>
      </c>
      <c r="J53" s="196"/>
      <c r="K53" s="195">
        <f>SUM(K48:K52)</f>
        <v>0</v>
      </c>
      <c r="L53" s="195">
        <f>SUM(L48:L52)</f>
        <v>0</v>
      </c>
      <c r="M53" s="196"/>
      <c r="N53" s="195">
        <f>SUM(N48:N52)</f>
        <v>0</v>
      </c>
      <c r="O53" s="195">
        <f>SUM(O48:O52)</f>
        <v>0</v>
      </c>
      <c r="P53" s="196"/>
      <c r="Q53" s="195">
        <f>SUM(Q48:Q52)</f>
        <v>0</v>
      </c>
      <c r="R53" s="195">
        <f>SUM(R48:R52)</f>
        <v>0</v>
      </c>
      <c r="S53" s="196"/>
      <c r="T53" s="195">
        <f>SUM(T48:T52)</f>
        <v>0</v>
      </c>
      <c r="U53" s="195">
        <f>SUM(U48:U52)</f>
        <v>0</v>
      </c>
      <c r="V53" s="14"/>
    </row>
    <row r="54" spans="2:22" ht="15.75" thickTop="1">
      <c r="B54" s="14"/>
      <c r="C54" s="29" t="s">
        <v>106</v>
      </c>
      <c r="D54" s="92"/>
      <c r="E54" s="201"/>
      <c r="F54" s="201">
        <f>F47+F53</f>
        <v>0</v>
      </c>
      <c r="G54" s="200"/>
      <c r="H54" s="201"/>
      <c r="I54" s="201">
        <f>I47+I53</f>
        <v>0</v>
      </c>
      <c r="J54" s="200"/>
      <c r="K54" s="201"/>
      <c r="L54" s="201">
        <f>L47+L53</f>
        <v>-138.2432</v>
      </c>
      <c r="M54" s="200"/>
      <c r="N54" s="201"/>
      <c r="O54" s="201">
        <f>O47+O53</f>
        <v>-138.2432</v>
      </c>
      <c r="P54" s="200"/>
      <c r="Q54" s="201"/>
      <c r="R54" s="201">
        <f>R47+R53</f>
        <v>-138.2432</v>
      </c>
      <c r="S54" s="200"/>
      <c r="T54" s="201"/>
      <c r="U54" s="201">
        <f>U47+U53</f>
        <v>-138.2432</v>
      </c>
      <c r="V54" s="14"/>
    </row>
    <row r="55" spans="2:22">
      <c r="C55" s="14"/>
      <c r="D55" s="14"/>
      <c r="E55" s="14"/>
      <c r="F55" s="14"/>
      <c r="G55" s="14"/>
      <c r="H55" s="14"/>
      <c r="I55" s="14"/>
      <c r="J55" s="14"/>
      <c r="K55" s="14"/>
      <c r="L55" s="14"/>
      <c r="M55" s="14"/>
      <c r="N55" s="14"/>
      <c r="O55" s="14"/>
      <c r="P55" s="14"/>
      <c r="Q55" s="14"/>
      <c r="R55" s="14"/>
      <c r="S55" s="14"/>
      <c r="T55" s="14"/>
      <c r="U55" s="14"/>
      <c r="V55" s="14"/>
    </row>
    <row r="56" spans="2:22" ht="15.75" thickBot="1"/>
    <row r="57" spans="2:22">
      <c r="C57" s="460" t="s">
        <v>281</v>
      </c>
      <c r="D57" s="461"/>
      <c r="E57" s="462"/>
    </row>
    <row r="58" spans="2:22">
      <c r="C58" s="94" t="s">
        <v>282</v>
      </c>
      <c r="D58" s="63" t="s">
        <v>109</v>
      </c>
      <c r="E58" s="60"/>
    </row>
    <row r="59" spans="2:22">
      <c r="C59" s="47" t="s">
        <v>283</v>
      </c>
      <c r="D59" s="40"/>
      <c r="E59" s="60">
        <v>16</v>
      </c>
    </row>
    <row r="60" spans="2:22">
      <c r="C60" s="47" t="s">
        <v>284</v>
      </c>
      <c r="D60" s="40" t="s">
        <v>236</v>
      </c>
      <c r="E60" s="60">
        <v>6</v>
      </c>
    </row>
    <row r="61" spans="2:22">
      <c r="C61" s="47" t="s">
        <v>285</v>
      </c>
      <c r="D61" s="40" t="s">
        <v>236</v>
      </c>
      <c r="E61" s="60">
        <f>0.425*E60</f>
        <v>2.5499999999999998</v>
      </c>
    </row>
    <row r="62" spans="2:22">
      <c r="C62" s="47" t="s">
        <v>286</v>
      </c>
      <c r="D62" s="40" t="s">
        <v>287</v>
      </c>
      <c r="E62" s="60">
        <v>1000</v>
      </c>
    </row>
    <row r="63" spans="2:22">
      <c r="C63" s="47" t="s">
        <v>288</v>
      </c>
      <c r="D63" s="40" t="s">
        <v>236</v>
      </c>
      <c r="E63" s="60">
        <f>E59/E62*E61</f>
        <v>4.0799999999999996E-2</v>
      </c>
    </row>
    <row r="64" spans="2:22">
      <c r="C64" s="47" t="s">
        <v>289</v>
      </c>
      <c r="D64" s="40" t="s">
        <v>119</v>
      </c>
      <c r="E64" s="48">
        <v>20</v>
      </c>
    </row>
    <row r="65" spans="3:8">
      <c r="C65" s="47" t="s">
        <v>290</v>
      </c>
      <c r="D65" s="40" t="s">
        <v>240</v>
      </c>
      <c r="E65" s="60">
        <v>1.25</v>
      </c>
    </row>
    <row r="66" spans="3:8" ht="15.75" thickBot="1">
      <c r="C66" s="56" t="s">
        <v>291</v>
      </c>
      <c r="D66" s="57"/>
      <c r="E66" s="50">
        <f>E63/E65*E64</f>
        <v>0.65279999999999994</v>
      </c>
    </row>
    <row r="67" spans="3:8" ht="15.75" thickBot="1"/>
    <row r="68" spans="3:8">
      <c r="C68" s="460" t="s">
        <v>292</v>
      </c>
      <c r="D68" s="461"/>
      <c r="E68" s="461"/>
      <c r="F68" s="461"/>
      <c r="G68" s="461"/>
      <c r="H68" s="462"/>
    </row>
    <row r="69" spans="3:8" ht="75">
      <c r="C69" s="78" t="s">
        <v>124</v>
      </c>
      <c r="D69" s="59" t="s">
        <v>125</v>
      </c>
      <c r="E69" s="59" t="s">
        <v>126</v>
      </c>
      <c r="F69" s="59" t="s">
        <v>293</v>
      </c>
      <c r="G69" s="40"/>
      <c r="H69" s="79" t="s">
        <v>128</v>
      </c>
    </row>
    <row r="70" spans="3:8">
      <c r="C70" s="47" t="s">
        <v>129</v>
      </c>
      <c r="D70" s="118">
        <f>Baseline!$D$24</f>
        <v>0</v>
      </c>
      <c r="E70" s="118">
        <f>Baseline!D23</f>
        <v>0</v>
      </c>
      <c r="F70" s="177">
        <v>0.08</v>
      </c>
      <c r="G70" s="177"/>
      <c r="H70" s="179">
        <f t="shared" ref="H70:H75" si="0">D70*F70</f>
        <v>0</v>
      </c>
    </row>
    <row r="71" spans="3:8">
      <c r="C71" s="47" t="s">
        <v>42</v>
      </c>
      <c r="D71" s="118">
        <f>Baseline!$E$24</f>
        <v>0</v>
      </c>
      <c r="E71" s="118">
        <f>Baseline!E23</f>
        <v>0</v>
      </c>
      <c r="F71" s="177">
        <v>0.08</v>
      </c>
      <c r="G71" s="177"/>
      <c r="H71" s="179">
        <f t="shared" si="0"/>
        <v>0</v>
      </c>
    </row>
    <row r="72" spans="3:8">
      <c r="C72" s="47" t="s">
        <v>27</v>
      </c>
      <c r="D72" s="118">
        <f>Baseline!$F$24</f>
        <v>0</v>
      </c>
      <c r="E72" s="118">
        <f>Baseline!F23</f>
        <v>0</v>
      </c>
      <c r="F72" s="177">
        <v>0.08</v>
      </c>
      <c r="G72" s="177"/>
      <c r="H72" s="179">
        <f t="shared" si="0"/>
        <v>0</v>
      </c>
    </row>
    <row r="73" spans="3:8">
      <c r="C73" s="47" t="s">
        <v>28</v>
      </c>
      <c r="D73" s="118">
        <f>Baseline!$G$24</f>
        <v>0</v>
      </c>
      <c r="E73" s="118">
        <f>Baseline!G23</f>
        <v>0</v>
      </c>
      <c r="F73" s="177">
        <v>0.08</v>
      </c>
      <c r="G73" s="177"/>
      <c r="H73" s="179">
        <f t="shared" si="0"/>
        <v>0</v>
      </c>
    </row>
    <row r="74" spans="3:8">
      <c r="C74" s="47" t="s">
        <v>29</v>
      </c>
      <c r="D74" s="118">
        <f>Baseline!$H$24</f>
        <v>0</v>
      </c>
      <c r="E74" s="118">
        <f>Baseline!H23</f>
        <v>0</v>
      </c>
      <c r="F74" s="177">
        <v>0.08</v>
      </c>
      <c r="G74" s="177"/>
      <c r="H74" s="179">
        <f t="shared" si="0"/>
        <v>0</v>
      </c>
    </row>
    <row r="75" spans="3:8" ht="15.75" thickBot="1">
      <c r="C75" s="65" t="s">
        <v>30</v>
      </c>
      <c r="D75" s="180">
        <f>Baseline!$I$24</f>
        <v>0</v>
      </c>
      <c r="E75" s="180">
        <f>Baseline!I23</f>
        <v>0</v>
      </c>
      <c r="F75" s="178">
        <v>0.08</v>
      </c>
      <c r="G75" s="178"/>
      <c r="H75" s="181">
        <f t="shared" si="0"/>
        <v>0</v>
      </c>
    </row>
    <row r="76" spans="3:8" ht="15.75" thickBot="1"/>
    <row r="77" spans="3:8">
      <c r="C77" s="460" t="s">
        <v>294</v>
      </c>
      <c r="D77" s="461"/>
      <c r="E77" s="462"/>
    </row>
    <row r="78" spans="3:8">
      <c r="C78" s="78" t="s">
        <v>131</v>
      </c>
      <c r="D78" s="63" t="s">
        <v>109</v>
      </c>
      <c r="E78" s="71" t="s">
        <v>132</v>
      </c>
    </row>
    <row r="79" spans="3:8">
      <c r="C79" s="75" t="s">
        <v>295</v>
      </c>
      <c r="D79" s="40" t="s">
        <v>137</v>
      </c>
      <c r="E79" s="48">
        <v>24.5</v>
      </c>
    </row>
    <row r="80" spans="3:8">
      <c r="C80" s="75" t="s">
        <v>296</v>
      </c>
      <c r="D80" s="40" t="s">
        <v>137</v>
      </c>
      <c r="E80" s="48">
        <v>59.5</v>
      </c>
    </row>
    <row r="81" spans="3:6">
      <c r="C81" s="75" t="s">
        <v>297</v>
      </c>
      <c r="D81" s="40" t="s">
        <v>114</v>
      </c>
      <c r="E81" s="60">
        <v>16</v>
      </c>
    </row>
    <row r="82" spans="3:6">
      <c r="C82" s="85" t="s">
        <v>142</v>
      </c>
      <c r="D82" s="53"/>
      <c r="E82" s="89">
        <f>E81*SUM(E79:E80)</f>
        <v>1344</v>
      </c>
    </row>
    <row r="83" spans="3:6" ht="15.75" thickBot="1">
      <c r="C83" s="54" t="s">
        <v>298</v>
      </c>
      <c r="D83" s="55"/>
      <c r="E83" s="50">
        <f>E82*0.04</f>
        <v>53.76</v>
      </c>
    </row>
    <row r="84" spans="3:6" ht="15.75" thickBot="1"/>
    <row r="85" spans="3:6">
      <c r="C85" s="460" t="s">
        <v>299</v>
      </c>
      <c r="D85" s="461"/>
      <c r="E85" s="462"/>
    </row>
    <row r="86" spans="3:6">
      <c r="C86" s="78" t="s">
        <v>101</v>
      </c>
      <c r="D86" s="63" t="s">
        <v>109</v>
      </c>
      <c r="E86" s="71" t="s">
        <v>110</v>
      </c>
    </row>
    <row r="87" spans="3:6" ht="45">
      <c r="C87" s="75" t="s">
        <v>300</v>
      </c>
      <c r="D87" s="40" t="s">
        <v>122</v>
      </c>
      <c r="E87" s="48">
        <f>E79*E81*0.2</f>
        <v>78.400000000000006</v>
      </c>
    </row>
    <row r="88" spans="3:6" ht="30">
      <c r="C88" s="75" t="s">
        <v>153</v>
      </c>
      <c r="D88" s="40" t="s">
        <v>122</v>
      </c>
      <c r="E88" s="48">
        <v>800</v>
      </c>
    </row>
    <row r="89" spans="3:6">
      <c r="C89" s="75" t="s">
        <v>154</v>
      </c>
      <c r="D89" s="40" t="s">
        <v>155</v>
      </c>
      <c r="E89" s="48">
        <f>50*25</f>
        <v>1250</v>
      </c>
    </row>
    <row r="90" spans="3:6" ht="15.75" thickBot="1">
      <c r="C90" s="473" t="s">
        <v>301</v>
      </c>
      <c r="D90" s="474"/>
      <c r="E90" s="50">
        <f>SUM(E87:E89)*0.04</f>
        <v>85.13600000000001</v>
      </c>
    </row>
    <row r="91" spans="3:6" ht="15.75" thickBot="1"/>
    <row r="92" spans="3:6">
      <c r="C92" s="460" t="s">
        <v>302</v>
      </c>
      <c r="D92" s="461"/>
      <c r="E92" s="461"/>
      <c r="F92" s="462"/>
    </row>
    <row r="93" spans="3:6">
      <c r="C93" s="94" t="s">
        <v>303</v>
      </c>
      <c r="D93" s="63" t="s">
        <v>109</v>
      </c>
      <c r="E93" s="63" t="s">
        <v>110</v>
      </c>
      <c r="F93" s="71" t="s">
        <v>167</v>
      </c>
    </row>
    <row r="94" spans="3:6">
      <c r="C94" s="75" t="s">
        <v>168</v>
      </c>
      <c r="D94" s="40" t="s">
        <v>169</v>
      </c>
      <c r="E94" s="40">
        <v>10</v>
      </c>
      <c r="F94" s="149" t="s">
        <v>170</v>
      </c>
    </row>
    <row r="95" spans="3:6">
      <c r="C95" s="47" t="s">
        <v>304</v>
      </c>
      <c r="D95" s="97" t="s">
        <v>140</v>
      </c>
      <c r="E95" s="97">
        <v>0.05</v>
      </c>
      <c r="F95" s="60"/>
    </row>
    <row r="96" spans="3:6">
      <c r="C96" s="47" t="s">
        <v>171</v>
      </c>
      <c r="D96" s="40" t="s">
        <v>172</v>
      </c>
      <c r="E96" s="40">
        <f>'Overview and dashboard'!U11</f>
        <v>0</v>
      </c>
      <c r="F96" s="60"/>
    </row>
    <row r="97" spans="3:11" ht="15.75" thickBot="1">
      <c r="C97" s="65" t="s">
        <v>173</v>
      </c>
      <c r="D97" s="66" t="s">
        <v>122</v>
      </c>
      <c r="E97" s="66">
        <f>E94*E95*E96</f>
        <v>0</v>
      </c>
      <c r="F97" s="67"/>
    </row>
    <row r="98" spans="3:11" ht="15.75" thickBot="1"/>
    <row r="99" spans="3:11">
      <c r="C99" s="460" t="s">
        <v>305</v>
      </c>
      <c r="D99" s="461"/>
      <c r="E99" s="461"/>
      <c r="F99" s="461"/>
      <c r="G99" s="461"/>
      <c r="H99" s="462"/>
    </row>
    <row r="100" spans="3:11">
      <c r="C100" s="470" t="s">
        <v>188</v>
      </c>
      <c r="D100" s="471"/>
      <c r="E100" s="471"/>
      <c r="F100" s="471"/>
      <c r="G100" s="471"/>
      <c r="H100" s="472"/>
    </row>
    <row r="101" spans="3:11" ht="120">
      <c r="C101" s="235"/>
      <c r="D101" s="59" t="s">
        <v>109</v>
      </c>
      <c r="E101" s="59" t="s">
        <v>270</v>
      </c>
      <c r="F101" s="59" t="s">
        <v>190</v>
      </c>
      <c r="G101" s="70"/>
      <c r="H101" s="79" t="s">
        <v>191</v>
      </c>
    </row>
    <row r="102" spans="3:11">
      <c r="C102" s="470" t="s">
        <v>1</v>
      </c>
      <c r="D102" s="471"/>
      <c r="E102" s="471"/>
      <c r="F102" s="471"/>
      <c r="G102" s="40"/>
      <c r="H102" s="60">
        <f>(F103+F104)/25</f>
        <v>3.3792</v>
      </c>
    </row>
    <row r="103" spans="3:11">
      <c r="C103" s="94" t="s">
        <v>193</v>
      </c>
      <c r="D103" s="40" t="s">
        <v>137</v>
      </c>
      <c r="E103" s="40">
        <v>1.28</v>
      </c>
      <c r="F103" s="40">
        <f>E103*$E$59</f>
        <v>20.48</v>
      </c>
      <c r="G103" s="40"/>
      <c r="H103" s="60"/>
    </row>
    <row r="104" spans="3:11">
      <c r="C104" s="94" t="s">
        <v>194</v>
      </c>
      <c r="D104" s="40" t="s">
        <v>137</v>
      </c>
      <c r="E104" s="40">
        <v>4</v>
      </c>
      <c r="F104" s="40">
        <f>E104*$E$59</f>
        <v>64</v>
      </c>
      <c r="G104" s="40"/>
      <c r="H104" s="60"/>
    </row>
    <row r="105" spans="3:11">
      <c r="C105" s="470" t="s">
        <v>195</v>
      </c>
      <c r="D105" s="471"/>
      <c r="E105" s="471"/>
      <c r="F105" s="471"/>
      <c r="G105" s="40"/>
      <c r="H105" s="60">
        <f>F106/25</f>
        <v>1.92</v>
      </c>
    </row>
    <row r="106" spans="3:11">
      <c r="C106" s="94" t="s">
        <v>196</v>
      </c>
      <c r="D106" s="40" t="s">
        <v>137</v>
      </c>
      <c r="E106" s="40">
        <v>3</v>
      </c>
      <c r="F106" s="40">
        <f>E106*$E$59</f>
        <v>48</v>
      </c>
      <c r="G106" s="40"/>
      <c r="H106" s="60"/>
    </row>
    <row r="107" spans="3:11">
      <c r="C107" s="470" t="s">
        <v>199</v>
      </c>
      <c r="D107" s="471"/>
      <c r="E107" s="471"/>
      <c r="F107" s="471"/>
      <c r="G107" s="40"/>
      <c r="H107" s="60">
        <v>0</v>
      </c>
    </row>
    <row r="108" spans="3:11" ht="15.75" thickBot="1">
      <c r="C108" s="475" t="s">
        <v>203</v>
      </c>
      <c r="D108" s="476"/>
      <c r="E108" s="476"/>
      <c r="F108" s="476"/>
      <c r="G108" s="66"/>
      <c r="H108" s="67">
        <v>0</v>
      </c>
    </row>
    <row r="109" spans="3:11" ht="15.75" thickBot="1"/>
    <row r="110" spans="3:11">
      <c r="C110" s="460" t="s">
        <v>306</v>
      </c>
      <c r="D110" s="461"/>
      <c r="E110" s="461"/>
      <c r="F110" s="461"/>
      <c r="G110" s="461"/>
      <c r="H110" s="461"/>
      <c r="I110" s="461"/>
      <c r="J110" s="461"/>
      <c r="K110" s="462"/>
    </row>
    <row r="111" spans="3:11">
      <c r="C111" s="78" t="s">
        <v>207</v>
      </c>
      <c r="D111" s="40"/>
      <c r="E111" s="40"/>
      <c r="F111" s="40"/>
      <c r="G111" s="40"/>
      <c r="H111" s="40"/>
      <c r="I111" s="40"/>
      <c r="J111" s="40"/>
      <c r="K111" s="60"/>
    </row>
    <row r="112" spans="3:11" ht="90">
      <c r="C112" s="47" t="s">
        <v>63</v>
      </c>
      <c r="D112" s="70" t="s">
        <v>208</v>
      </c>
      <c r="E112" s="70" t="s">
        <v>209</v>
      </c>
      <c r="F112" s="70" t="s">
        <v>210</v>
      </c>
      <c r="G112" s="40"/>
      <c r="H112" s="70" t="s">
        <v>96</v>
      </c>
      <c r="I112" s="70" t="s">
        <v>93</v>
      </c>
      <c r="J112" s="40"/>
      <c r="K112" s="76" t="s">
        <v>211</v>
      </c>
    </row>
    <row r="113" spans="3:11">
      <c r="C113" s="47" t="s">
        <v>25</v>
      </c>
      <c r="D113" s="132">
        <f>$E$38+$E$41+F113</f>
        <v>0</v>
      </c>
      <c r="E113" s="40"/>
      <c r="F113" s="40"/>
      <c r="G113" s="40"/>
      <c r="H113" s="40"/>
      <c r="I113" s="40"/>
      <c r="J113" s="40"/>
      <c r="K113" s="135">
        <f>$F$54-$F$51+$E$35-$F$28+E113-F113-H113+I113</f>
        <v>0</v>
      </c>
    </row>
    <row r="114" spans="3:11">
      <c r="C114" s="47" t="s">
        <v>26</v>
      </c>
      <c r="D114" s="132">
        <f>$H$38+$H$41+F114</f>
        <v>0</v>
      </c>
      <c r="E114" s="40"/>
      <c r="F114" s="40"/>
      <c r="G114" s="40"/>
      <c r="H114" s="40"/>
      <c r="I114" s="40"/>
      <c r="J114" s="40"/>
      <c r="K114" s="135">
        <f>$I$54-$I$51+$H$35-$I$28+E114-F114-H114+I114</f>
        <v>0</v>
      </c>
    </row>
    <row r="115" spans="3:11">
      <c r="C115" s="47" t="s">
        <v>27</v>
      </c>
      <c r="D115" s="132">
        <f>$K$38+$K$41+F115</f>
        <v>138.89600000000002</v>
      </c>
      <c r="E115" s="40" cm="1">
        <f t="array" ref="E115">_xlfn.IFS('Overview and dashboard'!$U$9="No support",0,'Overview and dashboard'!$U$9="Current support schemes",IFERROR(VLOOKUP("England",$C$102:$H$108,6,0),""),'Overview and dashboard'!$U$9="Income foregone",D115)</f>
        <v>0</v>
      </c>
      <c r="F115" s="40"/>
      <c r="G115" s="40"/>
      <c r="H115" s="40"/>
      <c r="I115" s="40">
        <f>'6 - Lists'!Q$25*$F$72</f>
        <v>263.47872809160833</v>
      </c>
      <c r="J115" s="40"/>
      <c r="K115" s="135">
        <f>$L$54-$L$51+$K$35-$L$28+E115-F115-H115+I115</f>
        <v>125.23552809160833</v>
      </c>
    </row>
    <row r="116" spans="3:11">
      <c r="C116" s="47" t="s">
        <v>28</v>
      </c>
      <c r="D116" s="132">
        <f>$N$38+$N$41+F116</f>
        <v>138.89600000000002</v>
      </c>
      <c r="E116" s="40" cm="1">
        <f t="array" ref="E116">_xlfn.IFS('Overview and dashboard'!$U$9="No support",0,'Overview and dashboard'!$U$9="Current support schemes",IFERROR(VLOOKUP("England",$C$102:$H$108,6,0),""),'Overview and dashboard'!$U$9="Income foregone",D116)</f>
        <v>0</v>
      </c>
      <c r="F116" s="40"/>
      <c r="G116" s="40"/>
      <c r="H116" s="40"/>
      <c r="I116" s="40">
        <f>'6 - Lists'!U$25*$F$72</f>
        <v>29.716769391263519</v>
      </c>
      <c r="J116" s="40"/>
      <c r="K116" s="135">
        <f>$O$54-$O$51+$N$35-$O$28+E116-F116-H116+I116</f>
        <v>-108.52643060873649</v>
      </c>
    </row>
    <row r="117" spans="3:11">
      <c r="C117" s="47" t="s">
        <v>29</v>
      </c>
      <c r="D117" s="132">
        <f>$Q$38+$Q$41+F117</f>
        <v>138.89600000000002</v>
      </c>
      <c r="E117" s="40" cm="1">
        <f t="array" ref="E117">_xlfn.IFS('Overview and dashboard'!$U$9="No support",0,'Overview and dashboard'!$U$9="Current support schemes",IFERROR(VLOOKUP("England",$C$102:$H$108,6,0),""),'Overview and dashboard'!$U$9="Income foregone",D117)</f>
        <v>0</v>
      </c>
      <c r="F117" s="40"/>
      <c r="G117" s="40"/>
      <c r="H117" s="40"/>
      <c r="I117" s="40">
        <f>'6 - Lists'!Y$25*$F$72</f>
        <v>58.613064395970149</v>
      </c>
      <c r="J117" s="40"/>
      <c r="K117" s="135">
        <f>$R$54-$R$51+$Q$35-$R$28+E117-F117-H117+I117</f>
        <v>-79.630135604029846</v>
      </c>
    </row>
    <row r="118" spans="3:11" ht="15.75" thickBot="1">
      <c r="C118" s="65" t="s">
        <v>30</v>
      </c>
      <c r="D118" s="280">
        <f>$T$38+$T$41+F118</f>
        <v>138.89600000000002</v>
      </c>
      <c r="E118" s="66" cm="1">
        <f t="array" ref="E118">_xlfn.IFS('Overview and dashboard'!$U$9="No support",0,'Overview and dashboard'!$U$9="Current support schemes",IFERROR(VLOOKUP("England",$C$102:$H$108,6,0),""),'Overview and dashboard'!$U$9="Income foregone",D118)</f>
        <v>0</v>
      </c>
      <c r="F118" s="66"/>
      <c r="G118" s="66"/>
      <c r="H118" s="66"/>
      <c r="I118" s="66">
        <f>'6 - Lists'!AC$25*$F$72</f>
        <v>1126.1432963506259</v>
      </c>
      <c r="J118" s="66"/>
      <c r="K118" s="276">
        <f>$U$54-$U$51+$T$35-$U$28+E118-F118-H118+I118</f>
        <v>987.90009635062586</v>
      </c>
    </row>
    <row r="119" spans="3:11" ht="15.75" thickBot="1"/>
    <row r="120" spans="3:11">
      <c r="C120" s="460" t="s">
        <v>307</v>
      </c>
      <c r="D120" s="461"/>
      <c r="E120" s="461"/>
      <c r="F120" s="461"/>
      <c r="G120" s="461"/>
      <c r="H120" s="461"/>
      <c r="I120" s="461"/>
      <c r="J120" s="461"/>
      <c r="K120" s="462"/>
    </row>
    <row r="121" spans="3:11">
      <c r="C121" s="78" t="s">
        <v>213</v>
      </c>
      <c r="D121" s="40"/>
      <c r="E121" s="40"/>
      <c r="F121" s="40"/>
      <c r="G121" s="40"/>
      <c r="H121" s="40"/>
      <c r="I121" s="40"/>
      <c r="J121" s="40"/>
      <c r="K121" s="60"/>
    </row>
    <row r="122" spans="3:11" ht="90">
      <c r="C122" s="47" t="s">
        <v>63</v>
      </c>
      <c r="D122" s="70" t="s">
        <v>208</v>
      </c>
      <c r="E122" s="70" t="s">
        <v>209</v>
      </c>
      <c r="F122" s="70" t="s">
        <v>210</v>
      </c>
      <c r="G122" s="40"/>
      <c r="H122" s="70" t="s">
        <v>96</v>
      </c>
      <c r="I122" s="70" t="s">
        <v>93</v>
      </c>
      <c r="J122" s="40"/>
      <c r="K122" s="76" t="s">
        <v>211</v>
      </c>
    </row>
    <row r="123" spans="3:11">
      <c r="C123" s="47" t="s">
        <v>25</v>
      </c>
      <c r="D123" s="132">
        <f>$E$38+$E$41+F123</f>
        <v>0</v>
      </c>
      <c r="E123" s="40"/>
      <c r="F123" s="40"/>
      <c r="G123" s="40"/>
      <c r="H123" s="40">
        <f>'6 - Lists'!I$26*$F$128*($F$129)</f>
        <v>0</v>
      </c>
      <c r="I123" s="40"/>
      <c r="J123" s="40"/>
      <c r="K123" s="135">
        <f>$F$54-$F$51+$E$35-$F$28+E123-F123-H123+I123</f>
        <v>0</v>
      </c>
    </row>
    <row r="124" spans="3:11">
      <c r="C124" s="47" t="s">
        <v>26</v>
      </c>
      <c r="D124" s="132">
        <f>$H$38+$H$41+F124</f>
        <v>0</v>
      </c>
      <c r="E124" s="40"/>
      <c r="F124" s="40"/>
      <c r="G124" s="40"/>
      <c r="H124" s="40">
        <f>'6 - Lists'!M$26*$F$128*($F$129)</f>
        <v>0</v>
      </c>
      <c r="I124" s="40"/>
      <c r="J124" s="40"/>
      <c r="K124" s="135">
        <f>$I$54-$I$51+$H$35-$I$28+E124-F124-H124+I124</f>
        <v>0</v>
      </c>
    </row>
    <row r="125" spans="3:11">
      <c r="C125" s="47" t="s">
        <v>27</v>
      </c>
      <c r="D125" s="132">
        <f>$K$38+$K$41+F125</f>
        <v>138.89600000000002</v>
      </c>
      <c r="E125" s="40" cm="1">
        <f t="array" ref="E125">_xlfn.IFS('Overview and dashboard'!$U$9="No support",0,'Overview and dashboard'!$U$9="Current support schemes",IFERROR(VLOOKUP("England",$C$102:$H$108,6,0),""),'Overview and dashboard'!$U$9="Income foregone",D125)</f>
        <v>0</v>
      </c>
      <c r="F125" s="40"/>
      <c r="G125" s="40"/>
      <c r="H125" s="40"/>
      <c r="I125" s="40">
        <f>'6 - Lists'!Q$26*$F$72</f>
        <v>251.36128342245991</v>
      </c>
      <c r="J125" s="40"/>
      <c r="K125" s="135">
        <f>$L$54-$L$51+$K$35-$L$28+E125-F125-H125+I125</f>
        <v>113.1180834224599</v>
      </c>
    </row>
    <row r="126" spans="3:11">
      <c r="C126" s="47" t="s">
        <v>28</v>
      </c>
      <c r="D126" s="132">
        <f>$N$38+$N$41+F126</f>
        <v>138.89600000000002</v>
      </c>
      <c r="E126" s="40" cm="1">
        <f t="array" ref="E126">_xlfn.IFS('Overview and dashboard'!$U$9="No support",0,'Overview and dashboard'!$U$9="Current support schemes",IFERROR(VLOOKUP("England",$C$102:$H$108,6,0),""),'Overview and dashboard'!$U$9="Income foregone",D126)</f>
        <v>0</v>
      </c>
      <c r="F126" s="40"/>
      <c r="G126" s="40"/>
      <c r="H126" s="40"/>
      <c r="I126" s="40">
        <f>'6 - Lists'!U$26*$F$72</f>
        <v>13.04375533428165</v>
      </c>
      <c r="J126" s="40"/>
      <c r="K126" s="135">
        <f>$O$54-$O$51+$N$35-$O$28+E126-F126-H126+I126</f>
        <v>-125.19944466571835</v>
      </c>
    </row>
    <row r="127" spans="3:11">
      <c r="C127" s="47" t="s">
        <v>29</v>
      </c>
      <c r="D127" s="132">
        <f>$Q$38+$Q$41+F127</f>
        <v>138.89600000000002</v>
      </c>
      <c r="E127" s="40" cm="1">
        <f t="array" ref="E127">_xlfn.IFS('Overview and dashboard'!$U$9="No support",0,'Overview and dashboard'!$U$9="Current support schemes",IFERROR(VLOOKUP("England",$C$102:$H$108,6,0),""),'Overview and dashboard'!$U$9="Income foregone",D127)</f>
        <v>0</v>
      </c>
      <c r="F127" s="40"/>
      <c r="G127" s="40"/>
      <c r="H127" s="40"/>
      <c r="I127" s="40">
        <f>'6 - Lists'!Y$26*$F$72</f>
        <v>79.353846153846149</v>
      </c>
      <c r="J127" s="40"/>
      <c r="K127" s="135">
        <f>$R$54-$R$51+$Q$35-$R$28+E127-F127-H127+I127</f>
        <v>-58.889353846153853</v>
      </c>
    </row>
    <row r="128" spans="3:11" ht="15.75" thickBot="1">
      <c r="C128" s="65" t="s">
        <v>30</v>
      </c>
      <c r="D128" s="280">
        <f>$T$38+$T$41+F128</f>
        <v>138.89600000000002</v>
      </c>
      <c r="E128" s="66" cm="1">
        <f t="array" ref="E128">_xlfn.IFS('Overview and dashboard'!$U$9="No support",0,'Overview and dashboard'!$U$9="Current support schemes",IFERROR(VLOOKUP("England",$C$102:$H$108,6,0),""),'Overview and dashboard'!$U$9="Income foregone",D128)</f>
        <v>0</v>
      </c>
      <c r="F128" s="66"/>
      <c r="G128" s="66"/>
      <c r="H128" s="66"/>
      <c r="I128" s="66">
        <f>'6 - Lists'!AC$26*$F$72</f>
        <v>0</v>
      </c>
      <c r="J128" s="66"/>
      <c r="K128" s="276">
        <f>$U$54-$U$51+$T$35-$U$28+E128-F128-H128+I128</f>
        <v>-138.2432</v>
      </c>
    </row>
    <row r="129" spans="3:11" ht="15.75" thickBot="1"/>
    <row r="130" spans="3:11">
      <c r="C130" s="460" t="s">
        <v>308</v>
      </c>
      <c r="D130" s="461"/>
      <c r="E130" s="461"/>
      <c r="F130" s="461"/>
      <c r="G130" s="461"/>
      <c r="H130" s="461"/>
      <c r="I130" s="461"/>
      <c r="J130" s="461"/>
      <c r="K130" s="462"/>
    </row>
    <row r="131" spans="3:11">
      <c r="C131" s="78" t="s">
        <v>215</v>
      </c>
      <c r="D131" s="40"/>
      <c r="E131" s="40"/>
      <c r="F131" s="40"/>
      <c r="G131" s="40"/>
      <c r="H131" s="40"/>
      <c r="I131" s="40"/>
      <c r="J131" s="40"/>
      <c r="K131" s="60"/>
    </row>
    <row r="132" spans="3:11" ht="90">
      <c r="C132" s="47" t="s">
        <v>63</v>
      </c>
      <c r="D132" s="70" t="s">
        <v>208</v>
      </c>
      <c r="E132" s="70" t="s">
        <v>209</v>
      </c>
      <c r="F132" s="70" t="s">
        <v>210</v>
      </c>
      <c r="G132" s="40"/>
      <c r="H132" s="70" t="s">
        <v>96</v>
      </c>
      <c r="I132" s="70" t="s">
        <v>93</v>
      </c>
      <c r="J132" s="40"/>
      <c r="K132" s="76" t="s">
        <v>211</v>
      </c>
    </row>
    <row r="133" spans="3:11">
      <c r="C133" s="47" t="s">
        <v>25</v>
      </c>
      <c r="D133" s="132">
        <f>$E$38+$E$41+F133</f>
        <v>0</v>
      </c>
      <c r="E133" s="40"/>
      <c r="F133" s="40"/>
      <c r="G133" s="40"/>
      <c r="H133" s="40"/>
      <c r="I133" s="40"/>
      <c r="J133" s="40"/>
      <c r="K133" s="135">
        <f>$F$54-$F$51+$E$35-$F$28+E133-F133-H133+I133</f>
        <v>0</v>
      </c>
    </row>
    <row r="134" spans="3:11">
      <c r="C134" s="47" t="s">
        <v>26</v>
      </c>
      <c r="D134" s="132">
        <f>$H$38+$H$41+F134</f>
        <v>0</v>
      </c>
      <c r="E134" s="40"/>
      <c r="F134" s="40"/>
      <c r="G134" s="40"/>
      <c r="H134" s="40"/>
      <c r="I134" s="40"/>
      <c r="J134" s="40"/>
      <c r="K134" s="135">
        <f>$I$54-$I$51+$H$35-$I$28+E134-F134-H134+I134</f>
        <v>0</v>
      </c>
    </row>
    <row r="135" spans="3:11">
      <c r="C135" s="47" t="s">
        <v>27</v>
      </c>
      <c r="D135" s="132">
        <f>$K$38+$K$41+F135</f>
        <v>138.89600000000002</v>
      </c>
      <c r="E135" s="40" cm="1">
        <f t="array" ref="E135">_xlfn.IFS('Overview and dashboard'!$U$9="No support",0,'Overview and dashboard'!$U$9="Current support schemes",IFERROR(VLOOKUP("England",$C$102:$H$108,6,0),""),'Overview and dashboard'!$U$9="Income foregone",D135)</f>
        <v>0</v>
      </c>
      <c r="F135" s="40"/>
      <c r="G135" s="40"/>
      <c r="H135" s="40"/>
      <c r="I135" s="40">
        <f>'6 - Lists'!Q$27*$F$72</f>
        <v>255.74137793070338</v>
      </c>
      <c r="J135" s="40"/>
      <c r="K135" s="135">
        <f>$L$54-$L$51+$K$35-$L$28+E135-F135-H135+I135</f>
        <v>117.49817793070338</v>
      </c>
    </row>
    <row r="136" spans="3:11">
      <c r="C136" s="47" t="s">
        <v>28</v>
      </c>
      <c r="D136" s="132">
        <f>$N$38+$N$41+F136</f>
        <v>138.89600000000002</v>
      </c>
      <c r="E136" s="40" cm="1">
        <f t="array" ref="E136">_xlfn.IFS('Overview and dashboard'!$U$9="No support",0,'Overview and dashboard'!$U$9="Current support schemes",IFERROR(VLOOKUP("England",$C$102:$H$108,6,0),""),'Overview and dashboard'!$U$9="Income foregone",D136)</f>
        <v>0</v>
      </c>
      <c r="F136" s="40"/>
      <c r="G136" s="40"/>
      <c r="H136" s="40"/>
      <c r="I136" s="40">
        <f>'6 - Lists'!U$27*$F$72</f>
        <v>44.873644873644878</v>
      </c>
      <c r="J136" s="40"/>
      <c r="K136" s="135">
        <f>$O$54-$O$51+$N$35-$O$28+E136-F136-H136+I136</f>
        <v>-93.369555126355124</v>
      </c>
    </row>
    <row r="137" spans="3:11">
      <c r="C137" s="47" t="s">
        <v>29</v>
      </c>
      <c r="D137" s="132">
        <f>$Q$38+$Q$41+F137</f>
        <v>138.89600000000002</v>
      </c>
      <c r="E137" s="40" cm="1">
        <f t="array" ref="E137">_xlfn.IFS('Overview and dashboard'!$U$9="No support",0,'Overview and dashboard'!$U$9="Current support schemes",IFERROR(VLOOKUP("England",$C$102:$H$108,6,0),""),'Overview and dashboard'!$U$9="Income foregone",D137)</f>
        <v>0</v>
      </c>
      <c r="F137" s="40"/>
      <c r="G137" s="40"/>
      <c r="H137" s="40"/>
      <c r="I137" s="40">
        <f>'6 - Lists'!Y$27*$F$72</f>
        <v>58.937572702597912</v>
      </c>
      <c r="J137" s="40"/>
      <c r="K137" s="135">
        <f>$R$54-$R$51+$Q$35-$R$28+E137-F137-H137+I137</f>
        <v>-79.305627297402083</v>
      </c>
    </row>
    <row r="138" spans="3:11" ht="15.75" thickBot="1">
      <c r="C138" s="65" t="s">
        <v>30</v>
      </c>
      <c r="D138" s="280">
        <f>$T$38+$T$41+F138</f>
        <v>138.89600000000002</v>
      </c>
      <c r="E138" s="66" cm="1">
        <f t="array" ref="E138">_xlfn.IFS('Overview and dashboard'!$U$9="No support",0,'Overview and dashboard'!$U$9="Current support schemes",IFERROR(VLOOKUP("England",$C$102:$H$108,6,0),""),'Overview and dashboard'!$U$9="Income foregone",D138)</f>
        <v>0</v>
      </c>
      <c r="F138" s="66"/>
      <c r="G138" s="66"/>
      <c r="H138" s="66"/>
      <c r="I138" s="66">
        <f>'6 - Lists'!AC$27*$F$72</f>
        <v>0</v>
      </c>
      <c r="J138" s="66"/>
      <c r="K138" s="276">
        <f>$U$54-$U$51+$T$35-$U$28+E138-F138-H138+I138</f>
        <v>-138.2432</v>
      </c>
    </row>
    <row r="139" spans="3:11" ht="15.75" thickBot="1"/>
    <row r="140" spans="3:11">
      <c r="C140" s="460" t="s">
        <v>309</v>
      </c>
      <c r="D140" s="461"/>
      <c r="E140" s="461"/>
      <c r="F140" s="461"/>
      <c r="G140" s="461"/>
      <c r="H140" s="461"/>
      <c r="I140" s="461"/>
      <c r="J140" s="461"/>
      <c r="K140" s="462"/>
    </row>
    <row r="141" spans="3:11">
      <c r="C141" s="78" t="s">
        <v>217</v>
      </c>
      <c r="D141" s="40"/>
      <c r="E141" s="40"/>
      <c r="F141" s="40"/>
      <c r="G141" s="40"/>
      <c r="H141" s="40"/>
      <c r="I141" s="40"/>
      <c r="J141" s="40"/>
      <c r="K141" s="60"/>
    </row>
    <row r="142" spans="3:11" ht="90">
      <c r="C142" s="47" t="s">
        <v>63</v>
      </c>
      <c r="D142" s="70" t="s">
        <v>208</v>
      </c>
      <c r="E142" s="70" t="s">
        <v>209</v>
      </c>
      <c r="F142" s="70" t="s">
        <v>210</v>
      </c>
      <c r="G142" s="40"/>
      <c r="H142" s="70" t="s">
        <v>96</v>
      </c>
      <c r="I142" s="70" t="s">
        <v>93</v>
      </c>
      <c r="J142" s="40"/>
      <c r="K142" s="76" t="s">
        <v>211</v>
      </c>
    </row>
    <row r="143" spans="3:11">
      <c r="C143" s="47" t="s">
        <v>25</v>
      </c>
      <c r="D143" s="132">
        <f>$E$38+$E$41+F143</f>
        <v>0</v>
      </c>
      <c r="E143" s="40"/>
      <c r="F143" s="40"/>
      <c r="G143" s="40"/>
      <c r="H143" s="40"/>
      <c r="I143" s="40"/>
      <c r="J143" s="40"/>
      <c r="K143" s="135">
        <f>$F$54-$F$51+$E$35-$F$28+E143-F143-H143+I143</f>
        <v>0</v>
      </c>
    </row>
    <row r="144" spans="3:11">
      <c r="C144" s="47" t="s">
        <v>26</v>
      </c>
      <c r="D144" s="132">
        <f>$H$38+$H$41+F144</f>
        <v>0</v>
      </c>
      <c r="E144" s="40"/>
      <c r="F144" s="40"/>
      <c r="G144" s="40"/>
      <c r="H144" s="40"/>
      <c r="I144" s="40"/>
      <c r="J144" s="40"/>
      <c r="K144" s="135">
        <f>$I$54-$I$51+$H$35-$I$28+E144-F144-H144+I144</f>
        <v>0</v>
      </c>
    </row>
    <row r="145" spans="3:11">
      <c r="C145" s="47" t="s">
        <v>27</v>
      </c>
      <c r="D145" s="132">
        <f>$K$38+$K$41+F145</f>
        <v>138.89600000000002</v>
      </c>
      <c r="E145" s="40" cm="1">
        <f t="array" ref="E145">_xlfn.IFS('Overview and dashboard'!$U$9="No support",0,'Overview and dashboard'!$U$9="Current support schemes",IFERROR(VLOOKUP("England",$C$102:$H$108,6,0),""),'Overview and dashboard'!$U$9="Income foregone",D145)</f>
        <v>0</v>
      </c>
      <c r="F145" s="40"/>
      <c r="G145" s="40"/>
      <c r="H145" s="40"/>
      <c r="I145" s="40">
        <f>'6 - Lists'!Q$28*$F$72</f>
        <v>253.64716553287982</v>
      </c>
      <c r="J145" s="40"/>
      <c r="K145" s="135">
        <f>$L$54-$L$51+$K$35-$L$28+E145-F145-H145+I145</f>
        <v>115.40396553287982</v>
      </c>
    </row>
    <row r="146" spans="3:11">
      <c r="C146" s="47" t="s">
        <v>28</v>
      </c>
      <c r="D146" s="132">
        <f>$N$38+$N$41+F146</f>
        <v>138.89600000000002</v>
      </c>
      <c r="E146" s="40" cm="1">
        <f t="array" ref="E146">_xlfn.IFS('Overview and dashboard'!$U$9="No support",0,'Overview and dashboard'!$U$9="Current support schemes",IFERROR(VLOOKUP("England",$C$102:$H$108,6,0),""),'Overview and dashboard'!$U$9="Income foregone",D146)</f>
        <v>0</v>
      </c>
      <c r="F146" s="40"/>
      <c r="G146" s="40"/>
      <c r="H146" s="40"/>
      <c r="I146" s="40">
        <f>'6 - Lists'!U$28*$F$72</f>
        <v>39.706553911205077</v>
      </c>
      <c r="J146" s="40"/>
      <c r="K146" s="135">
        <f>$O$54-$O$51+$N$35-$O$28+E146-F146-H146+I146</f>
        <v>-98.536646088794924</v>
      </c>
    </row>
    <row r="147" spans="3:11">
      <c r="C147" s="47" t="s">
        <v>29</v>
      </c>
      <c r="D147" s="132">
        <f>$Q$38+$Q$41+F147</f>
        <v>138.89600000000002</v>
      </c>
      <c r="E147" s="40" cm="1">
        <f t="array" ref="E147">_xlfn.IFS('Overview and dashboard'!$U$9="No support",0,'Overview and dashboard'!$U$9="Current support schemes",IFERROR(VLOOKUP("England",$C$102:$H$108,6,0),""),'Overview and dashboard'!$U$9="Income foregone",D147)</f>
        <v>0</v>
      </c>
      <c r="F147" s="40"/>
      <c r="G147" s="40"/>
      <c r="H147" s="40"/>
      <c r="I147" s="40">
        <f>'6 - Lists'!Y$28*$F$72</f>
        <v>75.988837209302332</v>
      </c>
      <c r="J147" s="40"/>
      <c r="K147" s="135">
        <f>$R$54-$R$51+$Q$35-$R$28+E147-F147-H147+I147</f>
        <v>-62.25436279069767</v>
      </c>
    </row>
    <row r="148" spans="3:11" ht="15.75" thickBot="1">
      <c r="C148" s="65" t="s">
        <v>30</v>
      </c>
      <c r="D148" s="280">
        <f>$T$38+$T$41+F148</f>
        <v>138.89600000000002</v>
      </c>
      <c r="E148" s="66" cm="1">
        <f t="array" ref="E148">_xlfn.IFS('Overview and dashboard'!$U$9="No support",0,'Overview and dashboard'!$U$9="Current support schemes",IFERROR(VLOOKUP("England",$C$102:$H$108,6,0),""),'Overview and dashboard'!$U$9="Income foregone",D148)</f>
        <v>0</v>
      </c>
      <c r="F148" s="66"/>
      <c r="G148" s="66"/>
      <c r="H148" s="66"/>
      <c r="I148" s="66">
        <f>'6 - Lists'!AC$28*$F$72</f>
        <v>0</v>
      </c>
      <c r="J148" s="66"/>
      <c r="K148" s="276">
        <f>$U$54-$U$51+$T$35-$U$28+E148-F148-H148+I148</f>
        <v>-138.2432</v>
      </c>
    </row>
  </sheetData>
  <sheetProtection algorithmName="SHA-512" hashValue="sCunblmCj7Fnfn7qQRmSOn8YNvq3ap/bufAa1R6FylbQJOiD/85fJo3n+qYrvJo7HrOhEwA7K2ZZcORl/MtLgA==" saltValue="N/2KvvVivLYqXFLLJwFsnQ==" spinCount="100000" sheet="1" objects="1" scenarios="1"/>
  <mergeCells count="23">
    <mergeCell ref="C92:F92"/>
    <mergeCell ref="C85:E85"/>
    <mergeCell ref="C77:E77"/>
    <mergeCell ref="C68:H68"/>
    <mergeCell ref="C57:E57"/>
    <mergeCell ref="C90:D90"/>
    <mergeCell ref="C140:K140"/>
    <mergeCell ref="C130:K130"/>
    <mergeCell ref="C120:K120"/>
    <mergeCell ref="C110:K110"/>
    <mergeCell ref="C99:H99"/>
    <mergeCell ref="C100:H100"/>
    <mergeCell ref="C102:F102"/>
    <mergeCell ref="C105:F105"/>
    <mergeCell ref="C107:F107"/>
    <mergeCell ref="C108:F108"/>
    <mergeCell ref="E21:U21"/>
    <mergeCell ref="E22:F22"/>
    <mergeCell ref="H22:I22"/>
    <mergeCell ref="K22:L22"/>
    <mergeCell ref="N22:O22"/>
    <mergeCell ref="Q22:R22"/>
    <mergeCell ref="T22:U22"/>
  </mergeCells>
  <hyperlinks>
    <hyperlink ref="F94" r:id="rId1" xr:uid="{BBE41923-8EEC-421A-9B8F-664B898A685C}"/>
  </hyperlink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7d0579-8c85-45f6-bdb1-f368fe1f98d0">
      <Terms xmlns="http://schemas.microsoft.com/office/infopath/2007/PartnerControls"/>
    </lcf76f155ced4ddcb4097134ff3c332f>
    <TaxCatchAll xmlns="41cfbd5a-faae-4cfa-ad18-ecec193f8b5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64EDEA6D3297408E4C3EC2E077E6DD" ma:contentTypeVersion="15" ma:contentTypeDescription="Create a new document." ma:contentTypeScope="" ma:versionID="36e9957a7e4e9a412e8a3a5afe72da2d">
  <xsd:schema xmlns:xsd="http://www.w3.org/2001/XMLSchema" xmlns:xs="http://www.w3.org/2001/XMLSchema" xmlns:p="http://schemas.microsoft.com/office/2006/metadata/properties" xmlns:ns2="1c7d0579-8c85-45f6-bdb1-f368fe1f98d0" xmlns:ns3="41cfbd5a-faae-4cfa-ad18-ecec193f8b5c" targetNamespace="http://schemas.microsoft.com/office/2006/metadata/properties" ma:root="true" ma:fieldsID="7823a9b3636a54532d49940a6f5c5b12" ns2:_="" ns3:_="">
    <xsd:import namespace="1c7d0579-8c85-45f6-bdb1-f368fe1f98d0"/>
    <xsd:import namespace="41cfbd5a-faae-4cfa-ad18-ecec193f8b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7d0579-8c85-45f6-bdb1-f368fe1f98d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504f67-2a56-4a01-a355-9e1cce3cd89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cfbd5a-faae-4cfa-ad18-ecec193f8b5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9136088-3d41-4fb5-83ad-fa3aa3303829}" ma:internalName="TaxCatchAll" ma:showField="CatchAllData" ma:web="41cfbd5a-faae-4cfa-ad18-ecec193f8b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3D3D18-C631-452B-8D5B-442291D08DBF}">
  <ds:schemaRefs>
    <ds:schemaRef ds:uri="http://schemas.microsoft.com/office/2006/metadata/properties"/>
    <ds:schemaRef ds:uri="http://schemas.microsoft.com/office/infopath/2007/PartnerControls"/>
    <ds:schemaRef ds:uri="1c7d0579-8c85-45f6-bdb1-f368fe1f98d0"/>
    <ds:schemaRef ds:uri="41cfbd5a-faae-4cfa-ad18-ecec193f8b5c"/>
  </ds:schemaRefs>
</ds:datastoreItem>
</file>

<file path=customXml/itemProps2.xml><?xml version="1.0" encoding="utf-8"?>
<ds:datastoreItem xmlns:ds="http://schemas.openxmlformats.org/officeDocument/2006/customXml" ds:itemID="{D4896401-9AE0-4FD4-908D-781C1DD817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7d0579-8c85-45f6-bdb1-f368fe1f98d0"/>
    <ds:schemaRef ds:uri="41cfbd5a-faae-4cfa-ad18-ecec193f8b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5E58C8-D1F1-43CA-B438-183C8DEC3B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Introduction</vt:lpstr>
      <vt:lpstr>Interpreting the results</vt:lpstr>
      <vt:lpstr>Customisability</vt:lpstr>
      <vt:lpstr>Overview and dashboard</vt:lpstr>
      <vt:lpstr>Aggregate UK performance</vt:lpstr>
      <vt:lpstr>Baseline</vt:lpstr>
      <vt:lpstr>1 - SA SP Orchards</vt:lpstr>
      <vt:lpstr>2 - SA SP Timber Production</vt:lpstr>
      <vt:lpstr>3 - Silvopastoral</vt:lpstr>
      <vt:lpstr>4 - Shelterbelts</vt:lpstr>
      <vt:lpstr>5 - Farm woodland</vt:lpstr>
      <vt:lpstr>6 - Lists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George</dc:creator>
  <cp:keywords/>
  <dc:description/>
  <cp:lastModifiedBy>Clive Thomas</cp:lastModifiedBy>
  <cp:revision/>
  <dcterms:created xsi:type="dcterms:W3CDTF">2021-10-25T13:12:41Z</dcterms:created>
  <dcterms:modified xsi:type="dcterms:W3CDTF">2022-07-20T17:26:47Z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0x010100ED64EDEA6D3297408E4C3EC2E077E6DD</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