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cumulusconsultantsltd.sharepoint.com/sites/Projects/Current Projects/P-728-SA-Farm Typologies/5-Economic analysis of HAFTs against counter-factual scenarios/"/>
    </mc:Choice>
  </mc:AlternateContent>
  <xr:revisionPtr revIDLastSave="1555" documentId="8_{98988975-0114-4300-A775-43EC0E925C9B}" xr6:coauthVersionLast="47" xr6:coauthVersionMax="47" xr10:uidLastSave="{1536E683-8A63-4D5B-A578-B7B213C8696A}"/>
  <workbookProtection workbookAlgorithmName="SHA-512" workbookHashValue="Kwl794OAvcga8FQbccPNpar28v4j2deXNyfXvMJviccAGIw7bAU2Sm7wdSfI8yx86pXI2/rQ6WKsDk3iEjG+0A==" workbookSaltValue="vu8Ct89i6oxnvsHgf5ArUw==" workbookSpinCount="100000" lockStructure="1"/>
  <bookViews>
    <workbookView xWindow="15450" yWindow="-16310" windowWidth="29020" windowHeight="15700" activeTab="1" xr2:uid="{9371600F-32B8-4185-ABFF-98EFC1CE8A21}"/>
  </bookViews>
  <sheets>
    <sheet name="Introduction" sheetId="3" r:id="rId1"/>
    <sheet name="Interpreting the results" sheetId="47" r:id="rId2"/>
    <sheet name="Customisability" sheetId="48" r:id="rId3"/>
    <sheet name="Dashboard" sheetId="31" r:id="rId4"/>
    <sheet name="Results - cereals" sheetId="2" r:id="rId5"/>
    <sheet name="Results - horticulture" sheetId="34" r:id="rId6"/>
    <sheet name="Results - lowland dairy" sheetId="35" r:id="rId7"/>
    <sheet name="Results - lowland grazing" sheetId="36" r:id="rId8"/>
    <sheet name="Results - LFA grazing" sheetId="37" r:id="rId9"/>
    <sheet name="Results - mixed" sheetId="38" r:id="rId10"/>
    <sheet name="Livestock allocation - baseline" sheetId="19" state="hidden" r:id="rId11"/>
    <sheet name="Livestock GM - baseline" sheetId="18" state="hidden" r:id="rId12"/>
    <sheet name="Cropping allocation - baseline" sheetId="17" state="hidden" r:id="rId13"/>
    <sheet name="Cropping GMs - baseline" sheetId="16" state="hidden" r:id="rId14"/>
    <sheet name="Forage" sheetId="9" state="hidden" r:id="rId15"/>
    <sheet name="Carbon" sheetId="40" state="hidden" r:id="rId16"/>
    <sheet name="FBS Data" sheetId="11" state="hidden" r:id="rId17"/>
    <sheet name="Fixed Costs + Agri-enviro" sheetId="32" state="hidden" r:id="rId18"/>
    <sheet name="Lists" sheetId="33" state="hidden" r:id="rId19"/>
    <sheet name="Net farm incomes graph" sheetId="14" state="hidden" r:id="rId20"/>
    <sheet name="Farm Typologies (org prem)" sheetId="1" state="hidden" r:id="rId21"/>
    <sheet name="Livestock allocation" sheetId="6" state="hidden" r:id="rId22"/>
    <sheet name="Livestock allocation -price var" sheetId="25" state="hidden" r:id="rId23"/>
    <sheet name="Livestock allocation - conc" sheetId="28" state="hidden" r:id="rId24"/>
    <sheet name="Livestock GM" sheetId="13" state="hidden" r:id="rId25"/>
    <sheet name="Livestock GM - price var" sheetId="24" state="hidden" r:id="rId26"/>
    <sheet name="Cropping allocation" sheetId="5" state="hidden" r:id="rId27"/>
    <sheet name="Cropping allocation - price var" sheetId="23" state="hidden" r:id="rId28"/>
    <sheet name="Cropping allocation - N cost" sheetId="21" state="hidden" r:id="rId29"/>
    <sheet name="Cropping allocation - N and +£" sheetId="27" state="hidden" r:id="rId30"/>
    <sheet name="Cropping GMs" sheetId="30" state="hidden" r:id="rId31"/>
    <sheet name="Cropping GMs - N cost Grain £" sheetId="7" state="hidden" r:id="rId32"/>
    <sheet name="Cropping GMs - price variation" sheetId="22" state="hidden" r:id="rId33"/>
    <sheet name="Cropping GMs - grain price var" sheetId="26" state="hidden" r:id="rId34"/>
  </sheets>
  <externalReferences>
    <externalReference r:id="rId35"/>
    <externalReference r:id="rId36"/>
    <externalReference r:id="rId37"/>
  </externalReferences>
  <definedNames>
    <definedName name="date">[1]Inflation!$N$18</definedName>
    <definedName name="feed">[1]Inflation!$N$28</definedName>
    <definedName name="iowc">[1]Inflation!$C$49</definedName>
    <definedName name="other">[1]Inflation!$N$29</definedName>
    <definedName name="stockinflate">[1]Inflation!$N$31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68" i="16" l="1" a="1"/>
  <c r="E68" i="16" s="1"/>
  <c r="F68" i="16" a="1"/>
  <c r="F68" i="16" s="1"/>
  <c r="G68" i="16" a="1"/>
  <c r="G68" i="16" s="1"/>
  <c r="H68" i="16" a="1"/>
  <c r="H68" i="16" s="1"/>
  <c r="I68" i="16" a="1"/>
  <c r="I68" i="16" s="1"/>
  <c r="J68" i="16" a="1"/>
  <c r="J68" i="16" s="1"/>
  <c r="K68" i="16" a="1"/>
  <c r="K68" i="16" s="1"/>
  <c r="L68" i="16" a="1"/>
  <c r="L68" i="16" s="1"/>
  <c r="M68" i="16" a="1"/>
  <c r="M68" i="16" s="1"/>
  <c r="N68" i="16" a="1"/>
  <c r="N68" i="16" s="1"/>
  <c r="O68" i="16" a="1"/>
  <c r="O68" i="16" s="1"/>
  <c r="P68" i="16" a="1"/>
  <c r="P68" i="16" s="1"/>
  <c r="Q68" i="16" a="1"/>
  <c r="Q68" i="16" s="1"/>
  <c r="R68" i="16" a="1"/>
  <c r="R68" i="16" s="1"/>
  <c r="S68" i="16" a="1"/>
  <c r="S68" i="16" s="1"/>
  <c r="T68" i="16" a="1"/>
  <c r="T68" i="16" s="1"/>
  <c r="U68" i="16" a="1"/>
  <c r="U68" i="16" s="1"/>
  <c r="V68" i="16" a="1"/>
  <c r="V68" i="16" s="1"/>
  <c r="W68" i="16" a="1"/>
  <c r="W68" i="16" s="1"/>
  <c r="X68" i="16" a="1"/>
  <c r="X68" i="16" s="1"/>
  <c r="Y68" i="16" a="1"/>
  <c r="Y68" i="16" s="1"/>
  <c r="Z68" i="16" a="1"/>
  <c r="Z68" i="16" s="1"/>
  <c r="AA68" i="16" a="1"/>
  <c r="AA68" i="16" s="1"/>
  <c r="AB68" i="16" a="1"/>
  <c r="AB68" i="16" s="1"/>
  <c r="AC68" i="16" a="1"/>
  <c r="AC68" i="16" s="1"/>
  <c r="AD68" i="16" a="1"/>
  <c r="AD68" i="16" s="1"/>
  <c r="AE68" i="16" a="1"/>
  <c r="AE68" i="16" s="1"/>
  <c r="AF68" i="16" a="1"/>
  <c r="AF68" i="16" s="1"/>
  <c r="AG68" i="16" a="1"/>
  <c r="AG68" i="16" s="1"/>
  <c r="AH68" i="16" a="1"/>
  <c r="AH68" i="16" s="1"/>
  <c r="AI68" i="16" a="1"/>
  <c r="AI68" i="16" s="1"/>
  <c r="AJ68" i="16" a="1"/>
  <c r="AJ68" i="16" s="1"/>
  <c r="AK68" i="16" a="1"/>
  <c r="AK68" i="16" s="1"/>
  <c r="AL68" i="16" a="1"/>
  <c r="AL68" i="16" s="1"/>
  <c r="AM68" i="16" a="1"/>
  <c r="AM68" i="16" s="1"/>
  <c r="AN68" i="16" a="1"/>
  <c r="AN68" i="16" s="1"/>
  <c r="AO68" i="16" a="1"/>
  <c r="AO68" i="16" s="1"/>
  <c r="AP68" i="16" a="1"/>
  <c r="AP68" i="16" s="1"/>
  <c r="AQ68" i="16" a="1"/>
  <c r="AQ68" i="16" s="1"/>
  <c r="D68" i="16" a="1"/>
  <c r="D68" i="16" s="1"/>
  <c r="C8" i="2"/>
  <c r="C7" i="2"/>
  <c r="C6" i="2"/>
  <c r="C5" i="2"/>
  <c r="C4" i="2"/>
  <c r="C8" i="34"/>
  <c r="C7" i="34"/>
  <c r="C6" i="34"/>
  <c r="C5" i="34"/>
  <c r="C4" i="34"/>
  <c r="C8" i="35"/>
  <c r="C7" i="35"/>
  <c r="C6" i="35"/>
  <c r="C5" i="35"/>
  <c r="C4" i="35"/>
  <c r="C8" i="36"/>
  <c r="C7" i="36"/>
  <c r="C6" i="36"/>
  <c r="C5" i="36"/>
  <c r="C4" i="36"/>
  <c r="C8" i="37"/>
  <c r="C7" i="37"/>
  <c r="C6" i="37"/>
  <c r="C5" i="37"/>
  <c r="C4" i="37"/>
  <c r="E7" i="31" a="1"/>
  <c r="E7" i="31" s="1"/>
  <c r="E6" i="31" a="1"/>
  <c r="E6" i="31" s="1"/>
  <c r="H5" i="33"/>
  <c r="H4" i="33"/>
  <c r="B45" i="9" a="1"/>
  <c r="B45" i="9" s="1"/>
  <c r="C8" i="38" l="1"/>
  <c r="C7" i="38"/>
  <c r="C6" i="38"/>
  <c r="C5" i="38"/>
  <c r="C4" i="38"/>
  <c r="L59" i="38"/>
  <c r="P26" i="38"/>
  <c r="P25" i="38"/>
  <c r="P24" i="38"/>
  <c r="P23" i="38"/>
  <c r="J53" i="38"/>
  <c r="P22" i="38" s="1"/>
  <c r="J52" i="38"/>
  <c r="J58" i="38" s="1"/>
  <c r="G35" i="31" a="1"/>
  <c r="G35" i="31" s="1"/>
  <c r="J35" i="31" a="1"/>
  <c r="J35" i="31" s="1"/>
  <c r="I35" i="31" a="1"/>
  <c r="I35" i="31" s="1"/>
  <c r="H35" i="31" a="1"/>
  <c r="H35" i="31" s="1"/>
  <c r="E3" i="31" a="1"/>
  <c r="E3" i="31" s="1"/>
  <c r="O35" i="31" a="1"/>
  <c r="O35" i="31" s="1"/>
  <c r="N35" i="31" a="1"/>
  <c r="N35" i="31" s="1"/>
  <c r="M35" i="31" a="1"/>
  <c r="M35" i="31" s="1"/>
  <c r="L35" i="31" a="1"/>
  <c r="L35" i="31" s="1"/>
  <c r="K35" i="31" a="1"/>
  <c r="K35" i="31" s="1"/>
  <c r="F35" i="31" a="1"/>
  <c r="F35" i="31" s="1"/>
  <c r="D35" i="31" a="1"/>
  <c r="D35" i="31" s="1"/>
  <c r="C35" i="31" a="1"/>
  <c r="C35" i="31" s="1"/>
  <c r="C19" i="11"/>
  <c r="D19" i="11"/>
  <c r="E19" i="11"/>
  <c r="F19" i="11"/>
  <c r="G19" i="11"/>
  <c r="H19" i="11"/>
  <c r="D20" i="11"/>
  <c r="E20" i="11"/>
  <c r="F20" i="11"/>
  <c r="G20" i="11"/>
  <c r="H20" i="11"/>
  <c r="C20" i="11"/>
  <c r="D16" i="11"/>
  <c r="E16" i="11"/>
  <c r="F16" i="11"/>
  <c r="G16" i="11"/>
  <c r="H16" i="11"/>
  <c r="D17" i="11"/>
  <c r="E17" i="11"/>
  <c r="F17" i="11"/>
  <c r="G17" i="11"/>
  <c r="H17" i="11"/>
  <c r="C17" i="11"/>
  <c r="C16" i="11"/>
  <c r="P21" i="38" l="1"/>
  <c r="N60" i="38" s="1"/>
  <c r="L60" i="38"/>
  <c r="AS55" i="19"/>
  <c r="D12" i="40"/>
  <c r="O24" i="31"/>
  <c r="CQ30" i="18"/>
  <c r="CQ41" i="18" s="1"/>
  <c r="AT57" i="19"/>
  <c r="AS57" i="19"/>
  <c r="AF57" i="19"/>
  <c r="CQ38" i="18"/>
  <c r="DS38" i="18"/>
  <c r="AE57" i="19" s="1"/>
  <c r="DS30" i="18"/>
  <c r="AD57" i="19"/>
  <c r="CT47" i="18"/>
  <c r="O14" i="31"/>
  <c r="O17" i="31"/>
  <c r="AI116" i="16"/>
  <c r="AR116" i="16"/>
  <c r="O37" i="31"/>
  <c r="AB55" i="19"/>
  <c r="AA53" i="19"/>
  <c r="R108" i="17"/>
  <c r="Q108" i="17"/>
  <c r="P108" i="17"/>
  <c r="P105" i="17"/>
  <c r="O105" i="17"/>
  <c r="N105" i="17"/>
  <c r="M105" i="17"/>
  <c r="R104" i="17"/>
  <c r="M104" i="17"/>
  <c r="R103" i="17"/>
  <c r="M103" i="17"/>
  <c r="L103" i="17"/>
  <c r="R102" i="17"/>
  <c r="M102" i="17"/>
  <c r="R101" i="17"/>
  <c r="M101" i="17"/>
  <c r="H10" i="40"/>
  <c r="K12" i="40"/>
  <c r="I12" i="40"/>
  <c r="G12" i="40"/>
  <c r="C14" i="31"/>
  <c r="C12" i="40" s="1"/>
  <c r="F5" i="40"/>
  <c r="F11" i="40" s="1"/>
  <c r="G5" i="40"/>
  <c r="H5" i="40"/>
  <c r="I5" i="40"/>
  <c r="I11" i="40" s="1"/>
  <c r="J5" i="40"/>
  <c r="J11" i="40" s="1"/>
  <c r="K5" i="40"/>
  <c r="K11" i="40" s="1"/>
  <c r="L5" i="40"/>
  <c r="L11" i="40" s="1"/>
  <c r="M5" i="40"/>
  <c r="M11" i="40" s="1"/>
  <c r="N5" i="40"/>
  <c r="N11" i="40" s="1"/>
  <c r="O5" i="40"/>
  <c r="E5" i="40"/>
  <c r="D5" i="40"/>
  <c r="C5" i="40"/>
  <c r="C11" i="40" s="1"/>
  <c r="O4" i="40"/>
  <c r="K4" i="40"/>
  <c r="J4" i="40"/>
  <c r="G4" i="40"/>
  <c r="F4" i="40"/>
  <c r="D4" i="40"/>
  <c r="O12" i="40" l="1"/>
  <c r="F8" i="40"/>
  <c r="G8" i="40" s="1"/>
  <c r="G10" i="40" s="1"/>
  <c r="J8" i="40"/>
  <c r="K8" i="40" s="1"/>
  <c r="K7" i="40" s="1"/>
  <c r="CQ46" i="18"/>
  <c r="CQ49" i="18" s="1"/>
  <c r="CQ50" i="18" s="1"/>
  <c r="J10" i="40"/>
  <c r="M106" i="17"/>
  <c r="F10" i="40"/>
  <c r="F13" i="40" s="1"/>
  <c r="F38" i="31" s="1" a="1"/>
  <c r="F38" i="31" s="1"/>
  <c r="K6" i="40"/>
  <c r="G9" i="40" l="1"/>
  <c r="G11" i="40" s="1"/>
  <c r="G13" i="40" s="1"/>
  <c r="G38" i="31" s="1" a="1"/>
  <c r="G38" i="31" s="1"/>
  <c r="CQ47" i="18"/>
  <c r="K10" i="40"/>
  <c r="K13" i="40" s="1"/>
  <c r="K38" i="31" s="1" a="1"/>
  <c r="K38" i="31" s="1"/>
  <c r="DI57" i="18" l="1"/>
  <c r="C39" i="32"/>
  <c r="E39" i="32"/>
  <c r="AX13" i="19"/>
  <c r="AX12" i="19"/>
  <c r="DL45" i="18"/>
  <c r="CZ28" i="18"/>
  <c r="W29" i="17"/>
  <c r="J93" i="16"/>
  <c r="DL8" i="18"/>
  <c r="E23" i="19" l="1"/>
  <c r="DR42" i="18"/>
  <c r="DR41" i="18"/>
  <c r="DO42" i="18"/>
  <c r="DO41" i="18"/>
  <c r="DI42" i="18"/>
  <c r="DI41" i="18"/>
  <c r="DF42" i="18"/>
  <c r="DF41" i="18"/>
  <c r="DC42" i="18"/>
  <c r="DO8" i="18" l="1"/>
  <c r="DC8" i="18"/>
  <c r="CZ8" i="18"/>
  <c r="DF8" i="18"/>
  <c r="DF10" i="18" s="1"/>
  <c r="F87" i="17"/>
  <c r="F86" i="17"/>
  <c r="H47" i="17"/>
  <c r="E16" i="9"/>
  <c r="E5" i="31" a="1"/>
  <c r="E5" i="31" s="1"/>
  <c r="E4" i="31" a="1"/>
  <c r="E4" i="31" s="1"/>
  <c r="AS88" i="16" a="1"/>
  <c r="AS88" i="16" s="1"/>
  <c r="AS87" i="16" a="1"/>
  <c r="AS87" i="16" s="1"/>
  <c r="AR88" i="16" a="1"/>
  <c r="AR88" i="16" s="1"/>
  <c r="AR87" i="16" a="1"/>
  <c r="AR87" i="16" s="1"/>
  <c r="AI88" i="16" a="1"/>
  <c r="AI88" i="16" s="1"/>
  <c r="AI87" i="16" a="1"/>
  <c r="AI87" i="16" s="1"/>
  <c r="V88" i="16" a="1"/>
  <c r="V88" i="16" s="1"/>
  <c r="V87" i="16" a="1"/>
  <c r="V87" i="16" s="1"/>
  <c r="U88" i="16" a="1"/>
  <c r="U88" i="16" s="1"/>
  <c r="U87" i="16" a="1"/>
  <c r="U87" i="16" s="1"/>
  <c r="T88" i="16" a="1"/>
  <c r="T88" i="16" s="1"/>
  <c r="T87" i="16" a="1"/>
  <c r="T87" i="16" s="1"/>
  <c r="S88" i="16" a="1"/>
  <c r="S88" i="16" s="1"/>
  <c r="S87" i="16" a="1"/>
  <c r="S87" i="16" s="1"/>
  <c r="P88" i="16" a="1"/>
  <c r="P88" i="16" s="1"/>
  <c r="P87" i="16" a="1"/>
  <c r="P87" i="16" s="1"/>
  <c r="O88" i="16" a="1"/>
  <c r="O88" i="16" s="1"/>
  <c r="O87" i="16" a="1"/>
  <c r="O87" i="16" s="1"/>
  <c r="M88" i="16" a="1"/>
  <c r="M88" i="16" s="1"/>
  <c r="M87" i="16" a="1"/>
  <c r="M87" i="16" s="1"/>
  <c r="K88" i="16" a="1"/>
  <c r="K88" i="16" s="1"/>
  <c r="K87" i="16" a="1"/>
  <c r="K87" i="16" s="1"/>
  <c r="J88" i="16" a="1"/>
  <c r="J88" i="16" s="1"/>
  <c r="J87" i="16" a="1"/>
  <c r="J87" i="16" s="1"/>
  <c r="D87" i="16" a="1"/>
  <c r="D87" i="16" s="1"/>
  <c r="D88" i="16" a="1"/>
  <c r="D88" i="16" s="1"/>
  <c r="I25" i="17"/>
  <c r="G25" i="17"/>
  <c r="G55" i="17" s="1"/>
  <c r="F25" i="17"/>
  <c r="F55" i="17" s="1"/>
  <c r="I24" i="17"/>
  <c r="G24" i="17"/>
  <c r="G54" i="17" s="1"/>
  <c r="F24" i="17"/>
  <c r="F54" i="17" s="1"/>
  <c r="I23" i="17"/>
  <c r="G23" i="17"/>
  <c r="G53" i="17" s="1"/>
  <c r="F23" i="17"/>
  <c r="F53" i="17" s="1"/>
  <c r="I22" i="17"/>
  <c r="G22" i="17"/>
  <c r="G52" i="17" s="1"/>
  <c r="G85" i="17" s="1"/>
  <c r="P85" i="17" s="1"/>
  <c r="F22" i="17"/>
  <c r="F52" i="17" s="1"/>
  <c r="I21" i="17"/>
  <c r="G21" i="17"/>
  <c r="G51" i="17" s="1"/>
  <c r="G84" i="17" s="1"/>
  <c r="P84" i="17" s="1"/>
  <c r="F21" i="17"/>
  <c r="F51" i="17" s="1"/>
  <c r="I20" i="17"/>
  <c r="G20" i="17"/>
  <c r="G50" i="17" s="1"/>
  <c r="G83" i="17" s="1"/>
  <c r="P83" i="17" s="1"/>
  <c r="F20" i="17"/>
  <c r="F50" i="17" s="1"/>
  <c r="I19" i="17"/>
  <c r="G19" i="17"/>
  <c r="F19" i="17"/>
  <c r="F49" i="17" s="1"/>
  <c r="I18" i="17"/>
  <c r="G18" i="17"/>
  <c r="G48" i="17" s="1"/>
  <c r="F18" i="17"/>
  <c r="F48" i="17" s="1"/>
  <c r="I16" i="17"/>
  <c r="G16" i="17"/>
  <c r="G46" i="17" s="1"/>
  <c r="F16" i="17"/>
  <c r="F46" i="17" s="1"/>
  <c r="I15" i="17"/>
  <c r="G15" i="17"/>
  <c r="G45" i="17" s="1"/>
  <c r="F15" i="17"/>
  <c r="F45" i="17" s="1"/>
  <c r="I14" i="17"/>
  <c r="G14" i="17"/>
  <c r="G44" i="17" s="1"/>
  <c r="G82" i="17" s="1"/>
  <c r="P82" i="17" s="1"/>
  <c r="F14" i="17"/>
  <c r="F44" i="17" s="1"/>
  <c r="I13" i="17"/>
  <c r="G13" i="17"/>
  <c r="G81" i="17" s="1"/>
  <c r="P81" i="17" s="1"/>
  <c r="F13" i="17"/>
  <c r="F43" i="17" s="1"/>
  <c r="I12" i="17"/>
  <c r="G12" i="17"/>
  <c r="G42" i="17" s="1"/>
  <c r="F12" i="17"/>
  <c r="F42" i="17" s="1"/>
  <c r="I11" i="17"/>
  <c r="G11" i="17"/>
  <c r="G41" i="17" s="1"/>
  <c r="F11" i="17"/>
  <c r="F41" i="17" s="1"/>
  <c r="I10" i="17"/>
  <c r="G10" i="17"/>
  <c r="G40" i="17" s="1"/>
  <c r="F10" i="17"/>
  <c r="F40" i="17" s="1"/>
  <c r="I9" i="17"/>
  <c r="G9" i="17"/>
  <c r="G39" i="17" s="1"/>
  <c r="F9" i="17"/>
  <c r="F39" i="17" s="1"/>
  <c r="I8" i="17"/>
  <c r="G8" i="17"/>
  <c r="G38" i="17" s="1"/>
  <c r="F8" i="17"/>
  <c r="F38" i="17" s="1"/>
  <c r="I7" i="17"/>
  <c r="G7" i="17"/>
  <c r="F7" i="17"/>
  <c r="F37" i="17" s="1"/>
  <c r="I6" i="17"/>
  <c r="G6" i="17"/>
  <c r="G36" i="17" s="1"/>
  <c r="F6" i="17"/>
  <c r="F36" i="17" s="1"/>
  <c r="I5" i="17"/>
  <c r="DI37" i="18" a="1"/>
  <c r="DI37" i="18" s="1"/>
  <c r="CZ29" i="18" a="1"/>
  <c r="CZ29" i="18" s="1"/>
  <c r="CZ34" i="18" s="1"/>
  <c r="DC37" i="18" a="1"/>
  <c r="DC37" i="18" s="1"/>
  <c r="DC38" i="18" s="1"/>
  <c r="DR34" i="18"/>
  <c r="DR37" i="18" s="1" a="1"/>
  <c r="DR37" i="18" s="1"/>
  <c r="DR38" i="18" s="1"/>
  <c r="DO34" i="18" a="1"/>
  <c r="DO34" i="18" s="1"/>
  <c r="DO37" i="18" s="1" a="1"/>
  <c r="DO37" i="18" s="1"/>
  <c r="DL34" i="18"/>
  <c r="DL37" i="18" s="1" a="1"/>
  <c r="DL37" i="18" s="1"/>
  <c r="DL38" i="18" s="1"/>
  <c r="DI34" i="18"/>
  <c r="DF34" i="18"/>
  <c r="DF37" i="18" s="1" a="1"/>
  <c r="DF37" i="18" s="1"/>
  <c r="DC34" i="18"/>
  <c r="M19" i="31"/>
  <c r="M4" i="40" s="1"/>
  <c r="P36" i="17"/>
  <c r="P37" i="17"/>
  <c r="P38" i="17"/>
  <c r="P39" i="17"/>
  <c r="P40" i="17"/>
  <c r="P43" i="17"/>
  <c r="P45" i="17"/>
  <c r="P47" i="17"/>
  <c r="P48" i="17"/>
  <c r="P49" i="17"/>
  <c r="P54" i="17"/>
  <c r="P55" i="17"/>
  <c r="P56" i="17"/>
  <c r="P20" i="17"/>
  <c r="P50" i="17" s="1"/>
  <c r="P66" i="17" s="1"/>
  <c r="P16" i="17"/>
  <c r="P46" i="17" s="1"/>
  <c r="P11" i="17"/>
  <c r="P41" i="17" s="1"/>
  <c r="P5" i="17"/>
  <c r="P35" i="17" s="1"/>
  <c r="P89" i="17"/>
  <c r="G92" i="17"/>
  <c r="P92" i="17" s="1"/>
  <c r="G91" i="17"/>
  <c r="P91" i="17" s="1"/>
  <c r="P103" i="17" s="1"/>
  <c r="G90" i="17"/>
  <c r="P90" i="17" s="1"/>
  <c r="P104" i="17" s="1"/>
  <c r="G88" i="17"/>
  <c r="P88" i="17" s="1"/>
  <c r="G87" i="17"/>
  <c r="P87" i="17" s="1"/>
  <c r="G86" i="17"/>
  <c r="P86" i="17" s="1"/>
  <c r="G49" i="17"/>
  <c r="G37" i="17"/>
  <c r="G5" i="17"/>
  <c r="G79" i="17" s="1"/>
  <c r="P79" i="17" s="1"/>
  <c r="F5" i="17"/>
  <c r="F35" i="17" s="1"/>
  <c r="AR24" i="19"/>
  <c r="AJ37" i="19"/>
  <c r="AL37" i="19"/>
  <c r="AR37" i="19"/>
  <c r="AJ38" i="19"/>
  <c r="AL38" i="19"/>
  <c r="AP38" i="19"/>
  <c r="AR38" i="19"/>
  <c r="AP39" i="19"/>
  <c r="AL40" i="19"/>
  <c r="AP40" i="19"/>
  <c r="AQ40" i="19"/>
  <c r="AL41" i="19"/>
  <c r="AR41" i="19"/>
  <c r="AL42" i="19"/>
  <c r="AH37" i="19"/>
  <c r="S37" i="19"/>
  <c r="AQ37" i="19" s="1"/>
  <c r="S38" i="19"/>
  <c r="AQ38" i="19" s="1"/>
  <c r="S40" i="19"/>
  <c r="Q38" i="19"/>
  <c r="AO38" i="19" s="1"/>
  <c r="Q39" i="19"/>
  <c r="AO39" i="19" s="1"/>
  <c r="O38" i="19"/>
  <c r="AM38" i="19" s="1"/>
  <c r="M37" i="19"/>
  <c r="AK37" i="19" s="1"/>
  <c r="M38" i="19"/>
  <c r="AK38" i="19" s="1"/>
  <c r="M40" i="19"/>
  <c r="AK40" i="19" s="1"/>
  <c r="K38" i="19"/>
  <c r="AI38" i="19" s="1"/>
  <c r="T42" i="19"/>
  <c r="T41" i="19"/>
  <c r="T40" i="19"/>
  <c r="AR40" i="19" s="1"/>
  <c r="T39" i="19"/>
  <c r="S39" i="19" s="1"/>
  <c r="AQ39" i="19" s="1"/>
  <c r="R42" i="19"/>
  <c r="AP42" i="19" s="1"/>
  <c r="R41" i="19"/>
  <c r="AP41" i="19" s="1"/>
  <c r="R40" i="19"/>
  <c r="Q40" i="19" s="1"/>
  <c r="AO40" i="19" s="1"/>
  <c r="R39" i="19"/>
  <c r="R29" i="19"/>
  <c r="AP29" i="19" s="1"/>
  <c r="P42" i="19"/>
  <c r="AN42" i="19" s="1"/>
  <c r="P41" i="19"/>
  <c r="P40" i="19"/>
  <c r="AN40" i="19" s="1"/>
  <c r="P39" i="19"/>
  <c r="O39" i="19" s="1"/>
  <c r="AM39" i="19" s="1"/>
  <c r="N42" i="19"/>
  <c r="N41" i="19"/>
  <c r="N40" i="19"/>
  <c r="N39" i="19"/>
  <c r="AL39" i="19" s="1"/>
  <c r="R38" i="19"/>
  <c r="R37" i="19"/>
  <c r="AP37" i="19" s="1"/>
  <c r="P38" i="19"/>
  <c r="AN38" i="19" s="1"/>
  <c r="P37" i="19"/>
  <c r="O37" i="19" s="1"/>
  <c r="AM37" i="19" s="1"/>
  <c r="L40" i="19"/>
  <c r="K40" i="19" s="1"/>
  <c r="AI40" i="19" s="1"/>
  <c r="L39" i="19"/>
  <c r="AJ39" i="19" s="1"/>
  <c r="L38" i="19"/>
  <c r="DM15" i="18"/>
  <c r="DN15" i="18"/>
  <c r="DO15"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G47" i="18"/>
  <c r="BH47" i="18"/>
  <c r="BI47" i="18"/>
  <c r="BJ47" i="18"/>
  <c r="BK47" i="18"/>
  <c r="BL47" i="18"/>
  <c r="BM47" i="18"/>
  <c r="BN47" i="18"/>
  <c r="BO47" i="18"/>
  <c r="BP47" i="18"/>
  <c r="BQ47" i="18"/>
  <c r="BR47" i="18"/>
  <c r="BS47" i="18"/>
  <c r="BT47" i="18"/>
  <c r="BU47" i="18"/>
  <c r="BV47" i="18"/>
  <c r="BW47" i="18"/>
  <c r="BX47" i="18"/>
  <c r="BY47" i="18"/>
  <c r="BZ47" i="18"/>
  <c r="CA47" i="18"/>
  <c r="CB47" i="18"/>
  <c r="CC47" i="18"/>
  <c r="CD47" i="18"/>
  <c r="CE47" i="18"/>
  <c r="CF47" i="18"/>
  <c r="CG47" i="18"/>
  <c r="CH47" i="18"/>
  <c r="CI47" i="18"/>
  <c r="CJ47" i="18"/>
  <c r="CK47" i="18"/>
  <c r="CL47" i="18"/>
  <c r="CM47" i="18"/>
  <c r="CN47" i="18"/>
  <c r="CO47" i="18"/>
  <c r="CP47" i="18"/>
  <c r="CR47" i="18"/>
  <c r="CS47" i="18"/>
  <c r="CU47" i="18"/>
  <c r="L37" i="19"/>
  <c r="K37" i="19" s="1"/>
  <c r="AI37" i="19" s="1"/>
  <c r="J40" i="19"/>
  <c r="J39" i="19"/>
  <c r="J38" i="19"/>
  <c r="J37" i="19"/>
  <c r="K4" i="19"/>
  <c r="T28" i="19"/>
  <c r="AR28" i="19" s="1"/>
  <c r="T27" i="19"/>
  <c r="AR27" i="19" s="1"/>
  <c r="T26" i="19"/>
  <c r="AR26" i="19" s="1"/>
  <c r="T25" i="19"/>
  <c r="T24" i="19"/>
  <c r="T23" i="19"/>
  <c r="AR23" i="19" s="1"/>
  <c r="R28" i="19"/>
  <c r="AP28" i="19" s="1"/>
  <c r="R27" i="19"/>
  <c r="AP27" i="19" s="1"/>
  <c r="R26" i="19"/>
  <c r="AP26" i="19" s="1"/>
  <c r="R25" i="19"/>
  <c r="AP25" i="19" s="1"/>
  <c r="R24" i="19"/>
  <c r="AP24" i="19" s="1"/>
  <c r="R23" i="19"/>
  <c r="AP23" i="19" s="1"/>
  <c r="L4" i="19"/>
  <c r="L5" i="19"/>
  <c r="L6" i="19"/>
  <c r="L7" i="19"/>
  <c r="L8" i="19"/>
  <c r="L9" i="19"/>
  <c r="L10" i="19"/>
  <c r="L11" i="19"/>
  <c r="L12" i="19"/>
  <c r="L43" i="19" s="1"/>
  <c r="L13" i="19"/>
  <c r="L14" i="19"/>
  <c r="L15" i="19"/>
  <c r="L16" i="19"/>
  <c r="L23" i="19"/>
  <c r="AJ23" i="19" s="1"/>
  <c r="L24" i="19"/>
  <c r="AJ24" i="19" s="1"/>
  <c r="L25" i="19"/>
  <c r="L26" i="19"/>
  <c r="AJ26" i="19" s="1"/>
  <c r="L27" i="19"/>
  <c r="AJ27" i="19" s="1"/>
  <c r="L28" i="19"/>
  <c r="AJ28" i="19" s="1"/>
  <c r="E37" i="19"/>
  <c r="E38" i="19"/>
  <c r="Z41" i="19"/>
  <c r="AA41" i="19"/>
  <c r="P28" i="19"/>
  <c r="P27" i="19"/>
  <c r="AN27" i="19" s="1"/>
  <c r="P26" i="19"/>
  <c r="AN26" i="19" s="1"/>
  <c r="P25" i="19"/>
  <c r="P24" i="19"/>
  <c r="P23" i="19"/>
  <c r="N28" i="19"/>
  <c r="AL28" i="19" s="1"/>
  <c r="N27" i="19"/>
  <c r="N26" i="19"/>
  <c r="N25" i="19"/>
  <c r="AL25" i="19" s="1"/>
  <c r="N24" i="19"/>
  <c r="N23" i="19"/>
  <c r="AL23" i="19" s="1"/>
  <c r="T30" i="19"/>
  <c r="R30" i="19"/>
  <c r="AP30" i="19" s="1"/>
  <c r="P30" i="19"/>
  <c r="AN30" i="19" s="1"/>
  <c r="N30" i="19"/>
  <c r="AL30" i="19" s="1"/>
  <c r="L30" i="19"/>
  <c r="T29" i="19"/>
  <c r="AR29" i="19" s="1"/>
  <c r="P29" i="19"/>
  <c r="AN29" i="19" s="1"/>
  <c r="N29" i="19"/>
  <c r="L29" i="19"/>
  <c r="DY24" i="18"/>
  <c r="I16" i="9" l="1"/>
  <c r="AL27" i="19"/>
  <c r="AN23" i="19"/>
  <c r="G43" i="17"/>
  <c r="G35" i="17"/>
  <c r="F16" i="9"/>
  <c r="AJ29" i="19"/>
  <c r="AL26" i="19"/>
  <c r="AN24" i="19"/>
  <c r="AN28" i="19"/>
  <c r="AJ43" i="19"/>
  <c r="AJ30" i="19"/>
  <c r="AJ25" i="19"/>
  <c r="AR25" i="19"/>
  <c r="AR30" i="19"/>
  <c r="K39" i="19"/>
  <c r="AR42" i="19"/>
  <c r="M39" i="19"/>
  <c r="AJ40" i="19"/>
  <c r="AL29" i="19"/>
  <c r="AN25" i="19"/>
  <c r="G80" i="17"/>
  <c r="P80" i="17" s="1"/>
  <c r="AN37" i="19"/>
  <c r="O40" i="19"/>
  <c r="AM40" i="19" s="1"/>
  <c r="Q37" i="19"/>
  <c r="AN39" i="19"/>
  <c r="AL24" i="19"/>
  <c r="G28" i="17"/>
  <c r="G57" i="17" s="1"/>
  <c r="AN41" i="19"/>
  <c r="AR39" i="19"/>
  <c r="AK39" i="19" l="1"/>
  <c r="AO37" i="19"/>
  <c r="AI39" i="19"/>
  <c r="O16" i="38" l="1"/>
  <c r="O15" i="38"/>
  <c r="O14" i="38"/>
  <c r="O13" i="38"/>
  <c r="O16" i="37"/>
  <c r="O15" i="37"/>
  <c r="O14" i="37"/>
  <c r="O13" i="37"/>
  <c r="O16" i="36"/>
  <c r="O15" i="36"/>
  <c r="O14" i="36"/>
  <c r="O13" i="36"/>
  <c r="O16" i="35"/>
  <c r="O15" i="35"/>
  <c r="O14" i="35"/>
  <c r="O13" i="35"/>
  <c r="D86" i="16"/>
  <c r="D98" i="16" s="1"/>
  <c r="O5" i="17" s="1"/>
  <c r="Y16" i="9"/>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D73" i="16"/>
  <c r="AQ72" i="16"/>
  <c r="AQ74" i="16" s="1"/>
  <c r="AQ75" i="16" s="1"/>
  <c r="AP72" i="16"/>
  <c r="AP74" i="16" s="1"/>
  <c r="AP75" i="16" s="1"/>
  <c r="AO72" i="16"/>
  <c r="AO74" i="16" s="1"/>
  <c r="AO75" i="16" s="1"/>
  <c r="AN72" i="16"/>
  <c r="AN74" i="16" s="1"/>
  <c r="AN75" i="16" s="1"/>
  <c r="AM72" i="16"/>
  <c r="AM74" i="16" s="1"/>
  <c r="AM75" i="16" s="1"/>
  <c r="AL72" i="16"/>
  <c r="AL74" i="16" s="1"/>
  <c r="AL75" i="16" s="1"/>
  <c r="AK72" i="16"/>
  <c r="AK74" i="16" s="1"/>
  <c r="AK75" i="16" s="1"/>
  <c r="AJ72" i="16"/>
  <c r="AJ74" i="16" s="1"/>
  <c r="AJ75" i="16" s="1"/>
  <c r="AI72" i="16"/>
  <c r="AI74" i="16" s="1"/>
  <c r="AI75" i="16" s="1"/>
  <c r="AH72" i="16"/>
  <c r="AH74" i="16" s="1"/>
  <c r="AH75" i="16" s="1"/>
  <c r="AG72" i="16"/>
  <c r="AG74" i="16" s="1"/>
  <c r="AG75" i="16" s="1"/>
  <c r="AF72" i="16"/>
  <c r="AF74" i="16" s="1"/>
  <c r="AF75" i="16" s="1"/>
  <c r="AE72" i="16"/>
  <c r="AE74" i="16" s="1"/>
  <c r="AE75" i="16" s="1"/>
  <c r="AD72" i="16"/>
  <c r="AD74" i="16" s="1"/>
  <c r="AD75" i="16" s="1"/>
  <c r="AC72" i="16"/>
  <c r="AC74" i="16" s="1"/>
  <c r="AC75" i="16" s="1"/>
  <c r="AB72" i="16"/>
  <c r="AB74" i="16" s="1"/>
  <c r="AB75" i="16" s="1"/>
  <c r="AA72" i="16"/>
  <c r="AA74" i="16" s="1"/>
  <c r="AA75" i="16" s="1"/>
  <c r="Z72" i="16"/>
  <c r="Z74" i="16" s="1"/>
  <c r="Z75" i="16" s="1"/>
  <c r="Y72" i="16"/>
  <c r="Y74" i="16" s="1"/>
  <c r="Y75" i="16" s="1"/>
  <c r="X72" i="16"/>
  <c r="X74" i="16" s="1"/>
  <c r="X75" i="16" s="1"/>
  <c r="W72" i="16"/>
  <c r="W74" i="16" s="1"/>
  <c r="W75" i="16" s="1"/>
  <c r="V72" i="16"/>
  <c r="V74" i="16" s="1"/>
  <c r="V75" i="16" s="1"/>
  <c r="U72" i="16"/>
  <c r="U74" i="16" s="1"/>
  <c r="U75" i="16" s="1"/>
  <c r="T72" i="16"/>
  <c r="T74" i="16" s="1"/>
  <c r="T75" i="16" s="1"/>
  <c r="S72" i="16"/>
  <c r="S74" i="16" s="1"/>
  <c r="S75" i="16" s="1"/>
  <c r="R72" i="16"/>
  <c r="R74" i="16" s="1"/>
  <c r="R75" i="16" s="1"/>
  <c r="Q72" i="16"/>
  <c r="Q74" i="16" s="1"/>
  <c r="Q75" i="16" s="1"/>
  <c r="P72" i="16"/>
  <c r="P74" i="16" s="1"/>
  <c r="P75" i="16" s="1"/>
  <c r="O72" i="16"/>
  <c r="O74" i="16" s="1"/>
  <c r="O75" i="16" s="1"/>
  <c r="N72" i="16"/>
  <c r="N74" i="16" s="1"/>
  <c r="N75" i="16" s="1"/>
  <c r="M72" i="16"/>
  <c r="M74" i="16" s="1"/>
  <c r="M75" i="16" s="1"/>
  <c r="L72" i="16"/>
  <c r="L74" i="16" s="1"/>
  <c r="L75" i="16" s="1"/>
  <c r="K72" i="16"/>
  <c r="K74" i="16" s="1"/>
  <c r="K75" i="16" s="1"/>
  <c r="J72" i="16"/>
  <c r="J74" i="16" s="1"/>
  <c r="J75" i="16" s="1"/>
  <c r="I72" i="16"/>
  <c r="I74" i="16" s="1"/>
  <c r="I75" i="16" s="1"/>
  <c r="H72" i="16"/>
  <c r="H74" i="16" s="1"/>
  <c r="H75" i="16" s="1"/>
  <c r="G72" i="16"/>
  <c r="G74" i="16" s="1"/>
  <c r="G75" i="16" s="1"/>
  <c r="F72" i="16"/>
  <c r="F74" i="16" s="1"/>
  <c r="F75" i="16" s="1"/>
  <c r="E72" i="16"/>
  <c r="E74" i="16" s="1"/>
  <c r="E75" i="16" s="1"/>
  <c r="D72" i="16"/>
  <c r="D74" i="16" s="1"/>
  <c r="D75" i="16" s="1"/>
  <c r="C72" i="16"/>
  <c r="AQ67" i="16"/>
  <c r="AQ69" i="16" s="1"/>
  <c r="AP67" i="16"/>
  <c r="AP69" i="16" s="1"/>
  <c r="AO67" i="16"/>
  <c r="AO69" i="16" s="1"/>
  <c r="AN67" i="16"/>
  <c r="AN69" i="16" s="1"/>
  <c r="AM67" i="16"/>
  <c r="AM69" i="16" s="1"/>
  <c r="AL67" i="16"/>
  <c r="AL69" i="16" s="1"/>
  <c r="AK67" i="16"/>
  <c r="AK69" i="16" s="1"/>
  <c r="AJ67" i="16"/>
  <c r="AJ69" i="16" s="1"/>
  <c r="AI67" i="16"/>
  <c r="AI69" i="16" s="1"/>
  <c r="AH67" i="16"/>
  <c r="AH69" i="16" s="1"/>
  <c r="AG67" i="16"/>
  <c r="AG69" i="16" s="1"/>
  <c r="AF67" i="16"/>
  <c r="AF69" i="16" s="1"/>
  <c r="AE67" i="16"/>
  <c r="AE69" i="16" s="1"/>
  <c r="AD67" i="16"/>
  <c r="AD69" i="16" s="1"/>
  <c r="AC67" i="16"/>
  <c r="AC69" i="16" s="1"/>
  <c r="AB67" i="16"/>
  <c r="AB69" i="16" s="1"/>
  <c r="AA67" i="16"/>
  <c r="AA69" i="16" s="1"/>
  <c r="Z67" i="16"/>
  <c r="Z69" i="16" s="1"/>
  <c r="Y67" i="16"/>
  <c r="Y69" i="16" s="1"/>
  <c r="X67" i="16"/>
  <c r="X69" i="16" s="1"/>
  <c r="W67" i="16"/>
  <c r="W69" i="16" s="1"/>
  <c r="V67" i="16"/>
  <c r="V69" i="16" s="1"/>
  <c r="U67" i="16"/>
  <c r="U69" i="16" s="1"/>
  <c r="T67" i="16"/>
  <c r="T69" i="16" s="1"/>
  <c r="S67" i="16"/>
  <c r="S69" i="16" s="1"/>
  <c r="R67" i="16"/>
  <c r="R69" i="16" s="1"/>
  <c r="Q67" i="16"/>
  <c r="Q69" i="16" s="1"/>
  <c r="P67" i="16"/>
  <c r="P69" i="16" s="1"/>
  <c r="O67" i="16"/>
  <c r="O69" i="16" s="1"/>
  <c r="N67" i="16"/>
  <c r="N69" i="16" s="1"/>
  <c r="M67" i="16"/>
  <c r="M69" i="16" s="1"/>
  <c r="L67" i="16"/>
  <c r="L69" i="16" s="1"/>
  <c r="K67" i="16"/>
  <c r="K69" i="16" s="1"/>
  <c r="J67" i="16"/>
  <c r="J69" i="16" s="1"/>
  <c r="I67" i="16"/>
  <c r="I69" i="16" s="1"/>
  <c r="H67" i="16"/>
  <c r="H69" i="16" s="1"/>
  <c r="G67" i="16"/>
  <c r="G69" i="16" s="1"/>
  <c r="F67" i="16"/>
  <c r="F69" i="16" s="1"/>
  <c r="E67" i="16"/>
  <c r="E69" i="16" s="1"/>
  <c r="D67" i="16"/>
  <c r="D69" i="16" s="1"/>
  <c r="D70" i="16" s="1"/>
  <c r="H5" i="17" l="1"/>
  <c r="H35" i="17" s="1"/>
  <c r="D78" i="16"/>
  <c r="E5" i="17" s="1"/>
  <c r="D77" i="16"/>
  <c r="M16" i="9"/>
  <c r="Q16" i="9"/>
  <c r="V16" i="9"/>
  <c r="P16" i="9"/>
  <c r="L16" i="9"/>
  <c r="H16" i="9"/>
  <c r="S16" i="9"/>
  <c r="W16" i="9"/>
  <c r="O16" i="9"/>
  <c r="K16" i="9"/>
  <c r="G16" i="9"/>
  <c r="T16" i="9"/>
  <c r="X16" i="9"/>
  <c r="D16" i="9"/>
  <c r="D24" i="9" s="1"/>
  <c r="N16" i="9"/>
  <c r="J16" i="9"/>
  <c r="U16" i="9"/>
  <c r="O70" i="16"/>
  <c r="H16" i="17" s="1"/>
  <c r="H46" i="17" s="1"/>
  <c r="G70" i="16"/>
  <c r="G77" i="16" s="1"/>
  <c r="W70" i="16"/>
  <c r="W77" i="16" s="1"/>
  <c r="AM70" i="16"/>
  <c r="AM78" i="16" s="1"/>
  <c r="P70" i="16"/>
  <c r="P78" i="16" s="1"/>
  <c r="S70" i="16"/>
  <c r="H20" i="17" s="1"/>
  <c r="H50" i="17" s="1"/>
  <c r="E70" i="16"/>
  <c r="Q70" i="16"/>
  <c r="U70" i="16"/>
  <c r="AG70" i="16"/>
  <c r="AK70" i="16"/>
  <c r="AK78" i="16" s="1"/>
  <c r="AE70" i="16"/>
  <c r="AE78" i="16" s="1"/>
  <c r="T70" i="16"/>
  <c r="X70" i="16"/>
  <c r="AI70" i="16"/>
  <c r="H86" i="17" s="1"/>
  <c r="K70" i="16"/>
  <c r="AA70" i="16"/>
  <c r="AA78" i="16" s="1"/>
  <c r="AQ70" i="16"/>
  <c r="AQ78" i="16" s="1"/>
  <c r="F70" i="16"/>
  <c r="J70" i="16"/>
  <c r="V70" i="16"/>
  <c r="Z70" i="16"/>
  <c r="Z78" i="16" s="1"/>
  <c r="AL70" i="16"/>
  <c r="AL78" i="16" s="1"/>
  <c r="AP70" i="16"/>
  <c r="AP78" i="16" s="1"/>
  <c r="I70" i="16"/>
  <c r="H10" i="17" s="1"/>
  <c r="H40" i="17" s="1"/>
  <c r="M70" i="16"/>
  <c r="H14" i="17" s="1"/>
  <c r="H44" i="17" s="1"/>
  <c r="Y70" i="16"/>
  <c r="AC70" i="16"/>
  <c r="AO70" i="16"/>
  <c r="N70" i="16"/>
  <c r="H15" i="17" s="1"/>
  <c r="H45" i="17" s="1"/>
  <c r="R70" i="16"/>
  <c r="H19" i="17" s="1"/>
  <c r="H49" i="17" s="1"/>
  <c r="AD70" i="16"/>
  <c r="AH70" i="16"/>
  <c r="H70" i="16"/>
  <c r="H9" i="17" s="1"/>
  <c r="H39" i="17" s="1"/>
  <c r="L70" i="16"/>
  <c r="H13" i="17" s="1"/>
  <c r="H43" i="17" s="1"/>
  <c r="AB70" i="16"/>
  <c r="AF70" i="16"/>
  <c r="AJ70" i="16"/>
  <c r="H88" i="17" s="1"/>
  <c r="AN70" i="16"/>
  <c r="U93" i="16"/>
  <c r="V93" i="16"/>
  <c r="P23" i="17" s="1"/>
  <c r="P53" i="17" s="1"/>
  <c r="P69" i="17" s="1"/>
  <c r="T93" i="16"/>
  <c r="P21" i="17" s="1"/>
  <c r="P51" i="17" s="1"/>
  <c r="P67" i="17" s="1"/>
  <c r="M93" i="16"/>
  <c r="P14" i="17" s="1"/>
  <c r="P44" i="17" s="1"/>
  <c r="P65" i="17" s="1"/>
  <c r="K93" i="16"/>
  <c r="P12" i="17" s="1"/>
  <c r="P42" i="17" s="1"/>
  <c r="P64" i="17" s="1"/>
  <c r="P101" i="17" s="1"/>
  <c r="G93" i="17" l="1"/>
  <c r="P93" i="17" s="1"/>
  <c r="P102" i="17" s="1"/>
  <c r="P22" i="17"/>
  <c r="P52" i="17" s="1"/>
  <c r="P68" i="17" s="1"/>
  <c r="P106" i="17"/>
  <c r="AQ77" i="16"/>
  <c r="J78" i="16"/>
  <c r="E11" i="17" s="1"/>
  <c r="H11" i="17"/>
  <c r="H41" i="17" s="1"/>
  <c r="AE77" i="16"/>
  <c r="E78" i="16"/>
  <c r="E6" i="17" s="1"/>
  <c r="H6" i="17"/>
  <c r="H36" i="17" s="1"/>
  <c r="X78" i="16"/>
  <c r="E25" i="17" s="1"/>
  <c r="H25" i="17"/>
  <c r="H55" i="17" s="1"/>
  <c r="AG78" i="16"/>
  <c r="E87" i="17" s="1"/>
  <c r="H87" i="17"/>
  <c r="G78" i="16"/>
  <c r="E8" i="17" s="1"/>
  <c r="H8" i="17"/>
  <c r="H38" i="17" s="1"/>
  <c r="K78" i="16"/>
  <c r="E12" i="17" s="1"/>
  <c r="H12" i="17"/>
  <c r="H42" i="17" s="1"/>
  <c r="Q78" i="16"/>
  <c r="E18" i="17" s="1"/>
  <c r="H18" i="17"/>
  <c r="H48" i="17" s="1"/>
  <c r="F78" i="16"/>
  <c r="E7" i="17" s="1"/>
  <c r="H7" i="17"/>
  <c r="H37" i="17" s="1"/>
  <c r="W78" i="16"/>
  <c r="E24" i="17" s="1"/>
  <c r="H24" i="17"/>
  <c r="H54" i="17" s="1"/>
  <c r="V78" i="16"/>
  <c r="E23" i="17" s="1"/>
  <c r="H23" i="17"/>
  <c r="H53" i="17" s="1"/>
  <c r="T78" i="16"/>
  <c r="E21" i="17" s="1"/>
  <c r="H21" i="17"/>
  <c r="H51" i="17" s="1"/>
  <c r="U78" i="16"/>
  <c r="E22" i="17" s="1"/>
  <c r="H22" i="17"/>
  <c r="H52" i="17" s="1"/>
  <c r="V77" i="16"/>
  <c r="AG77" i="16"/>
  <c r="P77" i="16"/>
  <c r="AA77" i="16"/>
  <c r="F77" i="16"/>
  <c r="AB78" i="16"/>
  <c r="AB77" i="16"/>
  <c r="S78" i="16"/>
  <c r="E20" i="17" s="1"/>
  <c r="S77" i="16"/>
  <c r="L78" i="16"/>
  <c r="E13" i="17" s="1"/>
  <c r="L77" i="16"/>
  <c r="R78" i="16"/>
  <c r="E19" i="17" s="1"/>
  <c r="R77" i="16"/>
  <c r="Y78" i="16"/>
  <c r="Y77" i="16"/>
  <c r="H78" i="16"/>
  <c r="E9" i="17" s="1"/>
  <c r="H77" i="16"/>
  <c r="AD78" i="16"/>
  <c r="AD77" i="16"/>
  <c r="AJ78" i="16"/>
  <c r="E88" i="17" s="1"/>
  <c r="AJ77" i="16"/>
  <c r="AI78" i="16"/>
  <c r="E86" i="17" s="1"/>
  <c r="AI77" i="16"/>
  <c r="O78" i="16"/>
  <c r="E16" i="17" s="1"/>
  <c r="O77" i="16"/>
  <c r="AH78" i="16"/>
  <c r="AH77" i="16"/>
  <c r="AO78" i="16"/>
  <c r="AO77" i="16"/>
  <c r="I78" i="16"/>
  <c r="E10" i="17" s="1"/>
  <c r="I77" i="16"/>
  <c r="AN78" i="16"/>
  <c r="AN77" i="16"/>
  <c r="N78" i="16"/>
  <c r="E15" i="17" s="1"/>
  <c r="N77" i="16"/>
  <c r="AF78" i="16"/>
  <c r="AF77" i="16"/>
  <c r="AC78" i="16"/>
  <c r="AC77" i="16"/>
  <c r="M78" i="16"/>
  <c r="E14" i="17" s="1"/>
  <c r="M77" i="16"/>
  <c r="X77" i="16"/>
  <c r="AL77" i="16"/>
  <c r="Q77" i="16"/>
  <c r="K77" i="16"/>
  <c r="U77" i="16"/>
  <c r="AM77" i="16"/>
  <c r="AP77" i="16"/>
  <c r="J77" i="16"/>
  <c r="T77" i="16"/>
  <c r="AK77" i="16"/>
  <c r="E77" i="16"/>
  <c r="Z77" i="16"/>
  <c r="N26" i="11"/>
  <c r="M26" i="11"/>
  <c r="H26" i="11"/>
  <c r="G26" i="11"/>
  <c r="F26" i="11"/>
  <c r="E26" i="11"/>
  <c r="N27" i="11"/>
  <c r="M27" i="11"/>
  <c r="N42" i="31" s="1"/>
  <c r="I27" i="11"/>
  <c r="G27" i="11"/>
  <c r="H42" i="31" s="1"/>
  <c r="C27" i="11"/>
  <c r="C41" i="32"/>
  <c r="E41" i="32" s="1"/>
  <c r="H27" i="11" s="1"/>
  <c r="I42" i="31" s="1" a="1"/>
  <c r="I42" i="31" s="1"/>
  <c r="L39" i="32"/>
  <c r="P32" i="32"/>
  <c r="G32" i="32"/>
  <c r="P31" i="32"/>
  <c r="G31" i="32"/>
  <c r="P30" i="32"/>
  <c r="G30" i="32"/>
  <c r="P29" i="32"/>
  <c r="G29" i="32"/>
  <c r="P28" i="32"/>
  <c r="G28" i="32"/>
  <c r="P27" i="32"/>
  <c r="G27" i="32"/>
  <c r="O18" i="32"/>
  <c r="M18" i="32" s="1"/>
  <c r="F18" i="32"/>
  <c r="D18" i="32" s="1"/>
  <c r="O17" i="32"/>
  <c r="N17" i="32" s="1"/>
  <c r="M17" i="32"/>
  <c r="L17" i="32"/>
  <c r="K17" i="32"/>
  <c r="L43" i="32" s="1"/>
  <c r="N43" i="32" s="1"/>
  <c r="J26" i="11" s="1"/>
  <c r="F17" i="32"/>
  <c r="E17" i="32" s="1"/>
  <c r="D17" i="32"/>
  <c r="B17" i="32"/>
  <c r="C43" i="32" s="1"/>
  <c r="E43" i="32" s="1"/>
  <c r="J27" i="11" s="1"/>
  <c r="O16" i="32"/>
  <c r="G16" i="32"/>
  <c r="F16" i="32"/>
  <c r="O42" i="31" l="1" a="1"/>
  <c r="O42" i="31" s="1"/>
  <c r="Q7" i="35"/>
  <c r="P7" i="35"/>
  <c r="P15" i="35" s="1"/>
  <c r="J42" i="31"/>
  <c r="K42" i="31" a="1"/>
  <c r="K42" i="31" s="1"/>
  <c r="P7" i="38"/>
  <c r="P15" i="38" s="1"/>
  <c r="C42" i="31" a="1"/>
  <c r="C42" i="31" s="1"/>
  <c r="F42" i="31" a="1"/>
  <c r="F42" i="31" s="1"/>
  <c r="I26" i="11"/>
  <c r="P17" i="32"/>
  <c r="D27" i="11"/>
  <c r="D42" i="31" s="1" a="1"/>
  <c r="D42" i="31" s="1"/>
  <c r="N39" i="32"/>
  <c r="D26" i="11" s="1"/>
  <c r="E35" i="31" s="1"/>
  <c r="C26" i="11"/>
  <c r="K18" i="32"/>
  <c r="L42" i="32" s="1"/>
  <c r="C17" i="32"/>
  <c r="G17" i="32" s="1"/>
  <c r="B18" i="32"/>
  <c r="C42" i="32" s="1"/>
  <c r="AR10" i="19"/>
  <c r="AR9" i="19"/>
  <c r="AR6" i="19"/>
  <c r="AR5" i="19"/>
  <c r="AN8" i="19"/>
  <c r="AN7" i="19"/>
  <c r="AN4" i="19"/>
  <c r="AL8" i="19"/>
  <c r="AL6" i="19"/>
  <c r="AL5" i="19"/>
  <c r="AJ8" i="19"/>
  <c r="AJ12" i="19"/>
  <c r="AJ16" i="19"/>
  <c r="AJ53" i="19" s="1"/>
  <c r="AQ9" i="19"/>
  <c r="N8" i="19"/>
  <c r="Q9" i="19"/>
  <c r="AJ4" i="19"/>
  <c r="T16" i="19"/>
  <c r="AR16" i="19" s="1"/>
  <c r="AR53" i="19" s="1"/>
  <c r="T15" i="19"/>
  <c r="AR15" i="19" s="1"/>
  <c r="T14" i="19"/>
  <c r="AR14" i="19" s="1"/>
  <c r="T13" i="19"/>
  <c r="AR13" i="19" s="1"/>
  <c r="T12" i="19"/>
  <c r="T11" i="19"/>
  <c r="AR11" i="19" s="1"/>
  <c r="T10" i="19"/>
  <c r="T9" i="19"/>
  <c r="S9" i="19" s="1"/>
  <c r="T8" i="19"/>
  <c r="AR8" i="19" s="1"/>
  <c r="T7" i="19"/>
  <c r="AR7" i="19" s="1"/>
  <c r="T6" i="19"/>
  <c r="R16" i="19"/>
  <c r="AP16" i="19" s="1"/>
  <c r="AP53" i="19" s="1"/>
  <c r="R15" i="19"/>
  <c r="AP15" i="19" s="1"/>
  <c r="R14" i="19"/>
  <c r="R13" i="19"/>
  <c r="AP13" i="19" s="1"/>
  <c r="R12" i="19"/>
  <c r="R11" i="19"/>
  <c r="AP11" i="19" s="1"/>
  <c r="R10" i="19"/>
  <c r="AP10" i="19" s="1"/>
  <c r="R9" i="19"/>
  <c r="AP9" i="19" s="1"/>
  <c r="AO9" i="19" s="1"/>
  <c r="R8" i="19"/>
  <c r="AP8" i="19" s="1"/>
  <c r="R7" i="19"/>
  <c r="AP7" i="19" s="1"/>
  <c r="R6" i="19"/>
  <c r="AP6" i="19" s="1"/>
  <c r="P16" i="19"/>
  <c r="AN16" i="19" s="1"/>
  <c r="AN53" i="19" s="1"/>
  <c r="P15" i="19"/>
  <c r="AN15" i="19" s="1"/>
  <c r="P14" i="19"/>
  <c r="P13" i="19"/>
  <c r="AN13" i="19" s="1"/>
  <c r="P12" i="19"/>
  <c r="P43" i="19" s="1"/>
  <c r="AN43" i="19" s="1"/>
  <c r="P11" i="19"/>
  <c r="AN11" i="19" s="1"/>
  <c r="P10" i="19"/>
  <c r="AN10" i="19" s="1"/>
  <c r="P9" i="19"/>
  <c r="O9" i="19" s="1"/>
  <c r="P8" i="19"/>
  <c r="P7" i="19"/>
  <c r="P6" i="19"/>
  <c r="AN6" i="19" s="1"/>
  <c r="N16" i="19"/>
  <c r="AL16" i="19" s="1"/>
  <c r="AL53" i="19" s="1"/>
  <c r="N15" i="19"/>
  <c r="AL15" i="19" s="1"/>
  <c r="N14" i="19"/>
  <c r="N13" i="19"/>
  <c r="AL13" i="19" s="1"/>
  <c r="N12" i="19"/>
  <c r="N11" i="19"/>
  <c r="AL11" i="19" s="1"/>
  <c r="N10" i="19"/>
  <c r="AL10" i="19" s="1"/>
  <c r="N9" i="19"/>
  <c r="M9" i="19" s="1"/>
  <c r="N7" i="19"/>
  <c r="AL7" i="19" s="1"/>
  <c r="N6" i="19"/>
  <c r="AJ15" i="19"/>
  <c r="AJ14" i="19"/>
  <c r="AJ13" i="19"/>
  <c r="AJ11" i="19"/>
  <c r="AJ10" i="19"/>
  <c r="AJ7" i="19"/>
  <c r="AJ6" i="19"/>
  <c r="J15" i="19"/>
  <c r="U14" i="19"/>
  <c r="J14" i="19"/>
  <c r="J13" i="19"/>
  <c r="J10" i="19"/>
  <c r="U9" i="19"/>
  <c r="J9" i="19"/>
  <c r="J8" i="19"/>
  <c r="J7" i="19"/>
  <c r="J6" i="19"/>
  <c r="T5" i="19"/>
  <c r="R5" i="19"/>
  <c r="AP5" i="19" s="1"/>
  <c r="P5" i="19"/>
  <c r="AN5" i="19" s="1"/>
  <c r="N5" i="19"/>
  <c r="AJ5" i="19"/>
  <c r="J5" i="19"/>
  <c r="T4" i="19"/>
  <c r="AR4" i="19" s="1"/>
  <c r="R4" i="19"/>
  <c r="AP4" i="19" s="1"/>
  <c r="P4" i="19"/>
  <c r="N4" i="19"/>
  <c r="AL4" i="19" s="1"/>
  <c r="J4" i="19"/>
  <c r="EF41" i="24"/>
  <c r="EE41" i="24"/>
  <c r="ED41" i="24"/>
  <c r="EC41" i="24"/>
  <c r="EB41" i="24"/>
  <c r="EA41" i="24"/>
  <c r="DZ41" i="24"/>
  <c r="DY41" i="24"/>
  <c r="DX41" i="24"/>
  <c r="DW41" i="24"/>
  <c r="DB41" i="24"/>
  <c r="DA41" i="24"/>
  <c r="CY41" i="24"/>
  <c r="CX41" i="24"/>
  <c r="EF41" i="13"/>
  <c r="EE41" i="13"/>
  <c r="ED41" i="13"/>
  <c r="EC41" i="13"/>
  <c r="EB41" i="13"/>
  <c r="EA41" i="13"/>
  <c r="DZ41" i="13"/>
  <c r="DY41" i="13"/>
  <c r="DX41" i="13"/>
  <c r="DW41" i="13"/>
  <c r="DB41" i="13"/>
  <c r="DA41" i="13"/>
  <c r="CY41" i="13"/>
  <c r="CX41" i="13"/>
  <c r="N37" i="31"/>
  <c r="M37" i="31"/>
  <c r="L37" i="31"/>
  <c r="K37" i="31"/>
  <c r="J37" i="31"/>
  <c r="I37" i="31"/>
  <c r="H37" i="31"/>
  <c r="G37" i="31"/>
  <c r="F37" i="31"/>
  <c r="C37" i="31"/>
  <c r="D37" i="31" s="1"/>
  <c r="E37" i="31" s="1"/>
  <c r="G36" i="31"/>
  <c r="D36" i="31"/>
  <c r="N19" i="31"/>
  <c r="N4" i="40" s="1"/>
  <c r="N8" i="40" s="1"/>
  <c r="L19" i="31"/>
  <c r="L4" i="40" s="1"/>
  <c r="L8" i="40" s="1"/>
  <c r="I19" i="31"/>
  <c r="I4" i="40" s="1"/>
  <c r="H19" i="31"/>
  <c r="H4" i="40" s="1"/>
  <c r="H9" i="40" s="1"/>
  <c r="H11" i="40" s="1"/>
  <c r="E19" i="31"/>
  <c r="E4" i="40" s="1"/>
  <c r="C19" i="31"/>
  <c r="C4" i="40" s="1"/>
  <c r="C8" i="40" s="1"/>
  <c r="N17" i="31"/>
  <c r="J17" i="31"/>
  <c r="H17" i="31"/>
  <c r="C17" i="31"/>
  <c r="L16" i="31"/>
  <c r="M16" i="31" s="1"/>
  <c r="M15" i="31" s="1"/>
  <c r="C16" i="31"/>
  <c r="L15" i="31"/>
  <c r="J15" i="31"/>
  <c r="C15" i="31"/>
  <c r="N14" i="31"/>
  <c r="L14" i="31"/>
  <c r="J14" i="31"/>
  <c r="H14" i="31"/>
  <c r="H12" i="40" s="1"/>
  <c r="E14" i="31"/>
  <c r="E12" i="40" s="1"/>
  <c r="Q7" i="38" l="1"/>
  <c r="Q7" i="2"/>
  <c r="P7" i="36"/>
  <c r="P15" i="36" s="1"/>
  <c r="G42" i="31" a="1"/>
  <c r="G42" i="31" s="1"/>
  <c r="E42" i="31" a="1"/>
  <c r="E42" i="31" s="1"/>
  <c r="R7" i="35"/>
  <c r="Q15" i="35"/>
  <c r="Q7" i="36"/>
  <c r="P7" i="34"/>
  <c r="P15" i="34" s="1"/>
  <c r="P7" i="2"/>
  <c r="R7" i="2" s="1"/>
  <c r="AQ14" i="19"/>
  <c r="AN12" i="19"/>
  <c r="J12" i="40"/>
  <c r="J13" i="40" s="1"/>
  <c r="J38" i="31" s="1" a="1"/>
  <c r="J38" i="31" s="1"/>
  <c r="L10" i="40"/>
  <c r="M8" i="40"/>
  <c r="M12" i="40"/>
  <c r="L12" i="40"/>
  <c r="O8" i="40"/>
  <c r="O10" i="40" s="1"/>
  <c r="N10" i="40"/>
  <c r="N13" i="40" s="1"/>
  <c r="N38" i="31" s="1" a="1"/>
  <c r="N38" i="31" s="1"/>
  <c r="C10" i="40"/>
  <c r="C13" i="40" s="1"/>
  <c r="C38" i="31" s="1" a="1"/>
  <c r="C38" i="31" s="1"/>
  <c r="D8" i="40"/>
  <c r="I7" i="40"/>
  <c r="I6" i="40"/>
  <c r="H13" i="40"/>
  <c r="H38" i="31" s="1" a="1"/>
  <c r="H38" i="31" s="1"/>
  <c r="AP12" i="19"/>
  <c r="R43" i="19"/>
  <c r="AP43" i="19" s="1"/>
  <c r="AR12" i="19"/>
  <c r="T43" i="19"/>
  <c r="AR43" i="19" s="1"/>
  <c r="AL12" i="19"/>
  <c r="N43" i="19"/>
  <c r="AL9" i="19"/>
  <c r="AK9" i="19" s="1"/>
  <c r="O14" i="19"/>
  <c r="E42" i="32"/>
  <c r="L27" i="11" s="1"/>
  <c r="K27" i="11"/>
  <c r="M14" i="19"/>
  <c r="AL14" i="19"/>
  <c r="AK14" i="19" s="1"/>
  <c r="AN9" i="19"/>
  <c r="AM9" i="19" s="1"/>
  <c r="K9" i="19"/>
  <c r="AJ9" i="19"/>
  <c r="AI9" i="19" s="1"/>
  <c r="AN14" i="19"/>
  <c r="Q14" i="19"/>
  <c r="AP14" i="19"/>
  <c r="AO14" i="19" s="1"/>
  <c r="N42" i="32"/>
  <c r="L26" i="11" s="1"/>
  <c r="K26" i="11"/>
  <c r="P18" i="32"/>
  <c r="G18" i="32"/>
  <c r="K14" i="19"/>
  <c r="S14" i="19"/>
  <c r="AI14" i="19"/>
  <c r="AM14" i="19"/>
  <c r="I10" i="40" l="1"/>
  <c r="I13" i="40" s="1"/>
  <c r="I38" i="31" s="1" a="1"/>
  <c r="I38" i="31" s="1"/>
  <c r="Q15" i="38"/>
  <c r="R7" i="38"/>
  <c r="Q7" i="34"/>
  <c r="Q15" i="34" s="1"/>
  <c r="S7" i="2"/>
  <c r="T7" i="2" s="1"/>
  <c r="Q15" i="36"/>
  <c r="R7" i="36"/>
  <c r="M42" i="31" a="1"/>
  <c r="M42" i="31" s="1"/>
  <c r="L42" i="31"/>
  <c r="D10" i="40"/>
  <c r="E8" i="40"/>
  <c r="D9" i="40"/>
  <c r="D11" i="40" s="1"/>
  <c r="M7" i="40"/>
  <c r="M6" i="40"/>
  <c r="L13" i="40"/>
  <c r="L38" i="31" s="1" a="1"/>
  <c r="L38" i="31" s="1"/>
  <c r="O9" i="40"/>
  <c r="O11" i="40" s="1"/>
  <c r="AL43" i="19"/>
  <c r="DC34" i="24"/>
  <c r="CX34" i="24"/>
  <c r="H41" i="1"/>
  <c r="C93" i="5"/>
  <c r="L92" i="5"/>
  <c r="K92" i="5"/>
  <c r="D92" i="5"/>
  <c r="L91" i="5"/>
  <c r="K91" i="5"/>
  <c r="D91" i="5"/>
  <c r="L90" i="5"/>
  <c r="K90" i="5"/>
  <c r="H90" i="5"/>
  <c r="P90" i="5" s="1"/>
  <c r="G90" i="5"/>
  <c r="O90" i="5" s="1"/>
  <c r="F90" i="5"/>
  <c r="N90" i="5" s="1"/>
  <c r="E90" i="5"/>
  <c r="M90" i="5" s="1"/>
  <c r="D90" i="5"/>
  <c r="L89" i="5"/>
  <c r="K89" i="5"/>
  <c r="H89" i="5"/>
  <c r="P89" i="5" s="1"/>
  <c r="G89" i="5"/>
  <c r="O89" i="5" s="1"/>
  <c r="F89" i="5"/>
  <c r="N89" i="5" s="1"/>
  <c r="E89" i="5"/>
  <c r="M89" i="5" s="1"/>
  <c r="D89" i="5"/>
  <c r="N88" i="5"/>
  <c r="L88" i="5"/>
  <c r="K88" i="5"/>
  <c r="E88" i="5"/>
  <c r="M88" i="5" s="1"/>
  <c r="D88" i="5"/>
  <c r="H87" i="5"/>
  <c r="P87" i="5" s="1"/>
  <c r="G87" i="5"/>
  <c r="O87" i="5" s="1"/>
  <c r="F87" i="5"/>
  <c r="N87" i="5" s="1"/>
  <c r="E87" i="5"/>
  <c r="M87" i="5" s="1"/>
  <c r="D87" i="5"/>
  <c r="H86" i="5"/>
  <c r="P86" i="5" s="1"/>
  <c r="G86" i="5"/>
  <c r="O86" i="5" s="1"/>
  <c r="F86" i="5"/>
  <c r="N86" i="5" s="1"/>
  <c r="E86" i="5"/>
  <c r="M86" i="5" s="1"/>
  <c r="D86" i="5"/>
  <c r="H85" i="5"/>
  <c r="P85" i="5" s="1"/>
  <c r="G85" i="5"/>
  <c r="O85" i="5" s="1"/>
  <c r="F85" i="5"/>
  <c r="N85" i="5" s="1"/>
  <c r="E85" i="5"/>
  <c r="M85" i="5" s="1"/>
  <c r="D85" i="5"/>
  <c r="H84" i="5"/>
  <c r="P84" i="5" s="1"/>
  <c r="G84" i="5"/>
  <c r="O84" i="5" s="1"/>
  <c r="F84" i="5"/>
  <c r="N84" i="5" s="1"/>
  <c r="E84" i="5"/>
  <c r="M84" i="5" s="1"/>
  <c r="D84" i="5"/>
  <c r="H83" i="5"/>
  <c r="P83" i="5" s="1"/>
  <c r="G83" i="5"/>
  <c r="O83" i="5" s="1"/>
  <c r="F83" i="5"/>
  <c r="N83" i="5" s="1"/>
  <c r="E83" i="5"/>
  <c r="M83" i="5" s="1"/>
  <c r="D83" i="5"/>
  <c r="H82" i="5"/>
  <c r="P82" i="5" s="1"/>
  <c r="G82" i="5"/>
  <c r="O82" i="5" s="1"/>
  <c r="F82" i="5"/>
  <c r="N82" i="5" s="1"/>
  <c r="E82" i="5"/>
  <c r="M82" i="5" s="1"/>
  <c r="D82" i="5"/>
  <c r="H81" i="5"/>
  <c r="P81" i="5" s="1"/>
  <c r="G81" i="5"/>
  <c r="O81" i="5" s="1"/>
  <c r="F81" i="5"/>
  <c r="N81" i="5" s="1"/>
  <c r="E81" i="5"/>
  <c r="M81" i="5" s="1"/>
  <c r="D81" i="5"/>
  <c r="P80" i="5"/>
  <c r="M80" i="5"/>
  <c r="G80" i="5"/>
  <c r="O80" i="5" s="1"/>
  <c r="F80" i="5"/>
  <c r="N80" i="5" s="1"/>
  <c r="E80" i="5"/>
  <c r="D80" i="5"/>
  <c r="H79" i="5"/>
  <c r="P79" i="5" s="1"/>
  <c r="G79" i="5"/>
  <c r="O79" i="5" s="1"/>
  <c r="F79" i="5"/>
  <c r="N79" i="5" s="1"/>
  <c r="E79" i="5"/>
  <c r="M79" i="5" s="1"/>
  <c r="D79" i="5"/>
  <c r="H78" i="5"/>
  <c r="P78" i="5" s="1"/>
  <c r="G78" i="5"/>
  <c r="O78" i="5" s="1"/>
  <c r="F78" i="5"/>
  <c r="N78" i="5" s="1"/>
  <c r="E78" i="5"/>
  <c r="M78" i="5" s="1"/>
  <c r="D78" i="5"/>
  <c r="L68" i="5"/>
  <c r="L67" i="5"/>
  <c r="L66" i="5"/>
  <c r="L65" i="5"/>
  <c r="L63" i="5"/>
  <c r="N55" i="5"/>
  <c r="M55" i="5"/>
  <c r="P54" i="5"/>
  <c r="O54" i="5"/>
  <c r="N54" i="5"/>
  <c r="M54" i="5"/>
  <c r="L54" i="5"/>
  <c r="P53" i="5"/>
  <c r="O53" i="5"/>
  <c r="N53" i="5"/>
  <c r="M53" i="5"/>
  <c r="L53" i="5"/>
  <c r="P48" i="5"/>
  <c r="O48" i="5"/>
  <c r="N48" i="5"/>
  <c r="M48" i="5"/>
  <c r="L48" i="5"/>
  <c r="P47" i="5"/>
  <c r="O47" i="5"/>
  <c r="N47" i="5"/>
  <c r="M47" i="5"/>
  <c r="L47" i="5"/>
  <c r="P46" i="5"/>
  <c r="O46" i="5"/>
  <c r="N46" i="5"/>
  <c r="L46" i="5"/>
  <c r="L45" i="5"/>
  <c r="P44" i="5"/>
  <c r="O44" i="5"/>
  <c r="N44" i="5"/>
  <c r="M44" i="5"/>
  <c r="L44" i="5"/>
  <c r="P42" i="5"/>
  <c r="O42" i="5"/>
  <c r="N42" i="5"/>
  <c r="M42" i="5"/>
  <c r="L42" i="5"/>
  <c r="L40" i="5"/>
  <c r="P39" i="5"/>
  <c r="O39" i="5"/>
  <c r="N39" i="5"/>
  <c r="M39" i="5"/>
  <c r="L39" i="5"/>
  <c r="P38" i="5"/>
  <c r="O38" i="5"/>
  <c r="N38" i="5"/>
  <c r="M38" i="5"/>
  <c r="L38" i="5"/>
  <c r="P37" i="5"/>
  <c r="O37" i="5"/>
  <c r="N37" i="5"/>
  <c r="M37" i="5"/>
  <c r="L37" i="5"/>
  <c r="P36" i="5"/>
  <c r="O36" i="5"/>
  <c r="N36" i="5"/>
  <c r="M36" i="5"/>
  <c r="L36" i="5"/>
  <c r="P35" i="5"/>
  <c r="O35" i="5"/>
  <c r="N35" i="5"/>
  <c r="M35" i="5"/>
  <c r="L35" i="5"/>
  <c r="L34" i="5"/>
  <c r="P26" i="5"/>
  <c r="P55" i="5" s="1"/>
  <c r="H88" i="5" s="1"/>
  <c r="P88" i="5" s="1"/>
  <c r="O26" i="5"/>
  <c r="O55" i="5" s="1"/>
  <c r="G88" i="5" s="1"/>
  <c r="O88" i="5" s="1"/>
  <c r="H25" i="5"/>
  <c r="G25" i="5"/>
  <c r="F25" i="5"/>
  <c r="E25" i="5"/>
  <c r="H24" i="5"/>
  <c r="G24" i="5"/>
  <c r="F24" i="5"/>
  <c r="E24" i="5"/>
  <c r="P23" i="5"/>
  <c r="P52" i="5" s="1"/>
  <c r="P68" i="5" s="1"/>
  <c r="O23" i="5"/>
  <c r="O52" i="5" s="1"/>
  <c r="O68" i="5" s="1"/>
  <c r="N23" i="5"/>
  <c r="N52" i="5" s="1"/>
  <c r="N68" i="5" s="1"/>
  <c r="M23" i="5"/>
  <c r="M52" i="5" s="1"/>
  <c r="M68" i="5" s="1"/>
  <c r="L23" i="5"/>
  <c r="L52" i="5" s="1"/>
  <c r="H23" i="5"/>
  <c r="G23" i="5"/>
  <c r="F23" i="5"/>
  <c r="E23" i="5"/>
  <c r="P22" i="5"/>
  <c r="P51" i="5" s="1"/>
  <c r="P67" i="5" s="1"/>
  <c r="H92" i="5" s="1"/>
  <c r="P92" i="5" s="1"/>
  <c r="O22" i="5"/>
  <c r="O51" i="5" s="1"/>
  <c r="O67" i="5" s="1"/>
  <c r="G92" i="5" s="1"/>
  <c r="O92" i="5" s="1"/>
  <c r="N22" i="5"/>
  <c r="N51" i="5" s="1"/>
  <c r="N67" i="5" s="1"/>
  <c r="F92" i="5" s="1"/>
  <c r="N92" i="5" s="1"/>
  <c r="M22" i="5"/>
  <c r="M51" i="5" s="1"/>
  <c r="M67" i="5" s="1"/>
  <c r="E92" i="5" s="1"/>
  <c r="M92" i="5" s="1"/>
  <c r="L22" i="5"/>
  <c r="L51" i="5" s="1"/>
  <c r="H22" i="5"/>
  <c r="G22" i="5"/>
  <c r="F22" i="5"/>
  <c r="E22" i="5"/>
  <c r="P21" i="5"/>
  <c r="P50" i="5" s="1"/>
  <c r="P66" i="5" s="1"/>
  <c r="O21" i="5"/>
  <c r="O50" i="5" s="1"/>
  <c r="O66" i="5" s="1"/>
  <c r="N21" i="5"/>
  <c r="N50" i="5" s="1"/>
  <c r="N66" i="5" s="1"/>
  <c r="M21" i="5"/>
  <c r="M50" i="5" s="1"/>
  <c r="M66" i="5" s="1"/>
  <c r="L21" i="5"/>
  <c r="L50" i="5" s="1"/>
  <c r="H21" i="5"/>
  <c r="G21" i="5"/>
  <c r="F21" i="5"/>
  <c r="E21" i="5"/>
  <c r="P20" i="5"/>
  <c r="P49" i="5" s="1"/>
  <c r="P65" i="5" s="1"/>
  <c r="O20" i="5"/>
  <c r="O49" i="5" s="1"/>
  <c r="O65" i="5" s="1"/>
  <c r="N20" i="5"/>
  <c r="N49" i="5" s="1"/>
  <c r="N65" i="5" s="1"/>
  <c r="M20" i="5"/>
  <c r="M49" i="5" s="1"/>
  <c r="M65" i="5" s="1"/>
  <c r="L20" i="5"/>
  <c r="L49" i="5" s="1"/>
  <c r="H20" i="5"/>
  <c r="G20" i="5"/>
  <c r="F20" i="5"/>
  <c r="E20" i="5"/>
  <c r="H19" i="5"/>
  <c r="G19" i="5"/>
  <c r="F19" i="5"/>
  <c r="E19" i="5"/>
  <c r="H18" i="5"/>
  <c r="G18" i="5"/>
  <c r="F18" i="5"/>
  <c r="E18" i="5"/>
  <c r="M17" i="5"/>
  <c r="M46" i="5" s="1"/>
  <c r="P16" i="5"/>
  <c r="P45" i="5" s="1"/>
  <c r="O16" i="5"/>
  <c r="O45" i="5" s="1"/>
  <c r="N16" i="5"/>
  <c r="N45" i="5" s="1"/>
  <c r="M16" i="5"/>
  <c r="M45" i="5" s="1"/>
  <c r="H16" i="5"/>
  <c r="G16" i="5"/>
  <c r="F16" i="5"/>
  <c r="E16" i="5"/>
  <c r="H15" i="5"/>
  <c r="G15" i="5"/>
  <c r="F15" i="5"/>
  <c r="E15" i="5"/>
  <c r="P14" i="5"/>
  <c r="P43" i="5" s="1"/>
  <c r="P64" i="5" s="1"/>
  <c r="O14" i="5"/>
  <c r="O43" i="5" s="1"/>
  <c r="O64" i="5" s="1"/>
  <c r="N14" i="5"/>
  <c r="N43" i="5" s="1"/>
  <c r="N64" i="5" s="1"/>
  <c r="M14" i="5"/>
  <c r="M43" i="5" s="1"/>
  <c r="M64" i="5" s="1"/>
  <c r="L14" i="5"/>
  <c r="H14" i="5"/>
  <c r="G14" i="5"/>
  <c r="F14" i="5"/>
  <c r="E14" i="5"/>
  <c r="H13" i="5"/>
  <c r="G13" i="5"/>
  <c r="F13" i="5"/>
  <c r="E13" i="5"/>
  <c r="P12" i="5"/>
  <c r="P41" i="5" s="1"/>
  <c r="P63" i="5" s="1"/>
  <c r="O12" i="5"/>
  <c r="O41" i="5" s="1"/>
  <c r="O63" i="5" s="1"/>
  <c r="N12" i="5"/>
  <c r="N41" i="5" s="1"/>
  <c r="N63" i="5" s="1"/>
  <c r="M12" i="5"/>
  <c r="M41" i="5" s="1"/>
  <c r="M63" i="5" s="1"/>
  <c r="L12" i="5"/>
  <c r="H12" i="5"/>
  <c r="G12" i="5"/>
  <c r="F12" i="5"/>
  <c r="E12" i="5"/>
  <c r="P11" i="5"/>
  <c r="P40" i="5" s="1"/>
  <c r="O11" i="5"/>
  <c r="O40" i="5" s="1"/>
  <c r="N11" i="5"/>
  <c r="N40" i="5" s="1"/>
  <c r="M11" i="5"/>
  <c r="M40" i="5" s="1"/>
  <c r="L11" i="5"/>
  <c r="H11" i="5"/>
  <c r="G11" i="5"/>
  <c r="F11" i="5"/>
  <c r="E11" i="5"/>
  <c r="H10" i="5"/>
  <c r="G10" i="5"/>
  <c r="F10" i="5"/>
  <c r="E10" i="5"/>
  <c r="H9" i="5"/>
  <c r="G9" i="5"/>
  <c r="F9" i="5"/>
  <c r="E9" i="5"/>
  <c r="H8" i="5"/>
  <c r="G8" i="5"/>
  <c r="F8" i="5"/>
  <c r="E8" i="5"/>
  <c r="H7" i="5"/>
  <c r="G7" i="5"/>
  <c r="F7" i="5"/>
  <c r="E7" i="5"/>
  <c r="H6" i="5"/>
  <c r="G6" i="5"/>
  <c r="F6" i="5"/>
  <c r="E6" i="5"/>
  <c r="P5" i="5"/>
  <c r="P34" i="5" s="1"/>
  <c r="H91" i="5" s="1"/>
  <c r="P91" i="5" s="1"/>
  <c r="O5" i="5"/>
  <c r="O34" i="5" s="1"/>
  <c r="N5" i="5"/>
  <c r="N34" i="5" s="1"/>
  <c r="M5" i="5"/>
  <c r="M34" i="5" s="1"/>
  <c r="E91" i="5" s="1"/>
  <c r="M91" i="5" s="1"/>
  <c r="L5" i="5"/>
  <c r="H5" i="5"/>
  <c r="G5" i="5"/>
  <c r="F5" i="5"/>
  <c r="E5" i="5"/>
  <c r="AR100" i="30"/>
  <c r="AI100" i="30"/>
  <c r="V100" i="30"/>
  <c r="U100" i="30"/>
  <c r="T100" i="30"/>
  <c r="S100" i="30"/>
  <c r="P100" i="30"/>
  <c r="O100" i="30"/>
  <c r="M100" i="30"/>
  <c r="K100" i="30"/>
  <c r="J100" i="30"/>
  <c r="D100" i="30"/>
  <c r="AS99" i="30"/>
  <c r="AR99" i="30"/>
  <c r="AI99" i="30"/>
  <c r="V99" i="30"/>
  <c r="U99" i="30"/>
  <c r="T99" i="30"/>
  <c r="S99" i="30"/>
  <c r="P99" i="30"/>
  <c r="O99" i="30"/>
  <c r="M99" i="30"/>
  <c r="K99" i="30"/>
  <c r="J99" i="30"/>
  <c r="D99" i="30"/>
  <c r="AS98" i="30"/>
  <c r="AR98" i="30"/>
  <c r="AI98" i="30"/>
  <c r="V98" i="30"/>
  <c r="U98" i="30"/>
  <c r="T98" i="30"/>
  <c r="S98" i="30"/>
  <c r="P98" i="30"/>
  <c r="O98" i="30"/>
  <c r="M98" i="30"/>
  <c r="K98" i="30"/>
  <c r="J98" i="30"/>
  <c r="D98" i="30"/>
  <c r="AS97" i="30"/>
  <c r="AS101" i="30" s="1"/>
  <c r="AS106" i="30" s="1"/>
  <c r="AR97" i="30"/>
  <c r="AI97" i="30"/>
  <c r="K91" i="30"/>
  <c r="J91" i="30"/>
  <c r="D91" i="30"/>
  <c r="V90" i="30"/>
  <c r="V92" i="30" s="1"/>
  <c r="V97" i="30" s="1"/>
  <c r="P90" i="30"/>
  <c r="P88" i="30"/>
  <c r="M88" i="30"/>
  <c r="K88" i="30"/>
  <c r="J88" i="30"/>
  <c r="D88" i="30"/>
  <c r="AS84" i="30"/>
  <c r="AR84" i="30"/>
  <c r="AI84" i="30"/>
  <c r="V84" i="30"/>
  <c r="P84" i="30"/>
  <c r="P83" i="30"/>
  <c r="P82" i="30"/>
  <c r="AR78" i="30"/>
  <c r="AI78" i="30"/>
  <c r="AI83" i="30" s="1"/>
  <c r="T78" i="30"/>
  <c r="S78" i="30"/>
  <c r="O78" i="30"/>
  <c r="M78" i="30"/>
  <c r="K78" i="30"/>
  <c r="J78" i="30"/>
  <c r="D78" i="30"/>
  <c r="AR77" i="30"/>
  <c r="AI77" i="30"/>
  <c r="AI82" i="30" s="1"/>
  <c r="T77" i="30"/>
  <c r="S77" i="30"/>
  <c r="O77" i="30"/>
  <c r="M77" i="30"/>
  <c r="M82" i="30" s="1"/>
  <c r="K77" i="30"/>
  <c r="J77" i="30"/>
  <c r="D77" i="30"/>
  <c r="T74" i="30"/>
  <c r="T84" i="30" s="1"/>
  <c r="S74" i="30"/>
  <c r="S90" i="30" s="1"/>
  <c r="S92" i="30" s="1"/>
  <c r="S97" i="30" s="1"/>
  <c r="O74" i="30"/>
  <c r="O84" i="30" s="1"/>
  <c r="M74" i="30"/>
  <c r="M84" i="30" s="1"/>
  <c r="K74" i="30"/>
  <c r="K90" i="30" s="1"/>
  <c r="K92" i="30" s="1"/>
  <c r="K97" i="30" s="1"/>
  <c r="K101" i="30" s="1"/>
  <c r="K106" i="30" s="1"/>
  <c r="K72" i="30" s="1"/>
  <c r="J74" i="30"/>
  <c r="J83" i="30" s="1"/>
  <c r="D74" i="30"/>
  <c r="D84" i="30" s="1"/>
  <c r="D89" i="7"/>
  <c r="D100" i="7" s="1"/>
  <c r="D114" i="7"/>
  <c r="P102" i="16"/>
  <c r="AI89" i="22"/>
  <c r="T89" i="22"/>
  <c r="S89" i="22"/>
  <c r="AS75" i="22"/>
  <c r="AS74" i="22" s="1"/>
  <c r="AR75" i="22"/>
  <c r="AR74" i="22" s="1"/>
  <c r="AI75" i="22"/>
  <c r="AI74" i="22" s="1"/>
  <c r="V75" i="22"/>
  <c r="V89" i="22" s="1"/>
  <c r="U75" i="22"/>
  <c r="U74" i="22" s="1"/>
  <c r="T75" i="22"/>
  <c r="T74" i="22" s="1"/>
  <c r="S75" i="22"/>
  <c r="S74" i="22" s="1"/>
  <c r="P75" i="22"/>
  <c r="P89" i="22" s="1"/>
  <c r="O75" i="22"/>
  <c r="O89" i="22" s="1"/>
  <c r="M75" i="22"/>
  <c r="M89" i="22" s="1"/>
  <c r="K75" i="22"/>
  <c r="K74" i="22" s="1"/>
  <c r="J75" i="22"/>
  <c r="J89" i="22" s="1"/>
  <c r="AR102" i="16"/>
  <c r="AS86" i="16"/>
  <c r="AS98" i="16" s="1"/>
  <c r="AR86" i="16"/>
  <c r="AR98" i="16" s="1"/>
  <c r="AI86" i="16"/>
  <c r="AI98" i="16" s="1"/>
  <c r="AS102" i="16"/>
  <c r="AI102" i="16"/>
  <c r="V102" i="16"/>
  <c r="U102" i="16"/>
  <c r="T102" i="16"/>
  <c r="S102" i="16"/>
  <c r="O102" i="16"/>
  <c r="M102" i="16"/>
  <c r="K102" i="16"/>
  <c r="J102" i="16"/>
  <c r="D102" i="16"/>
  <c r="J77" i="26"/>
  <c r="J90" i="26" s="1"/>
  <c r="K77" i="26"/>
  <c r="K90" i="26" s="1"/>
  <c r="L77" i="26"/>
  <c r="M77" i="26"/>
  <c r="M90" i="26" s="1"/>
  <c r="N77" i="26"/>
  <c r="O77" i="26"/>
  <c r="O90" i="26" s="1"/>
  <c r="P77" i="26"/>
  <c r="P90" i="26" s="1"/>
  <c r="Q77" i="26"/>
  <c r="R77" i="26"/>
  <c r="S77" i="26"/>
  <c r="S90" i="26" s="1"/>
  <c r="T77" i="26"/>
  <c r="T90" i="26" s="1"/>
  <c r="U77" i="26"/>
  <c r="U90" i="26" s="1"/>
  <c r="V77" i="26"/>
  <c r="V90" i="26" s="1"/>
  <c r="W77" i="26"/>
  <c r="X77" i="26"/>
  <c r="Y77" i="26"/>
  <c r="Z77" i="26"/>
  <c r="AA77" i="26"/>
  <c r="AB77" i="26"/>
  <c r="AC77" i="26"/>
  <c r="AD77" i="26"/>
  <c r="AE77" i="26"/>
  <c r="AF77" i="26"/>
  <c r="AG77" i="26"/>
  <c r="AH77" i="26"/>
  <c r="AI77" i="26"/>
  <c r="AI90" i="26" s="1"/>
  <c r="AJ77" i="26"/>
  <c r="AK77" i="26"/>
  <c r="AL77" i="26"/>
  <c r="AM77" i="26"/>
  <c r="AN77" i="26"/>
  <c r="AO77" i="26"/>
  <c r="AP77" i="26"/>
  <c r="AQ77" i="26"/>
  <c r="AR77" i="26"/>
  <c r="AS77" i="26"/>
  <c r="D77" i="26"/>
  <c r="D90" i="26" s="1"/>
  <c r="R7" i="34" l="1"/>
  <c r="P7" i="37"/>
  <c r="P15" i="37" s="1"/>
  <c r="Q7" i="37"/>
  <c r="M10" i="40"/>
  <c r="M13" i="40" s="1"/>
  <c r="M38" i="31" s="1" a="1"/>
  <c r="M38" i="31" s="1"/>
  <c r="O13" i="40"/>
  <c r="O38" i="31" s="1" a="1"/>
  <c r="O38" i="31" s="1"/>
  <c r="E10" i="40"/>
  <c r="E9" i="40"/>
  <c r="E11" i="40" s="1"/>
  <c r="D13" i="40"/>
  <c r="D38" i="31" s="1" a="1"/>
  <c r="D38" i="31" s="1"/>
  <c r="J74" i="22"/>
  <c r="P74" i="22"/>
  <c r="V74" i="22"/>
  <c r="K89" i="22"/>
  <c r="AS104" i="30"/>
  <c r="M74" i="22"/>
  <c r="U89" i="22"/>
  <c r="T82" i="30"/>
  <c r="T102" i="30" s="1"/>
  <c r="T70" i="30" s="1"/>
  <c r="P92" i="30"/>
  <c r="P97" i="30" s="1"/>
  <c r="P101" i="30" s="1"/>
  <c r="P106" i="30" s="1"/>
  <c r="P72" i="30" s="1"/>
  <c r="V101" i="30"/>
  <c r="V106" i="30" s="1"/>
  <c r="V72" i="30" s="1"/>
  <c r="AI101" i="30"/>
  <c r="AI106" i="30" s="1"/>
  <c r="AI72" i="30" s="1"/>
  <c r="L69" i="5"/>
  <c r="P104" i="30"/>
  <c r="P69" i="30" s="1"/>
  <c r="T90" i="30"/>
  <c r="T92" i="30" s="1"/>
  <c r="T97" i="30" s="1"/>
  <c r="T101" i="30" s="1"/>
  <c r="T106" i="30" s="1"/>
  <c r="T72" i="30" s="1"/>
  <c r="F93" i="5"/>
  <c r="L93" i="5"/>
  <c r="O74" i="22"/>
  <c r="S101" i="30"/>
  <c r="S106" i="30" s="1"/>
  <c r="S72" i="30" s="1"/>
  <c r="K82" i="30"/>
  <c r="K102" i="30" s="1"/>
  <c r="K70" i="30" s="1"/>
  <c r="K83" i="30"/>
  <c r="K103" i="30" s="1"/>
  <c r="K71" i="30" s="1"/>
  <c r="M90" i="30"/>
  <c r="M92" i="30" s="1"/>
  <c r="M97" i="30" s="1"/>
  <c r="M101" i="30" s="1"/>
  <c r="AR101" i="30"/>
  <c r="G27" i="5"/>
  <c r="E93" i="5"/>
  <c r="H27" i="5"/>
  <c r="M69" i="5"/>
  <c r="F27" i="5"/>
  <c r="E27" i="5"/>
  <c r="P27" i="5"/>
  <c r="G91" i="5"/>
  <c r="O91" i="5" s="1"/>
  <c r="O93" i="5" s="1"/>
  <c r="O56" i="5"/>
  <c r="N69" i="5"/>
  <c r="P56" i="5"/>
  <c r="O69" i="5"/>
  <c r="F91" i="5"/>
  <c r="N91" i="5" s="1"/>
  <c r="N93" i="5" s="1"/>
  <c r="N56" i="5"/>
  <c r="P69" i="5"/>
  <c r="P93" i="5"/>
  <c r="M27" i="5"/>
  <c r="M93" i="5"/>
  <c r="N27" i="5"/>
  <c r="D13" i="1" s="1"/>
  <c r="G93" i="5"/>
  <c r="O27" i="5"/>
  <c r="D19" i="1" s="1"/>
  <c r="D93" i="5"/>
  <c r="H93" i="5"/>
  <c r="M56" i="5"/>
  <c r="L27" i="5"/>
  <c r="L56" i="5"/>
  <c r="AR106" i="30"/>
  <c r="AR72" i="30" s="1"/>
  <c r="AR103" i="30"/>
  <c r="AR71" i="30" s="1"/>
  <c r="AR102" i="30"/>
  <c r="AR70" i="30" s="1"/>
  <c r="AR104" i="30"/>
  <c r="AR69" i="30" s="1"/>
  <c r="D82" i="30"/>
  <c r="O82" i="30"/>
  <c r="M83" i="30"/>
  <c r="T83" i="30"/>
  <c r="T103" i="30" s="1"/>
  <c r="T71" i="30" s="1"/>
  <c r="K84" i="30"/>
  <c r="K104" i="30" s="1"/>
  <c r="K69" i="30" s="1"/>
  <c r="S84" i="30"/>
  <c r="S104" i="30" s="1"/>
  <c r="S69" i="30" s="1"/>
  <c r="D90" i="30"/>
  <c r="D92" i="30" s="1"/>
  <c r="D97" i="30" s="1"/>
  <c r="D101" i="30" s="1"/>
  <c r="O90" i="30"/>
  <c r="O92" i="30" s="1"/>
  <c r="O97" i="30" s="1"/>
  <c r="O101" i="30" s="1"/>
  <c r="O106" i="30" s="1"/>
  <c r="O72" i="30" s="1"/>
  <c r="S83" i="30"/>
  <c r="S103" i="30" s="1"/>
  <c r="S71" i="30" s="1"/>
  <c r="J84" i="30"/>
  <c r="U74" i="30"/>
  <c r="J82" i="30"/>
  <c r="D83" i="30"/>
  <c r="O83" i="30"/>
  <c r="J90" i="30"/>
  <c r="J92" i="30" s="1"/>
  <c r="J97" i="30" s="1"/>
  <c r="J101" i="30" s="1"/>
  <c r="S82" i="30"/>
  <c r="S102" i="30" s="1"/>
  <c r="S70" i="30" s="1"/>
  <c r="Q15" i="37" l="1"/>
  <c r="R7" i="37"/>
  <c r="E13" i="40"/>
  <c r="E38" i="31" s="1" a="1"/>
  <c r="E38" i="31" s="1"/>
  <c r="M106" i="30"/>
  <c r="M72" i="30" s="1"/>
  <c r="M102" i="30"/>
  <c r="M70" i="30" s="1"/>
  <c r="M104" i="30"/>
  <c r="M69" i="30" s="1"/>
  <c r="AI103" i="30"/>
  <c r="AI71" i="30" s="1"/>
  <c r="M103" i="30"/>
  <c r="M71" i="30" s="1"/>
  <c r="AI104" i="30"/>
  <c r="AI69" i="30" s="1"/>
  <c r="AI102" i="30"/>
  <c r="AI70" i="30" s="1"/>
  <c r="T104" i="30"/>
  <c r="T69" i="30" s="1"/>
  <c r="O104" i="30"/>
  <c r="O69" i="30" s="1"/>
  <c r="V104" i="30"/>
  <c r="V69" i="30" s="1"/>
  <c r="J106" i="30"/>
  <c r="J72" i="30" s="1"/>
  <c r="J103" i="30"/>
  <c r="J71" i="30" s="1"/>
  <c r="D106" i="30"/>
  <c r="D72" i="30" s="1"/>
  <c r="D104" i="30"/>
  <c r="D69" i="30" s="1"/>
  <c r="D103" i="30"/>
  <c r="D71" i="30" s="1"/>
  <c r="J102" i="30"/>
  <c r="J70" i="30" s="1"/>
  <c r="U84" i="30"/>
  <c r="U90" i="30"/>
  <c r="U92" i="30" s="1"/>
  <c r="U97" i="30" s="1"/>
  <c r="U101" i="30" s="1"/>
  <c r="U106" i="30" s="1"/>
  <c r="U72" i="30" s="1"/>
  <c r="D102" i="30"/>
  <c r="D70" i="30" s="1"/>
  <c r="O103" i="30"/>
  <c r="O71" i="30" s="1"/>
  <c r="J104" i="30"/>
  <c r="J69" i="30" s="1"/>
  <c r="O102" i="30"/>
  <c r="O70" i="30" s="1"/>
  <c r="U104" i="30" l="1"/>
  <c r="U69" i="30" s="1"/>
  <c r="V86" i="16" l="1"/>
  <c r="V98" i="16" s="1"/>
  <c r="O23" i="17" s="1"/>
  <c r="U86" i="16"/>
  <c r="U98" i="16" s="1"/>
  <c r="O22" i="17" s="1"/>
  <c r="T86" i="16"/>
  <c r="T98" i="16" s="1"/>
  <c r="O21" i="17" s="1"/>
  <c r="S86" i="16"/>
  <c r="S98" i="16" s="1"/>
  <c r="O20" i="17" s="1"/>
  <c r="P86" i="16"/>
  <c r="P98" i="16" s="1"/>
  <c r="O86" i="16"/>
  <c r="O98" i="16" s="1"/>
  <c r="O16" i="17" s="1"/>
  <c r="M86" i="16"/>
  <c r="M98" i="16" s="1"/>
  <c r="O14" i="17" s="1"/>
  <c r="K86" i="16"/>
  <c r="K98" i="16" s="1"/>
  <c r="O12" i="17" s="1"/>
  <c r="J86" i="16"/>
  <c r="J98" i="16" s="1"/>
  <c r="O11" i="17" s="1"/>
  <c r="P90" i="7"/>
  <c r="P91" i="7"/>
  <c r="P104" i="7" s="1"/>
  <c r="D91" i="7"/>
  <c r="D104" i="7" s="1"/>
  <c r="J91" i="7"/>
  <c r="J104" i="7" s="1"/>
  <c r="K91" i="7"/>
  <c r="K104" i="7" s="1"/>
  <c r="M91" i="7"/>
  <c r="M104" i="7" s="1"/>
  <c r="O91" i="7"/>
  <c r="O104" i="7" s="1"/>
  <c r="S91" i="7"/>
  <c r="S104" i="7" s="1"/>
  <c r="T91" i="7"/>
  <c r="T104" i="7" s="1"/>
  <c r="U91" i="7"/>
  <c r="U104" i="7" s="1"/>
  <c r="V91" i="7"/>
  <c r="V104" i="7" s="1"/>
  <c r="J32" i="1" l="1"/>
  <c r="I53" i="14" s="1"/>
  <c r="C51" i="14"/>
  <c r="D51" i="14"/>
  <c r="E51" i="14"/>
  <c r="F51" i="14"/>
  <c r="J49" i="14"/>
  <c r="K49" i="14"/>
  <c r="L49" i="14"/>
  <c r="A52" i="14"/>
  <c r="C41" i="14"/>
  <c r="E41" i="14"/>
  <c r="F41" i="14"/>
  <c r="H41" i="14"/>
  <c r="J41" i="14"/>
  <c r="C45" i="14"/>
  <c r="D45" i="14"/>
  <c r="E45" i="14"/>
  <c r="F45" i="14"/>
  <c r="H45" i="14"/>
  <c r="J45" i="14"/>
  <c r="K45" i="14"/>
  <c r="L45" i="14"/>
  <c r="C48" i="14"/>
  <c r="J47" i="14"/>
  <c r="K47" i="14"/>
  <c r="L47" i="14"/>
  <c r="B54" i="14"/>
  <c r="C54" i="14"/>
  <c r="D54" i="14"/>
  <c r="E54" i="14"/>
  <c r="F54" i="14"/>
  <c r="G54" i="14"/>
  <c r="H54" i="14"/>
  <c r="I54" i="14"/>
  <c r="J54" i="14"/>
  <c r="K54" i="14"/>
  <c r="L54" i="14"/>
  <c r="A54" i="14"/>
  <c r="A53" i="14"/>
  <c r="C40" i="14"/>
  <c r="D40" i="14"/>
  <c r="E40" i="14"/>
  <c r="F40" i="14"/>
  <c r="G40" i="14"/>
  <c r="H40" i="14"/>
  <c r="I40" i="14"/>
  <c r="J40" i="14"/>
  <c r="K40" i="14"/>
  <c r="L40" i="14"/>
  <c r="B40" i="14"/>
  <c r="CY54" i="13"/>
  <c r="CY56" i="13" s="1"/>
  <c r="DA54" i="13"/>
  <c r="DA56" i="13" s="1"/>
  <c r="DB54" i="13"/>
  <c r="DD54" i="13"/>
  <c r="DE54" i="13"/>
  <c r="DE56" i="13" s="1"/>
  <c r="DF54" i="13"/>
  <c r="DF56" i="13" s="1"/>
  <c r="DG54" i="13"/>
  <c r="DH54" i="13"/>
  <c r="DI54" i="13"/>
  <c r="DI56" i="13" s="1"/>
  <c r="DJ54" i="13"/>
  <c r="DJ56" i="13" s="1"/>
  <c r="DK54" i="13"/>
  <c r="DL54" i="13"/>
  <c r="DM54" i="13"/>
  <c r="DM56" i="13" s="1"/>
  <c r="DN54" i="13"/>
  <c r="DO54" i="13"/>
  <c r="DP54" i="13"/>
  <c r="DQ54" i="13"/>
  <c r="DR54" i="13"/>
  <c r="CY55" i="13"/>
  <c r="CZ55" i="13"/>
  <c r="DA55" i="13"/>
  <c r="DB55" i="13"/>
  <c r="DB56" i="13" s="1"/>
  <c r="DC55" i="13"/>
  <c r="DD55" i="13"/>
  <c r="DE55" i="13"/>
  <c r="DF55" i="13"/>
  <c r="DG55" i="13"/>
  <c r="DH55" i="13"/>
  <c r="DI55" i="13"/>
  <c r="DJ55" i="13"/>
  <c r="DK55" i="13"/>
  <c r="DL55" i="13"/>
  <c r="DM55" i="13"/>
  <c r="DN55" i="13"/>
  <c r="DO55" i="13"/>
  <c r="DO56" i="13" s="1"/>
  <c r="DP55" i="13"/>
  <c r="DQ55" i="13"/>
  <c r="DQ56" i="13" s="1"/>
  <c r="DR55" i="13"/>
  <c r="DR56" i="13" s="1"/>
  <c r="DD56" i="13"/>
  <c r="DG56" i="13"/>
  <c r="DH56" i="13"/>
  <c r="DK56" i="13"/>
  <c r="DL56" i="13"/>
  <c r="CX55" i="13"/>
  <c r="CX54" i="13"/>
  <c r="D7" i="11"/>
  <c r="E7" i="11"/>
  <c r="F7" i="11"/>
  <c r="G7" i="11"/>
  <c r="H7" i="11"/>
  <c r="C7" i="11"/>
  <c r="DP56" i="13" l="1"/>
  <c r="CX56" i="13"/>
  <c r="DN56" i="13"/>
  <c r="E38" i="28" l="1"/>
  <c r="E37" i="28"/>
  <c r="R45" i="28"/>
  <c r="D45" i="28"/>
  <c r="Q43" i="28"/>
  <c r="P43" i="28"/>
  <c r="Q42" i="28"/>
  <c r="P42" i="28"/>
  <c r="Q41" i="28"/>
  <c r="P41" i="28"/>
  <c r="Q40" i="28"/>
  <c r="L40" i="28"/>
  <c r="Z40" i="28" s="1"/>
  <c r="K40" i="28"/>
  <c r="Y40" i="28" s="1"/>
  <c r="H40" i="28"/>
  <c r="V40" i="28" s="1"/>
  <c r="Z39" i="28"/>
  <c r="Y39" i="28"/>
  <c r="Q39" i="28"/>
  <c r="L39" i="28"/>
  <c r="K39" i="28"/>
  <c r="H39" i="28"/>
  <c r="V39" i="28" s="1"/>
  <c r="Z38" i="28"/>
  <c r="Q38" i="28"/>
  <c r="L38" i="28"/>
  <c r="K38" i="28"/>
  <c r="Y38" i="28" s="1"/>
  <c r="J38" i="28"/>
  <c r="X38" i="28" s="1"/>
  <c r="H38" i="28"/>
  <c r="V38" i="28" s="1"/>
  <c r="F38" i="28"/>
  <c r="T38" i="28" s="1"/>
  <c r="Q37" i="28"/>
  <c r="L37" i="28"/>
  <c r="Z37" i="28" s="1"/>
  <c r="K37" i="28"/>
  <c r="J37" i="28"/>
  <c r="X37" i="28" s="1"/>
  <c r="H37" i="28"/>
  <c r="V37" i="28" s="1"/>
  <c r="F37" i="28"/>
  <c r="T37" i="28" s="1"/>
  <c r="R32" i="28"/>
  <c r="D32" i="28"/>
  <c r="Q30" i="28"/>
  <c r="P30" i="28"/>
  <c r="L30" i="28"/>
  <c r="Z30" i="28" s="1"/>
  <c r="Z29" i="28"/>
  <c r="Q29" i="28"/>
  <c r="P29" i="28"/>
  <c r="L29" i="28"/>
  <c r="Q28" i="28"/>
  <c r="P28" i="28"/>
  <c r="L28" i="28"/>
  <c r="Z28" i="28" s="1"/>
  <c r="H28" i="28"/>
  <c r="V28" i="28" s="1"/>
  <c r="Q27" i="28"/>
  <c r="L27" i="28"/>
  <c r="Z27" i="28" s="1"/>
  <c r="K27" i="28"/>
  <c r="Y27" i="28" s="1"/>
  <c r="H27" i="28"/>
  <c r="V27" i="28" s="1"/>
  <c r="Q26" i="28"/>
  <c r="L26" i="28"/>
  <c r="Z26" i="28" s="1"/>
  <c r="K26" i="28"/>
  <c r="Y26" i="28" s="1"/>
  <c r="H26" i="28"/>
  <c r="V26" i="28" s="1"/>
  <c r="Q25" i="28"/>
  <c r="L25" i="28"/>
  <c r="Z25" i="28" s="1"/>
  <c r="K25" i="28"/>
  <c r="Y25" i="28" s="1"/>
  <c r="H25" i="28"/>
  <c r="V25" i="28" s="1"/>
  <c r="Q24" i="28"/>
  <c r="L24" i="28"/>
  <c r="K24" i="28"/>
  <c r="Y24" i="28" s="1"/>
  <c r="H24" i="28"/>
  <c r="V24" i="28" s="1"/>
  <c r="Q23" i="28"/>
  <c r="L23" i="28"/>
  <c r="Z23" i="28" s="1"/>
  <c r="K23" i="28"/>
  <c r="H23" i="28"/>
  <c r="V23" i="28" s="1"/>
  <c r="R18" i="28"/>
  <c r="D18" i="28"/>
  <c r="Q16" i="28"/>
  <c r="L16" i="28"/>
  <c r="Z16" i="28" s="1"/>
  <c r="K16" i="28"/>
  <c r="Y16" i="28" s="1"/>
  <c r="Q15" i="28"/>
  <c r="L15" i="28"/>
  <c r="Z15" i="28" s="1"/>
  <c r="K15" i="28"/>
  <c r="Y15" i="28" s="1"/>
  <c r="H15" i="28"/>
  <c r="V15" i="28" s="1"/>
  <c r="Z14" i="28"/>
  <c r="Y14" i="28"/>
  <c r="Q14" i="28"/>
  <c r="L14" i="28"/>
  <c r="K14" i="28"/>
  <c r="H14" i="28"/>
  <c r="V14" i="28" s="1"/>
  <c r="G14" i="28"/>
  <c r="U14" i="28" s="1"/>
  <c r="Z13" i="28"/>
  <c r="Q13" i="28"/>
  <c r="L13" i="28"/>
  <c r="K13" i="28"/>
  <c r="Y13" i="28" s="1"/>
  <c r="H13" i="28"/>
  <c r="V13" i="28" s="1"/>
  <c r="Q12" i="28"/>
  <c r="P12" i="28"/>
  <c r="L12" i="28"/>
  <c r="Z12" i="28" s="1"/>
  <c r="P11" i="28"/>
  <c r="L11" i="28"/>
  <c r="Z11" i="28" s="1"/>
  <c r="L10" i="28"/>
  <c r="Z10" i="28" s="1"/>
  <c r="K10" i="28"/>
  <c r="Y10" i="28" s="1"/>
  <c r="H10" i="28"/>
  <c r="V10" i="28" s="1"/>
  <c r="L9" i="28"/>
  <c r="Z9" i="28" s="1"/>
  <c r="K9" i="28"/>
  <c r="Y9" i="28" s="1"/>
  <c r="H9" i="28"/>
  <c r="V9" i="28" s="1"/>
  <c r="L8" i="28"/>
  <c r="Z8" i="28" s="1"/>
  <c r="K8" i="28"/>
  <c r="Y8" i="28" s="1"/>
  <c r="H8" i="28"/>
  <c r="V8" i="28" s="1"/>
  <c r="L7" i="28"/>
  <c r="Z7" i="28" s="1"/>
  <c r="K7" i="28"/>
  <c r="Y7" i="28" s="1"/>
  <c r="H7" i="28"/>
  <c r="V7" i="28" s="1"/>
  <c r="L6" i="28"/>
  <c r="Z6" i="28" s="1"/>
  <c r="K6" i="28"/>
  <c r="Y6" i="28" s="1"/>
  <c r="H6" i="28"/>
  <c r="V6" i="28" s="1"/>
  <c r="L5" i="28"/>
  <c r="Z5" i="28" s="1"/>
  <c r="K5" i="28"/>
  <c r="Y5" i="28" s="1"/>
  <c r="H5" i="28"/>
  <c r="V5" i="28" s="1"/>
  <c r="L4" i="28"/>
  <c r="Z4" i="28" s="1"/>
  <c r="K4" i="28"/>
  <c r="Y4" i="28" s="1"/>
  <c r="H4" i="28"/>
  <c r="V4" i="28" s="1"/>
  <c r="G55" i="13"/>
  <c r="H55" i="13"/>
  <c r="I55" i="13"/>
  <c r="J55" i="13"/>
  <c r="K55" i="13"/>
  <c r="L55" i="13"/>
  <c r="M55" i="13"/>
  <c r="N55" i="13"/>
  <c r="O55" i="13"/>
  <c r="P55" i="13"/>
  <c r="Q55" i="13"/>
  <c r="R55" i="13"/>
  <c r="S55" i="13"/>
  <c r="T55" i="13"/>
  <c r="U55" i="13"/>
  <c r="V55" i="13"/>
  <c r="W55" i="13"/>
  <c r="X55" i="13"/>
  <c r="Y55" i="13"/>
  <c r="Z55" i="13"/>
  <c r="AA55" i="13"/>
  <c r="AB55" i="13"/>
  <c r="AC55" i="13"/>
  <c r="AD55" i="13"/>
  <c r="AE55" i="13"/>
  <c r="AF55" i="13"/>
  <c r="AG55" i="13"/>
  <c r="AH55" i="13"/>
  <c r="AI55" i="13"/>
  <c r="AJ55" i="13"/>
  <c r="AK55" i="13"/>
  <c r="AL55" i="13"/>
  <c r="AM55" i="13"/>
  <c r="AN55" i="13"/>
  <c r="AO55" i="13"/>
  <c r="AP55" i="13"/>
  <c r="AQ55" i="13"/>
  <c r="AR55" i="13"/>
  <c r="AS55" i="13"/>
  <c r="AT55" i="13"/>
  <c r="AU55" i="13"/>
  <c r="AV55" i="13"/>
  <c r="AW55" i="13"/>
  <c r="AX55" i="13"/>
  <c r="AY55" i="13"/>
  <c r="AZ55" i="13"/>
  <c r="BA55" i="13"/>
  <c r="BB55" i="13"/>
  <c r="BC55" i="13"/>
  <c r="BD55" i="13"/>
  <c r="BE55" i="13"/>
  <c r="BF55" i="13"/>
  <c r="BG55" i="13"/>
  <c r="BH55" i="13"/>
  <c r="BI55" i="13"/>
  <c r="BJ55" i="13"/>
  <c r="BK55" i="13"/>
  <c r="BL55" i="13"/>
  <c r="BM55" i="13"/>
  <c r="BN55" i="13"/>
  <c r="BO55" i="13"/>
  <c r="BP55" i="13"/>
  <c r="BQ55" i="13"/>
  <c r="BR55" i="13"/>
  <c r="BS55" i="13"/>
  <c r="BT55" i="13"/>
  <c r="BU55" i="13"/>
  <c r="BV55" i="13"/>
  <c r="BW55" i="13"/>
  <c r="BX55" i="13"/>
  <c r="BY55" i="13"/>
  <c r="BZ55" i="13"/>
  <c r="CA55" i="13"/>
  <c r="CB55" i="13"/>
  <c r="CC55" i="13"/>
  <c r="CD55" i="13"/>
  <c r="CE55" i="13"/>
  <c r="CF55" i="13"/>
  <c r="CG55" i="13"/>
  <c r="CH55" i="13"/>
  <c r="CI55" i="13"/>
  <c r="CJ55" i="13"/>
  <c r="CK55" i="13"/>
  <c r="CL55" i="13"/>
  <c r="CM55" i="13"/>
  <c r="CN55" i="13"/>
  <c r="CO55" i="13"/>
  <c r="CP55" i="13"/>
  <c r="CQ55" i="13"/>
  <c r="CR55" i="13"/>
  <c r="CS55" i="13"/>
  <c r="CT55" i="13"/>
  <c r="F55" i="13"/>
  <c r="G54" i="13"/>
  <c r="H54" i="13"/>
  <c r="I54" i="13"/>
  <c r="J54" i="13"/>
  <c r="J56" i="13" s="1"/>
  <c r="J57" i="13" s="1"/>
  <c r="J58" i="13" s="1"/>
  <c r="K54" i="13"/>
  <c r="L54" i="13"/>
  <c r="M54" i="13"/>
  <c r="N54" i="13"/>
  <c r="N56" i="13" s="1"/>
  <c r="N57" i="13" s="1"/>
  <c r="N58" i="13" s="1"/>
  <c r="O54" i="13"/>
  <c r="P54" i="13"/>
  <c r="Q54" i="13"/>
  <c r="R54" i="13"/>
  <c r="R56" i="13" s="1"/>
  <c r="R57" i="13" s="1"/>
  <c r="R58" i="13" s="1"/>
  <c r="S54" i="13"/>
  <c r="T54" i="13"/>
  <c r="U54" i="13"/>
  <c r="V54" i="13"/>
  <c r="V56" i="13" s="1"/>
  <c r="V57" i="13" s="1"/>
  <c r="V58" i="13" s="1"/>
  <c r="W54" i="13"/>
  <c r="X54" i="13"/>
  <c r="Y54" i="13"/>
  <c r="Z54" i="13"/>
  <c r="Z56" i="13" s="1"/>
  <c r="Z57" i="13" s="1"/>
  <c r="Z58" i="13" s="1"/>
  <c r="I4" i="28" s="1"/>
  <c r="AA54" i="13"/>
  <c r="AB54" i="13"/>
  <c r="AC54" i="13"/>
  <c r="AD54" i="13"/>
  <c r="AD56" i="13" s="1"/>
  <c r="AD57" i="13" s="1"/>
  <c r="AD58" i="13" s="1"/>
  <c r="AE54" i="13"/>
  <c r="AF54" i="13"/>
  <c r="AG54" i="13"/>
  <c r="AH54" i="13"/>
  <c r="AH56" i="13" s="1"/>
  <c r="AH57" i="13" s="1"/>
  <c r="AH58" i="13" s="1"/>
  <c r="AI54" i="13"/>
  <c r="AJ54" i="13"/>
  <c r="AK54" i="13"/>
  <c r="AL54" i="13"/>
  <c r="AL56" i="13" s="1"/>
  <c r="AL57" i="13" s="1"/>
  <c r="AL58" i="13" s="1"/>
  <c r="AM54" i="13"/>
  <c r="AN54" i="13"/>
  <c r="AO54" i="13"/>
  <c r="AP54" i="13"/>
  <c r="AP56" i="13" s="1"/>
  <c r="AP57" i="13" s="1"/>
  <c r="AP58" i="13" s="1"/>
  <c r="AQ54" i="13"/>
  <c r="AR54" i="13"/>
  <c r="AS54" i="13"/>
  <c r="AT54" i="13"/>
  <c r="AT56" i="13" s="1"/>
  <c r="AT57" i="13" s="1"/>
  <c r="AT58" i="13" s="1"/>
  <c r="I8" i="28" s="1"/>
  <c r="AU54" i="13"/>
  <c r="AV54" i="13"/>
  <c r="AW54" i="13"/>
  <c r="AX54" i="13"/>
  <c r="AX56" i="13" s="1"/>
  <c r="AX57" i="13" s="1"/>
  <c r="AX58" i="13" s="1"/>
  <c r="AY54" i="13"/>
  <c r="AZ54" i="13"/>
  <c r="BA54" i="13"/>
  <c r="BB54" i="13"/>
  <c r="BB56" i="13" s="1"/>
  <c r="BB57" i="13" s="1"/>
  <c r="BB58" i="13" s="1"/>
  <c r="BC54" i="13"/>
  <c r="BD54" i="13"/>
  <c r="BE54" i="13"/>
  <c r="BF54" i="13"/>
  <c r="BF56" i="13" s="1"/>
  <c r="BF57" i="13" s="1"/>
  <c r="J28" i="28" s="1"/>
  <c r="X28" i="28" s="1"/>
  <c r="BG54" i="13"/>
  <c r="BH54" i="13"/>
  <c r="BI54" i="13"/>
  <c r="BJ54" i="13"/>
  <c r="BJ56" i="13" s="1"/>
  <c r="BJ57" i="13" s="1"/>
  <c r="BK54" i="13"/>
  <c r="BL54" i="13"/>
  <c r="BM54" i="13"/>
  <c r="BN54" i="13"/>
  <c r="BN56" i="13" s="1"/>
  <c r="BN57" i="13" s="1"/>
  <c r="BN58" i="13" s="1"/>
  <c r="BO54" i="13"/>
  <c r="BP54" i="13"/>
  <c r="BQ54" i="13"/>
  <c r="BR54" i="13"/>
  <c r="BR56" i="13" s="1"/>
  <c r="BR57" i="13" s="1"/>
  <c r="BR58" i="13" s="1"/>
  <c r="BS54" i="13"/>
  <c r="BT54" i="13"/>
  <c r="BU54" i="13"/>
  <c r="BV54" i="13"/>
  <c r="BV56" i="13" s="1"/>
  <c r="BV57" i="13" s="1"/>
  <c r="BV58" i="13" s="1"/>
  <c r="BW54" i="13"/>
  <c r="BX54" i="13"/>
  <c r="BY54" i="13"/>
  <c r="BZ54" i="13"/>
  <c r="BZ56" i="13" s="1"/>
  <c r="BZ57" i="13" s="1"/>
  <c r="BZ58" i="13" s="1"/>
  <c r="CA54" i="13"/>
  <c r="CB54" i="13"/>
  <c r="CC54" i="13"/>
  <c r="CD54" i="13"/>
  <c r="CD56" i="13" s="1"/>
  <c r="CD57" i="13" s="1"/>
  <c r="CD58" i="13" s="1"/>
  <c r="I24" i="28" s="1"/>
  <c r="CE54" i="13"/>
  <c r="CF54" i="13"/>
  <c r="CG54" i="13"/>
  <c r="CH54" i="13"/>
  <c r="CH56" i="13" s="1"/>
  <c r="CH57" i="13" s="1"/>
  <c r="CH58" i="13" s="1"/>
  <c r="CI54" i="13"/>
  <c r="CJ54" i="13"/>
  <c r="CK54" i="13"/>
  <c r="CL54" i="13"/>
  <c r="CL56" i="13" s="1"/>
  <c r="CL57" i="13" s="1"/>
  <c r="CL58" i="13" s="1"/>
  <c r="CM54" i="13"/>
  <c r="CN54" i="13"/>
  <c r="CO54" i="13"/>
  <c r="CP54" i="13"/>
  <c r="CP56" i="13" s="1"/>
  <c r="CP57" i="13" s="1"/>
  <c r="CP58" i="13" s="1"/>
  <c r="CQ54" i="13"/>
  <c r="CR54" i="13"/>
  <c r="CS54" i="13"/>
  <c r="CT54" i="13"/>
  <c r="CT56" i="13" s="1"/>
  <c r="CT57" i="13" s="1"/>
  <c r="CT58" i="13" s="1"/>
  <c r="F54" i="13"/>
  <c r="G90" i="27"/>
  <c r="O90" i="27" s="1"/>
  <c r="G91" i="27"/>
  <c r="F88" i="27"/>
  <c r="N88" i="27" s="1"/>
  <c r="F47" i="27"/>
  <c r="C94" i="27"/>
  <c r="D92" i="27" s="1"/>
  <c r="L93" i="27"/>
  <c r="K93" i="27"/>
  <c r="L92" i="27"/>
  <c r="K92" i="27"/>
  <c r="O91" i="27"/>
  <c r="L91" i="27"/>
  <c r="K91" i="27"/>
  <c r="D91" i="27"/>
  <c r="L90" i="27"/>
  <c r="K90" i="27"/>
  <c r="D90" i="27"/>
  <c r="N89" i="27"/>
  <c r="L89" i="27"/>
  <c r="K89" i="27"/>
  <c r="E89" i="27"/>
  <c r="M89" i="27" s="1"/>
  <c r="H88" i="27"/>
  <c r="P88" i="27" s="1"/>
  <c r="H87" i="27"/>
  <c r="P87" i="27" s="1"/>
  <c r="D87" i="27"/>
  <c r="H86" i="27"/>
  <c r="P86" i="27" s="1"/>
  <c r="D86" i="27"/>
  <c r="H85" i="27"/>
  <c r="P85" i="27" s="1"/>
  <c r="H84" i="27"/>
  <c r="P84" i="27" s="1"/>
  <c r="H83" i="27"/>
  <c r="P83" i="27" s="1"/>
  <c r="D83" i="27"/>
  <c r="H82" i="27"/>
  <c r="P82" i="27" s="1"/>
  <c r="D82" i="27"/>
  <c r="P81" i="27"/>
  <c r="D81" i="27"/>
  <c r="H80" i="27"/>
  <c r="P80" i="27" s="1"/>
  <c r="H79" i="27"/>
  <c r="P79" i="27" s="1"/>
  <c r="L69" i="27"/>
  <c r="L68" i="27"/>
  <c r="L67" i="27"/>
  <c r="L66" i="27"/>
  <c r="L64" i="27"/>
  <c r="N56" i="27"/>
  <c r="M56" i="27"/>
  <c r="P55" i="27"/>
  <c r="O55" i="27"/>
  <c r="N55" i="27"/>
  <c r="M55" i="27"/>
  <c r="L55" i="27"/>
  <c r="P54" i="27"/>
  <c r="O54" i="27"/>
  <c r="N54" i="27"/>
  <c r="M54" i="27"/>
  <c r="L54" i="27"/>
  <c r="L51" i="27"/>
  <c r="P49" i="27"/>
  <c r="O49" i="27"/>
  <c r="N49" i="27"/>
  <c r="M49" i="27"/>
  <c r="L49" i="27"/>
  <c r="P48" i="27"/>
  <c r="O48" i="27"/>
  <c r="N48" i="27"/>
  <c r="M48" i="27"/>
  <c r="L48" i="27"/>
  <c r="P47" i="27"/>
  <c r="O47" i="27"/>
  <c r="N47" i="27"/>
  <c r="L47" i="27"/>
  <c r="G47" i="27"/>
  <c r="E47" i="27"/>
  <c r="L46" i="27"/>
  <c r="P45" i="27"/>
  <c r="O45" i="27"/>
  <c r="N45" i="27"/>
  <c r="M45" i="27"/>
  <c r="L45" i="27"/>
  <c r="P43" i="27"/>
  <c r="O43" i="27"/>
  <c r="N43" i="27"/>
  <c r="M43" i="27"/>
  <c r="L43" i="27"/>
  <c r="L41" i="27"/>
  <c r="P40" i="27"/>
  <c r="O40" i="27"/>
  <c r="N40" i="27"/>
  <c r="M40" i="27"/>
  <c r="L40" i="27"/>
  <c r="P39" i="27"/>
  <c r="O39" i="27"/>
  <c r="N39" i="27"/>
  <c r="M39" i="27"/>
  <c r="L39" i="27"/>
  <c r="P38" i="27"/>
  <c r="O38" i="27"/>
  <c r="N38" i="27"/>
  <c r="M38" i="27"/>
  <c r="L38" i="27"/>
  <c r="P37" i="27"/>
  <c r="O37" i="27"/>
  <c r="N37" i="27"/>
  <c r="M37" i="27"/>
  <c r="L37" i="27"/>
  <c r="P36" i="27"/>
  <c r="O36" i="27"/>
  <c r="N36" i="27"/>
  <c r="M36" i="27"/>
  <c r="L36" i="27"/>
  <c r="L35" i="27"/>
  <c r="H25" i="27"/>
  <c r="H24" i="27"/>
  <c r="L23" i="27"/>
  <c r="L53" i="27" s="1"/>
  <c r="H23" i="27"/>
  <c r="L22" i="27"/>
  <c r="L52" i="27" s="1"/>
  <c r="H22" i="27"/>
  <c r="L21" i="27"/>
  <c r="H21" i="27"/>
  <c r="L20" i="27"/>
  <c r="L50" i="27" s="1"/>
  <c r="H20" i="27"/>
  <c r="H19" i="27"/>
  <c r="H18" i="27"/>
  <c r="H16" i="27"/>
  <c r="H15" i="27"/>
  <c r="L14" i="27"/>
  <c r="H14" i="27"/>
  <c r="H13" i="27"/>
  <c r="L12" i="27"/>
  <c r="H12" i="27"/>
  <c r="L11" i="27"/>
  <c r="H11" i="27"/>
  <c r="H10" i="27"/>
  <c r="H9" i="27"/>
  <c r="H8" i="27"/>
  <c r="H7" i="27"/>
  <c r="H6" i="27"/>
  <c r="L5" i="27"/>
  <c r="H5" i="27"/>
  <c r="AR125" i="7"/>
  <c r="AS125" i="7"/>
  <c r="AR124" i="7"/>
  <c r="AR126" i="7" s="1"/>
  <c r="AR127" i="7" s="1"/>
  <c r="F91" i="27" s="1"/>
  <c r="N91" i="27" s="1"/>
  <c r="AS124" i="7"/>
  <c r="C124" i="7"/>
  <c r="AI125" i="7"/>
  <c r="V125" i="7"/>
  <c r="U125" i="7"/>
  <c r="T125" i="7"/>
  <c r="S125" i="7"/>
  <c r="P125" i="7"/>
  <c r="O125" i="7"/>
  <c r="M125" i="7"/>
  <c r="K125" i="7"/>
  <c r="J125" i="7"/>
  <c r="D125" i="7"/>
  <c r="AI89" i="7"/>
  <c r="AI124" i="7" s="1"/>
  <c r="V89" i="7"/>
  <c r="V124" i="7" s="1"/>
  <c r="U89" i="7"/>
  <c r="U124" i="7" s="1"/>
  <c r="T89" i="7"/>
  <c r="T124" i="7" s="1"/>
  <c r="S89" i="7"/>
  <c r="S124" i="7" s="1"/>
  <c r="P124" i="7"/>
  <c r="O89" i="7"/>
  <c r="O124" i="7" s="1"/>
  <c r="M89" i="7"/>
  <c r="M124" i="7" s="1"/>
  <c r="K89" i="7"/>
  <c r="K124" i="7" s="1"/>
  <c r="J89" i="7"/>
  <c r="J124" i="7" s="1"/>
  <c r="D124" i="7"/>
  <c r="AS90" i="7"/>
  <c r="AR90" i="7"/>
  <c r="AI90" i="7"/>
  <c r="V90" i="7"/>
  <c r="U90" i="7"/>
  <c r="T90" i="7"/>
  <c r="S90" i="7"/>
  <c r="O90" i="7"/>
  <c r="M90" i="7"/>
  <c r="K90" i="7"/>
  <c r="J90" i="7"/>
  <c r="D90"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D72" i="7"/>
  <c r="E72" i="7"/>
  <c r="E74" i="7" s="1"/>
  <c r="F72" i="7"/>
  <c r="F74" i="7" s="1"/>
  <c r="G72" i="7"/>
  <c r="G74" i="7" s="1"/>
  <c r="H72" i="7"/>
  <c r="I72" i="7"/>
  <c r="I74" i="7" s="1"/>
  <c r="J72" i="7"/>
  <c r="K72" i="7"/>
  <c r="K74" i="7" s="1"/>
  <c r="L72" i="7"/>
  <c r="M72" i="7"/>
  <c r="M74" i="7" s="1"/>
  <c r="N72" i="7"/>
  <c r="N74" i="7" s="1"/>
  <c r="O72" i="7"/>
  <c r="O74" i="7" s="1"/>
  <c r="P72" i="7"/>
  <c r="Q72" i="7"/>
  <c r="Q74" i="7" s="1"/>
  <c r="R72" i="7"/>
  <c r="S72" i="7"/>
  <c r="S74" i="7" s="1"/>
  <c r="T72" i="7"/>
  <c r="U72" i="7"/>
  <c r="U74" i="7" s="1"/>
  <c r="V72" i="7"/>
  <c r="W72" i="7"/>
  <c r="W74" i="7" s="1"/>
  <c r="X72" i="7"/>
  <c r="X74" i="7" s="1"/>
  <c r="Y72" i="7"/>
  <c r="Y74" i="7" s="1"/>
  <c r="Z72" i="7"/>
  <c r="Z74" i="7" s="1"/>
  <c r="AA72" i="7"/>
  <c r="AA74" i="7" s="1"/>
  <c r="AB72" i="7"/>
  <c r="AC72" i="7"/>
  <c r="AC74" i="7" s="1"/>
  <c r="AD72" i="7"/>
  <c r="AE72" i="7"/>
  <c r="AE74" i="7" s="1"/>
  <c r="AF72" i="7"/>
  <c r="AG72" i="7"/>
  <c r="AG74" i="7" s="1"/>
  <c r="AH72" i="7"/>
  <c r="AH74" i="7" s="1"/>
  <c r="AI72" i="7"/>
  <c r="AI74" i="7" s="1"/>
  <c r="AJ72" i="7"/>
  <c r="AK72" i="7"/>
  <c r="AK74" i="7" s="1"/>
  <c r="AL72" i="7"/>
  <c r="AM72" i="7"/>
  <c r="AM74" i="7" s="1"/>
  <c r="AN72" i="7"/>
  <c r="AO72" i="7"/>
  <c r="AO74" i="7" s="1"/>
  <c r="AP72" i="7"/>
  <c r="AP74" i="7" s="1"/>
  <c r="AQ72" i="7"/>
  <c r="AQ74" i="7" s="1"/>
  <c r="C72" i="7"/>
  <c r="D76" i="26"/>
  <c r="D75" i="26" s="1"/>
  <c r="AQ76" i="26"/>
  <c r="AP76" i="26"/>
  <c r="AO76" i="26"/>
  <c r="AN76" i="26"/>
  <c r="AM76" i="26"/>
  <c r="AL76" i="26"/>
  <c r="AK76" i="26"/>
  <c r="AJ76" i="26"/>
  <c r="AI76" i="26"/>
  <c r="AI75" i="26" s="1"/>
  <c r="AH76" i="26"/>
  <c r="AG76" i="26"/>
  <c r="AF76" i="26"/>
  <c r="AE76" i="26"/>
  <c r="AD76" i="26"/>
  <c r="AC76" i="26"/>
  <c r="AB76" i="26"/>
  <c r="AA76" i="26"/>
  <c r="Z76" i="26"/>
  <c r="Y76" i="26"/>
  <c r="X76" i="26"/>
  <c r="W76" i="26"/>
  <c r="V76" i="26"/>
  <c r="U76" i="26"/>
  <c r="U75" i="26" s="1"/>
  <c r="T76" i="26"/>
  <c r="T75" i="26" s="1"/>
  <c r="S76" i="26"/>
  <c r="S75" i="26" s="1"/>
  <c r="R76" i="26"/>
  <c r="Q76" i="26"/>
  <c r="P76" i="26"/>
  <c r="P75" i="26" s="1"/>
  <c r="O76" i="26"/>
  <c r="O75" i="26" s="1"/>
  <c r="N76" i="26"/>
  <c r="M76" i="26"/>
  <c r="M75" i="26" s="1"/>
  <c r="L76" i="26"/>
  <c r="K76" i="26"/>
  <c r="K75" i="26" s="1"/>
  <c r="J76" i="26"/>
  <c r="I76" i="26"/>
  <c r="H76" i="26"/>
  <c r="G76" i="26"/>
  <c r="F76" i="26"/>
  <c r="E76" i="26"/>
  <c r="E6" i="26"/>
  <c r="F6" i="26"/>
  <c r="G6" i="26"/>
  <c r="H6" i="26"/>
  <c r="I6" i="26"/>
  <c r="J6" i="26"/>
  <c r="K6" i="26"/>
  <c r="L6" i="26"/>
  <c r="M6" i="26"/>
  <c r="N6" i="26"/>
  <c r="O6" i="26"/>
  <c r="P6" i="26"/>
  <c r="Q6" i="26"/>
  <c r="R6" i="26"/>
  <c r="S6" i="26"/>
  <c r="T6" i="26"/>
  <c r="U6" i="26"/>
  <c r="V6" i="26"/>
  <c r="W6" i="26"/>
  <c r="X6" i="26"/>
  <c r="Y6" i="26"/>
  <c r="Z6" i="26"/>
  <c r="AA6" i="26"/>
  <c r="AB6" i="26"/>
  <c r="AC6" i="26"/>
  <c r="AD6" i="26"/>
  <c r="AE6" i="26"/>
  <c r="AF6" i="26"/>
  <c r="AG6" i="26"/>
  <c r="AH6" i="26"/>
  <c r="AI6" i="26"/>
  <c r="AJ6" i="26"/>
  <c r="AK6" i="26"/>
  <c r="AL6" i="26"/>
  <c r="AM6" i="26"/>
  <c r="AN6" i="26"/>
  <c r="AO6" i="26"/>
  <c r="AP6" i="26"/>
  <c r="AQ6" i="26"/>
  <c r="D6" i="26"/>
  <c r="D5" i="26" s="1"/>
  <c r="D27" i="26" s="1"/>
  <c r="P27" i="26"/>
  <c r="Q27" i="26"/>
  <c r="R27" i="26"/>
  <c r="S27" i="26"/>
  <c r="T27" i="26"/>
  <c r="U27" i="26"/>
  <c r="V27" i="26"/>
  <c r="W27" i="26"/>
  <c r="X27" i="26"/>
  <c r="Y27" i="26"/>
  <c r="Z27" i="26"/>
  <c r="AA27" i="26"/>
  <c r="AB27" i="26"/>
  <c r="AC27" i="26"/>
  <c r="AD27" i="26"/>
  <c r="AE27" i="26"/>
  <c r="AF27" i="26"/>
  <c r="AG27" i="26"/>
  <c r="AH27" i="26"/>
  <c r="AI27" i="26"/>
  <c r="AJ27" i="26"/>
  <c r="AK27" i="26"/>
  <c r="AL27" i="26"/>
  <c r="AM27" i="26"/>
  <c r="AN27" i="26"/>
  <c r="AO27" i="26"/>
  <c r="AP27" i="26"/>
  <c r="AQ27" i="26"/>
  <c r="E27" i="26"/>
  <c r="F27" i="26"/>
  <c r="G27" i="26"/>
  <c r="H27" i="26"/>
  <c r="I27" i="26"/>
  <c r="J27" i="26"/>
  <c r="K27" i="26"/>
  <c r="L27" i="26"/>
  <c r="M27" i="26"/>
  <c r="N27" i="26"/>
  <c r="O27" i="26"/>
  <c r="AR102" i="26"/>
  <c r="AI102" i="26"/>
  <c r="V102" i="26"/>
  <c r="U102" i="26"/>
  <c r="T102" i="26"/>
  <c r="S102" i="26"/>
  <c r="P102" i="26"/>
  <c r="O102" i="26"/>
  <c r="M102" i="26"/>
  <c r="K102" i="26"/>
  <c r="J102" i="26"/>
  <c r="D102" i="26"/>
  <c r="AS101" i="26"/>
  <c r="AR101" i="26"/>
  <c r="AI101" i="26"/>
  <c r="V101" i="26"/>
  <c r="U101" i="26"/>
  <c r="T101" i="26"/>
  <c r="S101" i="26"/>
  <c r="P101" i="26"/>
  <c r="O101" i="26"/>
  <c r="M101" i="26"/>
  <c r="K101" i="26"/>
  <c r="J101" i="26"/>
  <c r="D101" i="26"/>
  <c r="AS100" i="26"/>
  <c r="AR100" i="26"/>
  <c r="AI100" i="26"/>
  <c r="V100" i="26"/>
  <c r="U100" i="26"/>
  <c r="T100" i="26"/>
  <c r="S100" i="26"/>
  <c r="P100" i="26"/>
  <c r="O100" i="26"/>
  <c r="M100" i="26"/>
  <c r="K100" i="26"/>
  <c r="J100" i="26"/>
  <c r="D100" i="26"/>
  <c r="AS99" i="26"/>
  <c r="AR99" i="26"/>
  <c r="AI99" i="26"/>
  <c r="K93" i="26"/>
  <c r="J93" i="26"/>
  <c r="D93" i="26"/>
  <c r="AR80" i="26"/>
  <c r="AI80" i="26"/>
  <c r="T80" i="26"/>
  <c r="S80" i="26"/>
  <c r="O80" i="26"/>
  <c r="M80" i="26"/>
  <c r="K80" i="26"/>
  <c r="J80" i="26"/>
  <c r="D80" i="26"/>
  <c r="AR79" i="26"/>
  <c r="AI79" i="26"/>
  <c r="T79" i="26"/>
  <c r="S79" i="26"/>
  <c r="O79" i="26"/>
  <c r="M79" i="26"/>
  <c r="K79" i="26"/>
  <c r="J79" i="26"/>
  <c r="D79" i="26"/>
  <c r="AS76" i="26"/>
  <c r="AS75" i="26" s="1"/>
  <c r="AR76" i="26"/>
  <c r="AR75" i="26" s="1"/>
  <c r="L30" i="25"/>
  <c r="Z30" i="25" s="1"/>
  <c r="K30" i="25"/>
  <c r="L29" i="25"/>
  <c r="L16" i="25"/>
  <c r="L15" i="25"/>
  <c r="K15" i="25"/>
  <c r="Y15" i="25" s="1"/>
  <c r="J15" i="25"/>
  <c r="I15" i="25"/>
  <c r="H15" i="25"/>
  <c r="F15" i="25"/>
  <c r="T15" i="25" s="1"/>
  <c r="L14" i="25"/>
  <c r="Z14" i="25" s="1"/>
  <c r="K14" i="25"/>
  <c r="J14" i="25"/>
  <c r="H14" i="25"/>
  <c r="F14" i="25"/>
  <c r="L13" i="25"/>
  <c r="Z13" i="25" s="1"/>
  <c r="K13" i="25"/>
  <c r="Y13" i="25" s="1"/>
  <c r="J13" i="25"/>
  <c r="H13" i="25"/>
  <c r="G13" i="25"/>
  <c r="U13" i="25" s="1"/>
  <c r="F13" i="25"/>
  <c r="T13" i="25" s="1"/>
  <c r="L12" i="25"/>
  <c r="L11" i="25"/>
  <c r="K11" i="25"/>
  <c r="Y11" i="25" s="1"/>
  <c r="R45" i="25"/>
  <c r="D45" i="25"/>
  <c r="Q43" i="25"/>
  <c r="P43" i="25"/>
  <c r="Q42" i="25"/>
  <c r="P42" i="25"/>
  <c r="Q41" i="25"/>
  <c r="P41" i="25"/>
  <c r="Q40" i="25"/>
  <c r="L40" i="25"/>
  <c r="Z40" i="25" s="1"/>
  <c r="K40" i="25"/>
  <c r="Y40" i="25" s="1"/>
  <c r="J40" i="25"/>
  <c r="X40" i="25" s="1"/>
  <c r="H40" i="25"/>
  <c r="V40" i="25" s="1"/>
  <c r="F40" i="25"/>
  <c r="T40" i="25" s="1"/>
  <c r="Q39" i="25"/>
  <c r="L39" i="25"/>
  <c r="Z39" i="25" s="1"/>
  <c r="K39" i="25"/>
  <c r="Y39" i="25" s="1"/>
  <c r="J39" i="25"/>
  <c r="X39" i="25" s="1"/>
  <c r="H39" i="25"/>
  <c r="V39" i="25" s="1"/>
  <c r="F39" i="25"/>
  <c r="T39" i="25" s="1"/>
  <c r="Q38" i="25"/>
  <c r="L38" i="25"/>
  <c r="Z38" i="25" s="1"/>
  <c r="K38" i="25"/>
  <c r="Y38" i="25" s="1"/>
  <c r="J38" i="25"/>
  <c r="X38" i="25" s="1"/>
  <c r="H38" i="25"/>
  <c r="V38" i="25" s="1"/>
  <c r="F38" i="25"/>
  <c r="T38" i="25" s="1"/>
  <c r="Q37" i="25"/>
  <c r="L37" i="25"/>
  <c r="Z37" i="25" s="1"/>
  <c r="K37" i="25"/>
  <c r="J37" i="25"/>
  <c r="X37" i="25" s="1"/>
  <c r="H37" i="25"/>
  <c r="V37" i="25" s="1"/>
  <c r="F37" i="25"/>
  <c r="T37" i="25" s="1"/>
  <c r="R32" i="25"/>
  <c r="D32" i="25"/>
  <c r="Y30" i="25"/>
  <c r="Q30" i="25"/>
  <c r="P30" i="25"/>
  <c r="Q29" i="25"/>
  <c r="P29" i="25"/>
  <c r="Z29" i="25"/>
  <c r="Q28" i="25"/>
  <c r="P28" i="25"/>
  <c r="L28" i="25"/>
  <c r="Z28" i="25" s="1"/>
  <c r="J28" i="25"/>
  <c r="X28" i="25" s="1"/>
  <c r="H28" i="25"/>
  <c r="V28" i="25" s="1"/>
  <c r="F28" i="25"/>
  <c r="T28" i="25" s="1"/>
  <c r="Q27" i="25"/>
  <c r="L27" i="25"/>
  <c r="Z27" i="25" s="1"/>
  <c r="K27" i="25"/>
  <c r="Y27" i="25" s="1"/>
  <c r="J27" i="25"/>
  <c r="X27" i="25" s="1"/>
  <c r="H27" i="25"/>
  <c r="V27" i="25" s="1"/>
  <c r="F27" i="25"/>
  <c r="T27" i="25" s="1"/>
  <c r="Q26" i="25"/>
  <c r="L26" i="25"/>
  <c r="Z26" i="25" s="1"/>
  <c r="K26" i="25"/>
  <c r="Y26" i="25" s="1"/>
  <c r="J26" i="25"/>
  <c r="X26" i="25" s="1"/>
  <c r="H26" i="25"/>
  <c r="V26" i="25" s="1"/>
  <c r="F26" i="25"/>
  <c r="T26" i="25" s="1"/>
  <c r="Q25" i="25"/>
  <c r="L25" i="25"/>
  <c r="Z25" i="25" s="1"/>
  <c r="K25" i="25"/>
  <c r="Y25" i="25" s="1"/>
  <c r="J25" i="25"/>
  <c r="X25" i="25" s="1"/>
  <c r="H25" i="25"/>
  <c r="V25" i="25" s="1"/>
  <c r="F25" i="25"/>
  <c r="T25" i="25" s="1"/>
  <c r="Z24" i="25"/>
  <c r="Q24" i="25"/>
  <c r="L24" i="25"/>
  <c r="K24" i="25"/>
  <c r="Y24" i="25" s="1"/>
  <c r="J24" i="25"/>
  <c r="X24" i="25" s="1"/>
  <c r="H24" i="25"/>
  <c r="V24" i="25" s="1"/>
  <c r="F24" i="25"/>
  <c r="T24" i="25" s="1"/>
  <c r="Q23" i="25"/>
  <c r="L23" i="25"/>
  <c r="K23" i="25"/>
  <c r="J23" i="25"/>
  <c r="X23" i="25" s="1"/>
  <c r="H23" i="25"/>
  <c r="V23" i="25" s="1"/>
  <c r="F23" i="25"/>
  <c r="T23" i="25" s="1"/>
  <c r="R18" i="25"/>
  <c r="D18" i="25"/>
  <c r="Q16" i="25"/>
  <c r="Z16" i="25"/>
  <c r="Q15" i="25"/>
  <c r="Z15" i="25"/>
  <c r="X15" i="25"/>
  <c r="W15" i="25"/>
  <c r="V15" i="25"/>
  <c r="V14" i="25"/>
  <c r="Q14" i="25"/>
  <c r="Y14" i="25"/>
  <c r="X14" i="25"/>
  <c r="W14" i="25"/>
  <c r="T14" i="25"/>
  <c r="S13" i="25"/>
  <c r="Q13" i="25"/>
  <c r="X13" i="25"/>
  <c r="V13" i="25"/>
  <c r="Q12" i="25"/>
  <c r="P12" i="25"/>
  <c r="Z11" i="25"/>
  <c r="P11" i="25"/>
  <c r="L10" i="25"/>
  <c r="Z10" i="25" s="1"/>
  <c r="K10" i="25"/>
  <c r="Y10" i="25" s="1"/>
  <c r="J10" i="25"/>
  <c r="X10" i="25" s="1"/>
  <c r="H10" i="25"/>
  <c r="V10" i="25" s="1"/>
  <c r="F10" i="25"/>
  <c r="T10" i="25" s="1"/>
  <c r="L9" i="25"/>
  <c r="Z9" i="25" s="1"/>
  <c r="K9" i="25"/>
  <c r="Y9" i="25" s="1"/>
  <c r="J9" i="25"/>
  <c r="X9" i="25" s="1"/>
  <c r="H9" i="25"/>
  <c r="V9" i="25" s="1"/>
  <c r="F9" i="25"/>
  <c r="T9" i="25" s="1"/>
  <c r="L8" i="25"/>
  <c r="Z8" i="25" s="1"/>
  <c r="K8" i="25"/>
  <c r="Y8" i="25" s="1"/>
  <c r="J8" i="25"/>
  <c r="X8" i="25" s="1"/>
  <c r="H8" i="25"/>
  <c r="V8" i="25" s="1"/>
  <c r="F8" i="25"/>
  <c r="T8" i="25" s="1"/>
  <c r="L7" i="25"/>
  <c r="Z7" i="25" s="1"/>
  <c r="K7" i="25"/>
  <c r="Y7" i="25" s="1"/>
  <c r="J7" i="25"/>
  <c r="X7" i="25" s="1"/>
  <c r="H7" i="25"/>
  <c r="V7" i="25" s="1"/>
  <c r="F7" i="25"/>
  <c r="T7" i="25" s="1"/>
  <c r="L6" i="25"/>
  <c r="Z6" i="25" s="1"/>
  <c r="K6" i="25"/>
  <c r="Y6" i="25" s="1"/>
  <c r="J6" i="25"/>
  <c r="X6" i="25" s="1"/>
  <c r="H6" i="25"/>
  <c r="V6" i="25" s="1"/>
  <c r="F6" i="25"/>
  <c r="T6" i="25" s="1"/>
  <c r="L5" i="25"/>
  <c r="Z5" i="25" s="1"/>
  <c r="K5" i="25"/>
  <c r="Y5" i="25" s="1"/>
  <c r="J5" i="25"/>
  <c r="X5" i="25" s="1"/>
  <c r="H5" i="25"/>
  <c r="V5" i="25" s="1"/>
  <c r="F5" i="25"/>
  <c r="T5" i="25" s="1"/>
  <c r="L4" i="25"/>
  <c r="Z4" i="25" s="1"/>
  <c r="K4" i="25"/>
  <c r="J4" i="25"/>
  <c r="X4" i="25" s="1"/>
  <c r="H4" i="25"/>
  <c r="V4" i="25" s="1"/>
  <c r="F4" i="25"/>
  <c r="T4" i="25" s="1"/>
  <c r="DR34" i="24"/>
  <c r="DO34" i="24"/>
  <c r="DL34" i="24"/>
  <c r="DL37" i="24" s="1"/>
  <c r="H12" i="28" s="1"/>
  <c r="V12" i="28" s="1"/>
  <c r="DI34" i="24"/>
  <c r="DI37" i="24" s="1"/>
  <c r="H29" i="28" s="1"/>
  <c r="V29" i="28" s="1"/>
  <c r="DF34" i="24"/>
  <c r="DC37" i="24"/>
  <c r="H42" i="25" s="1"/>
  <c r="V42" i="25" s="1"/>
  <c r="CZ29"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E15" i="25" s="1"/>
  <c r="S15" i="25" s="1"/>
  <c r="BS50" i="24"/>
  <c r="BR50" i="24"/>
  <c r="BQ50" i="24"/>
  <c r="BP50" i="24"/>
  <c r="BO50" i="24"/>
  <c r="E13" i="25" s="1"/>
  <c r="BN50" i="24"/>
  <c r="BM50" i="24"/>
  <c r="BL50" i="24"/>
  <c r="BK50" i="24"/>
  <c r="BJ50" i="24"/>
  <c r="E14" i="25" s="1"/>
  <c r="S14" i="25" s="1"/>
  <c r="BI50" i="24"/>
  <c r="BH50" i="24"/>
  <c r="BG50" i="24"/>
  <c r="BE50" i="24"/>
  <c r="BD50" i="24"/>
  <c r="BC50" i="24"/>
  <c r="BB50"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U47" i="24"/>
  <c r="CT47" i="24"/>
  <c r="CS47" i="24"/>
  <c r="CR47" i="24"/>
  <c r="CQ47" i="24"/>
  <c r="CP47" i="24"/>
  <c r="CO47" i="24"/>
  <c r="CN47" i="24"/>
  <c r="CM47" i="24"/>
  <c r="CL47" i="24"/>
  <c r="CK47" i="24"/>
  <c r="CJ47" i="24"/>
  <c r="CI47" i="24"/>
  <c r="CH47" i="24"/>
  <c r="CG47" i="24"/>
  <c r="CF47" i="24"/>
  <c r="CE47" i="24"/>
  <c r="CD47" i="24"/>
  <c r="CC47" i="24"/>
  <c r="CB47" i="24"/>
  <c r="CA47" i="24"/>
  <c r="BZ47" i="24"/>
  <c r="BY47" i="24"/>
  <c r="BX47" i="24"/>
  <c r="BW47" i="24"/>
  <c r="BV47" i="24"/>
  <c r="BU47" i="24"/>
  <c r="BT47" i="24"/>
  <c r="BS47" i="24"/>
  <c r="BR47" i="24"/>
  <c r="BQ47" i="24"/>
  <c r="BP47" i="24"/>
  <c r="BO47" i="24"/>
  <c r="I13" i="25" s="1"/>
  <c r="W13" i="25" s="1"/>
  <c r="BN47" i="24"/>
  <c r="BM47" i="24"/>
  <c r="BL47" i="24"/>
  <c r="BK47" i="24"/>
  <c r="BJ47" i="24"/>
  <c r="I14" i="25" s="1"/>
  <c r="BI47" i="24"/>
  <c r="BH47" i="24"/>
  <c r="BG47" i="24"/>
  <c r="BE47" i="24"/>
  <c r="BD47" i="24"/>
  <c r="BC47" i="24"/>
  <c r="BB47"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DR46" i="24"/>
  <c r="J30" i="25" s="1"/>
  <c r="X30" i="25" s="1"/>
  <c r="DQ46" i="24"/>
  <c r="DP46" i="24"/>
  <c r="DO46" i="24"/>
  <c r="DN46" i="24"/>
  <c r="DM46" i="24"/>
  <c r="DL46" i="24"/>
  <c r="J12" i="25" s="1"/>
  <c r="DK46" i="24"/>
  <c r="DJ46" i="24"/>
  <c r="DI46" i="24"/>
  <c r="J29" i="25" s="1"/>
  <c r="X29" i="25" s="1"/>
  <c r="DH46" i="24"/>
  <c r="DG46" i="24"/>
  <c r="DF46" i="24"/>
  <c r="J11" i="25" s="1"/>
  <c r="X11" i="25" s="1"/>
  <c r="DE46" i="24"/>
  <c r="DD46" i="24"/>
  <c r="DB46" i="24"/>
  <c r="DB9" i="24" s="1"/>
  <c r="CX45" i="24"/>
  <c r="DA46" i="24"/>
  <c r="DA47" i="24" s="1"/>
  <c r="CY46" i="24"/>
  <c r="CX46" i="24"/>
  <c r="CX9" i="24" s="1"/>
  <c r="EF38" i="24"/>
  <c r="EE38" i="24"/>
  <c r="ED38" i="24"/>
  <c r="EC38" i="24"/>
  <c r="EB38" i="24"/>
  <c r="EA38" i="24"/>
  <c r="DZ38" i="24"/>
  <c r="DY38" i="24"/>
  <c r="DX38" i="24"/>
  <c r="DW38" i="24"/>
  <c r="CU38" i="24"/>
  <c r="CT38" i="24"/>
  <c r="CS38" i="24"/>
  <c r="CR38" i="24"/>
  <c r="CQ38" i="24"/>
  <c r="CP38" i="24"/>
  <c r="CO38" i="24"/>
  <c r="CN38" i="24"/>
  <c r="CM38" i="24"/>
  <c r="CL38" i="24"/>
  <c r="CK38" i="24"/>
  <c r="CJ38" i="24"/>
  <c r="CI38" i="24"/>
  <c r="CH38" i="24"/>
  <c r="CG38" i="24"/>
  <c r="CF38" i="24"/>
  <c r="CE38" i="24"/>
  <c r="CD38" i="24"/>
  <c r="CC38" i="24"/>
  <c r="CB38" i="24"/>
  <c r="CA38" i="24"/>
  <c r="BZ38" i="24"/>
  <c r="BY38" i="24"/>
  <c r="BX38" i="24"/>
  <c r="BW38" i="24"/>
  <c r="BV38" i="24"/>
  <c r="BU38" i="24"/>
  <c r="BT38" i="24"/>
  <c r="G15" i="28" s="1"/>
  <c r="U15" i="28" s="1"/>
  <c r="BS38" i="24"/>
  <c r="BR38" i="24"/>
  <c r="BQ38" i="24"/>
  <c r="BP38" i="24"/>
  <c r="BO38" i="24"/>
  <c r="G13" i="28" s="1"/>
  <c r="U13" i="28" s="1"/>
  <c r="BN38" i="24"/>
  <c r="BM38" i="24"/>
  <c r="BL38" i="24"/>
  <c r="BK38" i="24"/>
  <c r="BJ38" i="24"/>
  <c r="G14" i="25" s="1"/>
  <c r="U14" i="25" s="1"/>
  <c r="BI38" i="24"/>
  <c r="BH38" i="24"/>
  <c r="BG38" i="24"/>
  <c r="BE38" i="24"/>
  <c r="BD38" i="24"/>
  <c r="BC38" i="24"/>
  <c r="BB38"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G38" i="24"/>
  <c r="F38" i="24"/>
  <c r="E38" i="24"/>
  <c r="D38" i="24"/>
  <c r="DQ37" i="24"/>
  <c r="DP37" i="24"/>
  <c r="DO37" i="24"/>
  <c r="H16" i="25" s="1"/>
  <c r="V16" i="25" s="1"/>
  <c r="DN37" i="24"/>
  <c r="DM37" i="24"/>
  <c r="DK37" i="24"/>
  <c r="DJ37" i="24"/>
  <c r="DJ49" i="24" s="1"/>
  <c r="DJ50" i="24" s="1"/>
  <c r="DJ7" i="24" s="1"/>
  <c r="DH37" i="24"/>
  <c r="DG37" i="24"/>
  <c r="DE37" i="24"/>
  <c r="DD37" i="24"/>
  <c r="DD49" i="24" s="1"/>
  <c r="DB37" i="24"/>
  <c r="DA37" i="24"/>
  <c r="DR37" i="24"/>
  <c r="H30" i="28" s="1"/>
  <c r="V30" i="28" s="1"/>
  <c r="DF37" i="24"/>
  <c r="H11" i="28" s="1"/>
  <c r="V11" i="28" s="1"/>
  <c r="CY34" i="24"/>
  <c r="CY37" i="24" s="1"/>
  <c r="CX37" i="24"/>
  <c r="DR29" i="24"/>
  <c r="DQ29" i="24"/>
  <c r="DP29" i="24"/>
  <c r="DO29" i="24"/>
  <c r="DN29" i="24"/>
  <c r="DM29" i="24"/>
  <c r="DR28" i="24"/>
  <c r="DQ28" i="24"/>
  <c r="DP28" i="24"/>
  <c r="DO28" i="24"/>
  <c r="DN28" i="24"/>
  <c r="DM28" i="24"/>
  <c r="DR27" i="24"/>
  <c r="DQ27" i="24"/>
  <c r="DP27" i="24"/>
  <c r="EF24" i="24"/>
  <c r="EE24" i="24"/>
  <c r="ED24" i="24"/>
  <c r="EC24" i="24"/>
  <c r="EB24" i="24"/>
  <c r="EA24" i="24"/>
  <c r="DZ24" i="24"/>
  <c r="DY24" i="24"/>
  <c r="DX24" i="24"/>
  <c r="DW24" i="24"/>
  <c r="DO15" i="24"/>
  <c r="DO17" i="24" s="1"/>
  <c r="DO27" i="24" s="1"/>
  <c r="DN15" i="24"/>
  <c r="DN17" i="24" s="1"/>
  <c r="DN27" i="24" s="1"/>
  <c r="DM15" i="24"/>
  <c r="DM17" i="24" s="1"/>
  <c r="DM27" i="24" s="1"/>
  <c r="DR10" i="24"/>
  <c r="K30" i="28" s="1"/>
  <c r="Y30" i="28" s="1"/>
  <c r="DQ10" i="24"/>
  <c r="DP10" i="24"/>
  <c r="DP47" i="24" s="1"/>
  <c r="DO10" i="24"/>
  <c r="K16" i="25" s="1"/>
  <c r="Y16" i="25" s="1"/>
  <c r="DN10" i="24"/>
  <c r="DM10" i="24"/>
  <c r="DL10" i="24"/>
  <c r="K12" i="25" s="1"/>
  <c r="DK10" i="24"/>
  <c r="DJ10" i="24"/>
  <c r="DI10" i="24"/>
  <c r="K29" i="25" s="1"/>
  <c r="Y29" i="25" s="1"/>
  <c r="DH10" i="24"/>
  <c r="DH47" i="24" s="1"/>
  <c r="DG10" i="24"/>
  <c r="DF10" i="24"/>
  <c r="K11" i="28" s="1"/>
  <c r="Y11" i="28" s="1"/>
  <c r="DE10" i="24"/>
  <c r="DD10" i="24"/>
  <c r="DD47" i="24" s="1"/>
  <c r="DC10" i="24"/>
  <c r="DB10" i="24"/>
  <c r="DA10" i="24"/>
  <c r="CZ10" i="24"/>
  <c r="CY10" i="24"/>
  <c r="CX10" i="24"/>
  <c r="BF10" i="24"/>
  <c r="BF38" i="24" s="1"/>
  <c r="M79" i="23"/>
  <c r="C94" i="23"/>
  <c r="L93" i="23"/>
  <c r="K93" i="23"/>
  <c r="D93" i="23"/>
  <c r="L92" i="23"/>
  <c r="K92" i="23"/>
  <c r="D92" i="23"/>
  <c r="L91" i="23"/>
  <c r="K91" i="23"/>
  <c r="L90" i="23"/>
  <c r="K90" i="23"/>
  <c r="D90" i="23"/>
  <c r="N89" i="23"/>
  <c r="L89" i="23"/>
  <c r="K89" i="23"/>
  <c r="E89" i="23"/>
  <c r="M89" i="23" s="1"/>
  <c r="H88" i="23"/>
  <c r="P88" i="23" s="1"/>
  <c r="G88" i="23"/>
  <c r="O88" i="23" s="1"/>
  <c r="F88" i="23"/>
  <c r="N88" i="23" s="1"/>
  <c r="E88" i="23"/>
  <c r="M88" i="23" s="1"/>
  <c r="D88" i="23"/>
  <c r="H87" i="23"/>
  <c r="P87" i="23" s="1"/>
  <c r="G87" i="23"/>
  <c r="O87" i="23" s="1"/>
  <c r="F87" i="23"/>
  <c r="N87" i="23" s="1"/>
  <c r="E87" i="23"/>
  <c r="M87" i="23" s="1"/>
  <c r="D87" i="23"/>
  <c r="H86" i="23"/>
  <c r="P86" i="23" s="1"/>
  <c r="G86" i="23"/>
  <c r="O86" i="23" s="1"/>
  <c r="F86" i="23"/>
  <c r="N86" i="23" s="1"/>
  <c r="E86" i="23"/>
  <c r="M86" i="23" s="1"/>
  <c r="D86" i="23"/>
  <c r="H85" i="23"/>
  <c r="P85" i="23" s="1"/>
  <c r="G85" i="23"/>
  <c r="O85" i="23" s="1"/>
  <c r="F85" i="23"/>
  <c r="N85" i="23" s="1"/>
  <c r="E85" i="23"/>
  <c r="M85" i="23" s="1"/>
  <c r="H84" i="23"/>
  <c r="P84" i="23" s="1"/>
  <c r="G84" i="23"/>
  <c r="O84" i="23" s="1"/>
  <c r="F84" i="23"/>
  <c r="N84" i="23" s="1"/>
  <c r="E84" i="23"/>
  <c r="M84" i="23" s="1"/>
  <c r="D84" i="23"/>
  <c r="H83" i="23"/>
  <c r="P83" i="23" s="1"/>
  <c r="G83" i="23"/>
  <c r="O83" i="23" s="1"/>
  <c r="F83" i="23"/>
  <c r="N83" i="23" s="1"/>
  <c r="E83" i="23"/>
  <c r="M83" i="23" s="1"/>
  <c r="D83" i="23"/>
  <c r="H82" i="23"/>
  <c r="P82" i="23" s="1"/>
  <c r="G82" i="23"/>
  <c r="O82" i="23" s="1"/>
  <c r="F82" i="23"/>
  <c r="N82" i="23" s="1"/>
  <c r="E82" i="23"/>
  <c r="M82" i="23" s="1"/>
  <c r="D82" i="23"/>
  <c r="P81" i="23"/>
  <c r="M81" i="23"/>
  <c r="G81" i="23"/>
  <c r="O81" i="23" s="1"/>
  <c r="F81" i="23"/>
  <c r="N81" i="23" s="1"/>
  <c r="E81" i="23"/>
  <c r="D81" i="23"/>
  <c r="H80" i="23"/>
  <c r="P80" i="23" s="1"/>
  <c r="G80" i="23"/>
  <c r="O80" i="23" s="1"/>
  <c r="F80" i="23"/>
  <c r="N80" i="23" s="1"/>
  <c r="E80" i="23"/>
  <c r="M80" i="23" s="1"/>
  <c r="D80" i="23"/>
  <c r="H79" i="23"/>
  <c r="P79" i="23" s="1"/>
  <c r="G79" i="23"/>
  <c r="O79" i="23" s="1"/>
  <c r="F79" i="23"/>
  <c r="N79" i="23" s="1"/>
  <c r="E79" i="23"/>
  <c r="D79" i="23"/>
  <c r="L69" i="23"/>
  <c r="L68" i="23"/>
  <c r="L67" i="23"/>
  <c r="L66" i="23"/>
  <c r="L64" i="23"/>
  <c r="N56" i="23"/>
  <c r="M56" i="23"/>
  <c r="P55" i="23"/>
  <c r="O55" i="23"/>
  <c r="N55" i="23"/>
  <c r="M55" i="23"/>
  <c r="L55" i="23"/>
  <c r="P54" i="23"/>
  <c r="O54" i="23"/>
  <c r="N54" i="23"/>
  <c r="M54" i="23"/>
  <c r="L54" i="23"/>
  <c r="P49" i="23"/>
  <c r="O49" i="23"/>
  <c r="N49" i="23"/>
  <c r="M49" i="23"/>
  <c r="L49" i="23"/>
  <c r="P48" i="23"/>
  <c r="O48" i="23"/>
  <c r="N48" i="23"/>
  <c r="M48" i="23"/>
  <c r="L48" i="23"/>
  <c r="P47" i="23"/>
  <c r="O47" i="23"/>
  <c r="N47" i="23"/>
  <c r="L47" i="23"/>
  <c r="L46" i="23"/>
  <c r="P45" i="23"/>
  <c r="O45" i="23"/>
  <c r="N45" i="23"/>
  <c r="M45" i="23"/>
  <c r="L45" i="23"/>
  <c r="P43" i="23"/>
  <c r="O43" i="23"/>
  <c r="N43" i="23"/>
  <c r="M43" i="23"/>
  <c r="L43" i="23"/>
  <c r="L41" i="23"/>
  <c r="P40" i="23"/>
  <c r="O40" i="23"/>
  <c r="N40" i="23"/>
  <c r="M40" i="23"/>
  <c r="L40" i="23"/>
  <c r="P39" i="23"/>
  <c r="O39" i="23"/>
  <c r="N39" i="23"/>
  <c r="M39" i="23"/>
  <c r="L39" i="23"/>
  <c r="P38" i="23"/>
  <c r="O38" i="23"/>
  <c r="N38" i="23"/>
  <c r="M38" i="23"/>
  <c r="L38" i="23"/>
  <c r="P37" i="23"/>
  <c r="O37" i="23"/>
  <c r="N37" i="23"/>
  <c r="M37" i="23"/>
  <c r="L37" i="23"/>
  <c r="P36" i="23"/>
  <c r="O36" i="23"/>
  <c r="N36" i="23"/>
  <c r="M36" i="23"/>
  <c r="L36" i="23"/>
  <c r="L35" i="23"/>
  <c r="H25" i="23"/>
  <c r="G25" i="23"/>
  <c r="F25" i="23"/>
  <c r="E25" i="23"/>
  <c r="H24" i="23"/>
  <c r="G24" i="23"/>
  <c r="F24" i="23"/>
  <c r="E24" i="23"/>
  <c r="L23" i="23"/>
  <c r="L53" i="23" s="1"/>
  <c r="H23" i="23"/>
  <c r="G23" i="23"/>
  <c r="F23" i="23"/>
  <c r="E23" i="23"/>
  <c r="L22" i="23"/>
  <c r="L52" i="23" s="1"/>
  <c r="H22" i="23"/>
  <c r="G22" i="23"/>
  <c r="F22" i="23"/>
  <c r="E22" i="23"/>
  <c r="L21" i="23"/>
  <c r="L51" i="23" s="1"/>
  <c r="H21" i="23"/>
  <c r="G21" i="23"/>
  <c r="F21" i="23"/>
  <c r="E21" i="23"/>
  <c r="L20" i="23"/>
  <c r="L50" i="23" s="1"/>
  <c r="H20" i="23"/>
  <c r="G20" i="23"/>
  <c r="F20" i="23"/>
  <c r="E20" i="23"/>
  <c r="H19" i="23"/>
  <c r="G19" i="23"/>
  <c r="F19" i="23"/>
  <c r="E19" i="23"/>
  <c r="H18" i="23"/>
  <c r="G18" i="23"/>
  <c r="F18" i="23"/>
  <c r="E18" i="23"/>
  <c r="H16" i="23"/>
  <c r="G16" i="23"/>
  <c r="F16" i="23"/>
  <c r="E16" i="23"/>
  <c r="H15" i="23"/>
  <c r="G15" i="23"/>
  <c r="F15" i="23"/>
  <c r="E15" i="23"/>
  <c r="L14" i="23"/>
  <c r="H14" i="23"/>
  <c r="G14" i="23"/>
  <c r="F14" i="23"/>
  <c r="E14" i="23"/>
  <c r="H13" i="23"/>
  <c r="G13" i="23"/>
  <c r="F13" i="23"/>
  <c r="E13" i="23"/>
  <c r="L12" i="23"/>
  <c r="H12" i="23"/>
  <c r="G12" i="23"/>
  <c r="F12" i="23"/>
  <c r="E12" i="23"/>
  <c r="L11" i="23"/>
  <c r="H11" i="23"/>
  <c r="G11" i="23"/>
  <c r="F11" i="23"/>
  <c r="E11" i="23"/>
  <c r="H10" i="23"/>
  <c r="G10" i="23"/>
  <c r="F10" i="23"/>
  <c r="E10" i="23"/>
  <c r="H9" i="23"/>
  <c r="G9" i="23"/>
  <c r="F9" i="23"/>
  <c r="E9" i="23"/>
  <c r="H8" i="23"/>
  <c r="G8" i="23"/>
  <c r="F8" i="23"/>
  <c r="E8" i="23"/>
  <c r="H7" i="23"/>
  <c r="G7" i="23"/>
  <c r="F7" i="23"/>
  <c r="E7" i="23"/>
  <c r="H6" i="23"/>
  <c r="G6" i="23"/>
  <c r="F6" i="23"/>
  <c r="E6" i="23"/>
  <c r="L5" i="23"/>
  <c r="H5" i="23"/>
  <c r="G5" i="23"/>
  <c r="F5" i="23"/>
  <c r="E5" i="23"/>
  <c r="AR101" i="22"/>
  <c r="AI101" i="22"/>
  <c r="V101" i="22"/>
  <c r="U101" i="22"/>
  <c r="T101" i="22"/>
  <c r="S101" i="22"/>
  <c r="P101" i="22"/>
  <c r="O101" i="22"/>
  <c r="M101" i="22"/>
  <c r="K101" i="22"/>
  <c r="J101" i="22"/>
  <c r="D101" i="22"/>
  <c r="AS100" i="22"/>
  <c r="AR100" i="22"/>
  <c r="AI100" i="22"/>
  <c r="AI102" i="22" s="1"/>
  <c r="AI107" i="22" s="1"/>
  <c r="AI72" i="22" s="1"/>
  <c r="V100" i="22"/>
  <c r="U100" i="22"/>
  <c r="T100" i="22"/>
  <c r="S100" i="22"/>
  <c r="P100" i="22"/>
  <c r="O100" i="22"/>
  <c r="M100" i="22"/>
  <c r="K100" i="22"/>
  <c r="J100" i="22"/>
  <c r="D100" i="22"/>
  <c r="AS99" i="22"/>
  <c r="AR99" i="22"/>
  <c r="AI99" i="22"/>
  <c r="V99" i="22"/>
  <c r="U99" i="22"/>
  <c r="T99" i="22"/>
  <c r="S99" i="22"/>
  <c r="P99" i="22"/>
  <c r="O99" i="22"/>
  <c r="M99" i="22"/>
  <c r="K99" i="22"/>
  <c r="J99" i="22"/>
  <c r="D99" i="22"/>
  <c r="AS98" i="22"/>
  <c r="AS102" i="22" s="1"/>
  <c r="AS107" i="22" s="1"/>
  <c r="AR98" i="22"/>
  <c r="AI98" i="22"/>
  <c r="K92" i="22"/>
  <c r="J92" i="22"/>
  <c r="D92" i="22"/>
  <c r="AR79" i="22"/>
  <c r="AI79" i="22"/>
  <c r="T79" i="22"/>
  <c r="S79" i="22"/>
  <c r="O79" i="22"/>
  <c r="M79" i="22"/>
  <c r="K79" i="22"/>
  <c r="J79" i="22"/>
  <c r="D79" i="22"/>
  <c r="AR78" i="22"/>
  <c r="AI78" i="22"/>
  <c r="T78" i="22"/>
  <c r="S78" i="22"/>
  <c r="O78" i="22"/>
  <c r="M78" i="22"/>
  <c r="K78" i="22"/>
  <c r="J78" i="22"/>
  <c r="D78" i="22"/>
  <c r="AS85" i="22"/>
  <c r="V91" i="22"/>
  <c r="V93" i="22" s="1"/>
  <c r="V98" i="22" s="1"/>
  <c r="U85" i="22"/>
  <c r="N22" i="23" s="1"/>
  <c r="N52" i="23" s="1"/>
  <c r="N68" i="23" s="1"/>
  <c r="F93" i="23" s="1"/>
  <c r="N93" i="23" s="1"/>
  <c r="T91" i="22"/>
  <c r="T93" i="22" s="1"/>
  <c r="T98" i="22" s="1"/>
  <c r="P84" i="22"/>
  <c r="O85" i="22"/>
  <c r="N16" i="23" s="1"/>
  <c r="N46" i="23" s="1"/>
  <c r="D75" i="22"/>
  <c r="AR85" i="22"/>
  <c r="F91" i="23" s="1"/>
  <c r="N91" i="23" s="1"/>
  <c r="G47" i="21"/>
  <c r="E47" i="21"/>
  <c r="F5" i="21"/>
  <c r="H5" i="21"/>
  <c r="L5" i="21"/>
  <c r="F6" i="21"/>
  <c r="H6" i="21"/>
  <c r="F7" i="21"/>
  <c r="H7" i="21"/>
  <c r="F8" i="21"/>
  <c r="H8" i="21"/>
  <c r="F9" i="21"/>
  <c r="H9" i="21"/>
  <c r="F10" i="21"/>
  <c r="H10" i="21"/>
  <c r="F11" i="21"/>
  <c r="H11" i="21"/>
  <c r="L11" i="21"/>
  <c r="F12" i="21"/>
  <c r="H12" i="21"/>
  <c r="L12" i="21"/>
  <c r="F13" i="21"/>
  <c r="H13" i="21"/>
  <c r="F14" i="21"/>
  <c r="H14" i="21"/>
  <c r="L14" i="21"/>
  <c r="F15" i="21"/>
  <c r="H15" i="21"/>
  <c r="F16" i="21"/>
  <c r="H16" i="21"/>
  <c r="F18" i="21"/>
  <c r="H18" i="21"/>
  <c r="F19" i="21"/>
  <c r="H19" i="21"/>
  <c r="F20" i="21"/>
  <c r="H20" i="21"/>
  <c r="L20" i="21"/>
  <c r="F21" i="21"/>
  <c r="H21" i="21"/>
  <c r="L21" i="21"/>
  <c r="F22" i="21"/>
  <c r="H22" i="21"/>
  <c r="L22" i="21"/>
  <c r="F23" i="21"/>
  <c r="H23" i="21"/>
  <c r="L23" i="21"/>
  <c r="F24" i="21"/>
  <c r="H24" i="21"/>
  <c r="F25" i="21"/>
  <c r="H25" i="21"/>
  <c r="C94" i="21"/>
  <c r="L93" i="21"/>
  <c r="K93" i="21"/>
  <c r="D93" i="21"/>
  <c r="L92" i="21"/>
  <c r="K92" i="21"/>
  <c r="D92" i="21"/>
  <c r="L91" i="21"/>
  <c r="K91" i="21"/>
  <c r="D91" i="21"/>
  <c r="L90" i="21"/>
  <c r="K90" i="21"/>
  <c r="D90" i="21"/>
  <c r="N89" i="21"/>
  <c r="L89" i="21"/>
  <c r="L94" i="21" s="1"/>
  <c r="K89" i="21"/>
  <c r="E89" i="21"/>
  <c r="M89" i="21" s="1"/>
  <c r="D89" i="21"/>
  <c r="H88" i="21"/>
  <c r="P88" i="21" s="1"/>
  <c r="F88" i="21"/>
  <c r="N88" i="21" s="1"/>
  <c r="D88" i="21"/>
  <c r="H87" i="21"/>
  <c r="P87" i="21" s="1"/>
  <c r="F87" i="21"/>
  <c r="N87" i="21" s="1"/>
  <c r="D87" i="21"/>
  <c r="H86" i="21"/>
  <c r="P86" i="21" s="1"/>
  <c r="F86" i="21"/>
  <c r="N86" i="21" s="1"/>
  <c r="D86" i="21"/>
  <c r="H85" i="21"/>
  <c r="P85" i="21" s="1"/>
  <c r="F85" i="21"/>
  <c r="N85" i="21" s="1"/>
  <c r="D85" i="21"/>
  <c r="H84" i="21"/>
  <c r="P84" i="21" s="1"/>
  <c r="F84" i="21"/>
  <c r="N84" i="21" s="1"/>
  <c r="D84" i="21"/>
  <c r="H83" i="21"/>
  <c r="P83" i="21" s="1"/>
  <c r="F83" i="21"/>
  <c r="N83" i="21" s="1"/>
  <c r="D83" i="21"/>
  <c r="H82" i="21"/>
  <c r="P82" i="21" s="1"/>
  <c r="F82" i="21"/>
  <c r="N82" i="21" s="1"/>
  <c r="D82" i="21"/>
  <c r="P81" i="21"/>
  <c r="F81" i="21"/>
  <c r="N81" i="21" s="1"/>
  <c r="D81" i="21"/>
  <c r="H80" i="21"/>
  <c r="P80" i="21" s="1"/>
  <c r="F80" i="21"/>
  <c r="N80" i="21" s="1"/>
  <c r="D80" i="21"/>
  <c r="H79" i="21"/>
  <c r="P79" i="21" s="1"/>
  <c r="F79" i="21"/>
  <c r="N79" i="21" s="1"/>
  <c r="D79" i="21"/>
  <c r="L69" i="21"/>
  <c r="L68" i="21"/>
  <c r="L67" i="21"/>
  <c r="L66" i="21"/>
  <c r="L64" i="21"/>
  <c r="N56" i="21"/>
  <c r="M56" i="21"/>
  <c r="P55" i="21"/>
  <c r="O55" i="21"/>
  <c r="N55" i="21"/>
  <c r="M55" i="21"/>
  <c r="L55" i="21"/>
  <c r="P54" i="21"/>
  <c r="O54" i="21"/>
  <c r="N54" i="21"/>
  <c r="M54" i="21"/>
  <c r="L54" i="21"/>
  <c r="P49" i="21"/>
  <c r="O49" i="21"/>
  <c r="N49" i="21"/>
  <c r="M49" i="21"/>
  <c r="L49" i="21"/>
  <c r="P48" i="21"/>
  <c r="O48" i="21"/>
  <c r="N48" i="21"/>
  <c r="M48" i="21"/>
  <c r="L48" i="21"/>
  <c r="P47" i="21"/>
  <c r="O47" i="21"/>
  <c r="N47" i="21"/>
  <c r="L47" i="21"/>
  <c r="L46" i="21"/>
  <c r="P45" i="21"/>
  <c r="O45" i="21"/>
  <c r="N45" i="21"/>
  <c r="M45" i="21"/>
  <c r="L45" i="21"/>
  <c r="P43" i="21"/>
  <c r="O43" i="21"/>
  <c r="N43" i="21"/>
  <c r="M43" i="21"/>
  <c r="L43" i="21"/>
  <c r="L41" i="21"/>
  <c r="P40" i="21"/>
  <c r="O40" i="21"/>
  <c r="N40" i="21"/>
  <c r="M40" i="21"/>
  <c r="L40" i="21"/>
  <c r="P39" i="21"/>
  <c r="O39" i="21"/>
  <c r="N39" i="21"/>
  <c r="M39" i="21"/>
  <c r="L39" i="21"/>
  <c r="P38" i="21"/>
  <c r="O38" i="21"/>
  <c r="N38" i="21"/>
  <c r="M38" i="21"/>
  <c r="L38" i="21"/>
  <c r="P37" i="21"/>
  <c r="O37" i="21"/>
  <c r="N37" i="21"/>
  <c r="M37" i="21"/>
  <c r="L37" i="21"/>
  <c r="P36" i="21"/>
  <c r="O36" i="21"/>
  <c r="N36" i="21"/>
  <c r="M36" i="21"/>
  <c r="L36" i="21"/>
  <c r="L35" i="21"/>
  <c r="L53" i="21"/>
  <c r="L52" i="21"/>
  <c r="L51" i="21"/>
  <c r="L50" i="21"/>
  <c r="V30" i="19"/>
  <c r="AT30" i="19" s="1"/>
  <c r="J30" i="19"/>
  <c r="AH30" i="19" s="1"/>
  <c r="V29" i="19"/>
  <c r="AT29" i="19" s="1"/>
  <c r="V16" i="19"/>
  <c r="AT16" i="19" s="1"/>
  <c r="AT53" i="19" s="1"/>
  <c r="AT55" i="19" s="1"/>
  <c r="V15" i="19"/>
  <c r="AT15" i="19" s="1"/>
  <c r="U15" i="19"/>
  <c r="AH15" i="19"/>
  <c r="H15" i="19"/>
  <c r="AF15" i="19" s="1"/>
  <c r="F15" i="19"/>
  <c r="AD15" i="19" s="1"/>
  <c r="V14" i="19"/>
  <c r="AT14" i="19" s="1"/>
  <c r="AS14" i="19"/>
  <c r="AH14" i="19"/>
  <c r="H14" i="19"/>
  <c r="G14" i="19"/>
  <c r="AE14" i="19" s="1"/>
  <c r="F14" i="19"/>
  <c r="AD14" i="19" s="1"/>
  <c r="V13" i="19"/>
  <c r="AT13" i="19" s="1"/>
  <c r="U13" i="19"/>
  <c r="H13" i="19"/>
  <c r="AF13" i="19" s="1"/>
  <c r="F13" i="19"/>
  <c r="AD13" i="19" s="1"/>
  <c r="V12" i="19"/>
  <c r="AT12" i="19" s="1"/>
  <c r="V11" i="19"/>
  <c r="AB45" i="19"/>
  <c r="D45" i="19"/>
  <c r="AA43" i="19"/>
  <c r="Z43" i="19"/>
  <c r="AA42" i="19"/>
  <c r="Z42" i="19"/>
  <c r="AA40" i="19"/>
  <c r="V40" i="19"/>
  <c r="AT40" i="19" s="1"/>
  <c r="U40" i="19"/>
  <c r="AS40" i="19" s="1"/>
  <c r="AH40" i="19"/>
  <c r="H40" i="19"/>
  <c r="AF40" i="19" s="1"/>
  <c r="F40" i="19"/>
  <c r="AD40" i="19" s="1"/>
  <c r="AA39" i="19"/>
  <c r="V39" i="19"/>
  <c r="AT39" i="19" s="1"/>
  <c r="U39" i="19"/>
  <c r="AS39" i="19" s="1"/>
  <c r="AH39" i="19"/>
  <c r="H39" i="19"/>
  <c r="AF39" i="19" s="1"/>
  <c r="F39" i="19"/>
  <c r="AD39" i="19" s="1"/>
  <c r="AA38" i="19"/>
  <c r="V38" i="19"/>
  <c r="AT38" i="19" s="1"/>
  <c r="U38" i="19"/>
  <c r="AS38" i="19" s="1"/>
  <c r="AH38" i="19"/>
  <c r="H38" i="19"/>
  <c r="AF38" i="19" s="1"/>
  <c r="F38" i="19"/>
  <c r="AD38" i="19" s="1"/>
  <c r="AA37" i="19"/>
  <c r="V37" i="19"/>
  <c r="AT37" i="19" s="1"/>
  <c r="U37" i="19"/>
  <c r="H37" i="19"/>
  <c r="AF37" i="19" s="1"/>
  <c r="F37" i="19"/>
  <c r="AD37" i="19" s="1"/>
  <c r="AB32" i="19"/>
  <c r="D32" i="19"/>
  <c r="AA30" i="19"/>
  <c r="Z30" i="19"/>
  <c r="AA29" i="19"/>
  <c r="Z29" i="19"/>
  <c r="AA28" i="19"/>
  <c r="Z28" i="19"/>
  <c r="V28" i="19"/>
  <c r="AT28" i="19" s="1"/>
  <c r="J28" i="19"/>
  <c r="AH28" i="19" s="1"/>
  <c r="H28" i="19"/>
  <c r="AF28" i="19" s="1"/>
  <c r="F28" i="19"/>
  <c r="AD28" i="19" s="1"/>
  <c r="AA27" i="19"/>
  <c r="V27" i="19"/>
  <c r="AT27" i="19" s="1"/>
  <c r="U27" i="19"/>
  <c r="J27" i="19"/>
  <c r="AH27" i="19" s="1"/>
  <c r="H27" i="19"/>
  <c r="AF27" i="19" s="1"/>
  <c r="F27" i="19"/>
  <c r="AD27" i="19" s="1"/>
  <c r="AA26" i="19"/>
  <c r="V26" i="19"/>
  <c r="AT26" i="19" s="1"/>
  <c r="U26" i="19"/>
  <c r="J26" i="19"/>
  <c r="AH26" i="19" s="1"/>
  <c r="H26" i="19"/>
  <c r="AF26" i="19" s="1"/>
  <c r="F26" i="19"/>
  <c r="AD26" i="19" s="1"/>
  <c r="AA25" i="19"/>
  <c r="V25" i="19"/>
  <c r="AT25" i="19" s="1"/>
  <c r="U25" i="19"/>
  <c r="J25" i="19"/>
  <c r="AH25" i="19" s="1"/>
  <c r="H25" i="19"/>
  <c r="AF25" i="19" s="1"/>
  <c r="F25" i="19"/>
  <c r="AD25" i="19" s="1"/>
  <c r="AA24" i="19"/>
  <c r="V24" i="19"/>
  <c r="AT24" i="19" s="1"/>
  <c r="U24" i="19"/>
  <c r="J24" i="19"/>
  <c r="AH24" i="19" s="1"/>
  <c r="H24" i="19"/>
  <c r="AF24" i="19" s="1"/>
  <c r="F24" i="19"/>
  <c r="AD24" i="19" s="1"/>
  <c r="AA23" i="19"/>
  <c r="V23" i="19"/>
  <c r="U23" i="19"/>
  <c r="J23" i="19"/>
  <c r="AH23" i="19" s="1"/>
  <c r="H23" i="19"/>
  <c r="AF23" i="19" s="1"/>
  <c r="F23" i="19"/>
  <c r="AD23" i="19" s="1"/>
  <c r="AB18" i="19"/>
  <c r="D18" i="19"/>
  <c r="AA16" i="19"/>
  <c r="AA15" i="19"/>
  <c r="AF14" i="19"/>
  <c r="AA14" i="19"/>
  <c r="AA13" i="19"/>
  <c r="AH13" i="19"/>
  <c r="AA12" i="19"/>
  <c r="Z12" i="19"/>
  <c r="AT11" i="19"/>
  <c r="Z11" i="19"/>
  <c r="V10" i="19"/>
  <c r="AT10" i="19" s="1"/>
  <c r="U10" i="19"/>
  <c r="AH10" i="19"/>
  <c r="H10" i="19"/>
  <c r="AF10" i="19" s="1"/>
  <c r="F10" i="19"/>
  <c r="AD10" i="19" s="1"/>
  <c r="V9" i="19"/>
  <c r="AT9" i="19" s="1"/>
  <c r="AS9" i="19"/>
  <c r="AH9" i="19"/>
  <c r="H9" i="19"/>
  <c r="AF9" i="19" s="1"/>
  <c r="F9" i="19"/>
  <c r="AD9" i="19" s="1"/>
  <c r="V8" i="19"/>
  <c r="AT8" i="19" s="1"/>
  <c r="U8" i="19"/>
  <c r="AH8" i="19"/>
  <c r="H8" i="19"/>
  <c r="AF8" i="19" s="1"/>
  <c r="F8" i="19"/>
  <c r="AD8" i="19" s="1"/>
  <c r="V7" i="19"/>
  <c r="AT7" i="19" s="1"/>
  <c r="U7" i="19"/>
  <c r="AH7" i="19"/>
  <c r="H7" i="19"/>
  <c r="AF7" i="19" s="1"/>
  <c r="F7" i="19"/>
  <c r="AD7" i="19" s="1"/>
  <c r="V6" i="19"/>
  <c r="AT6" i="19" s="1"/>
  <c r="U6" i="19"/>
  <c r="AH6" i="19"/>
  <c r="H6" i="19"/>
  <c r="AF6" i="19" s="1"/>
  <c r="F6" i="19"/>
  <c r="AD6" i="19" s="1"/>
  <c r="V5" i="19"/>
  <c r="AT5" i="19" s="1"/>
  <c r="U5" i="19"/>
  <c r="AH5" i="19"/>
  <c r="H5" i="19"/>
  <c r="AF5" i="19" s="1"/>
  <c r="F5" i="19"/>
  <c r="AD5" i="19" s="1"/>
  <c r="V4" i="19"/>
  <c r="AT4" i="19" s="1"/>
  <c r="U4" i="19"/>
  <c r="AH4" i="19"/>
  <c r="H4" i="19"/>
  <c r="AF4" i="19" s="1"/>
  <c r="F4" i="19"/>
  <c r="AD4" i="19" s="1"/>
  <c r="U68" i="7"/>
  <c r="V68" i="7"/>
  <c r="W68" i="7"/>
  <c r="X68" i="7"/>
  <c r="Y68" i="7"/>
  <c r="Z68" i="7"/>
  <c r="AA68" i="7"/>
  <c r="AB68" i="7"/>
  <c r="AC68" i="7"/>
  <c r="AD68" i="7"/>
  <c r="AE68" i="7"/>
  <c r="AF68" i="7"/>
  <c r="AG68" i="7"/>
  <c r="AH68" i="7"/>
  <c r="AI68" i="7"/>
  <c r="AJ68" i="7"/>
  <c r="AK68" i="7"/>
  <c r="AL68" i="7"/>
  <c r="AM68" i="7"/>
  <c r="AN68" i="7"/>
  <c r="AO68" i="7"/>
  <c r="AP68" i="7"/>
  <c r="AQ68" i="7"/>
  <c r="E68" i="7"/>
  <c r="F68" i="7"/>
  <c r="G68" i="7"/>
  <c r="H68" i="7"/>
  <c r="I68" i="7"/>
  <c r="J68" i="7"/>
  <c r="K68" i="7"/>
  <c r="L68" i="7"/>
  <c r="M68" i="7"/>
  <c r="N68" i="7"/>
  <c r="O68" i="7"/>
  <c r="P68" i="7"/>
  <c r="Q68" i="7"/>
  <c r="R68" i="7"/>
  <c r="S68" i="7"/>
  <c r="T68" i="7"/>
  <c r="D68" i="7"/>
  <c r="DY41" i="18"/>
  <c r="DH37" i="18"/>
  <c r="F38" i="18"/>
  <c r="CU50" i="18"/>
  <c r="CT50" i="18"/>
  <c r="CS50" i="18"/>
  <c r="CR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E15" i="19" s="1"/>
  <c r="AC15" i="19" s="1"/>
  <c r="BS50" i="18"/>
  <c r="BR50" i="18"/>
  <c r="BQ50" i="18"/>
  <c r="BP50" i="18"/>
  <c r="BO50" i="18"/>
  <c r="E13" i="19" s="1"/>
  <c r="AC13" i="19" s="1"/>
  <c r="BN50" i="18"/>
  <c r="BM50" i="18"/>
  <c r="BL50" i="18"/>
  <c r="BK50" i="18"/>
  <c r="BJ50" i="18"/>
  <c r="E14" i="19" s="1"/>
  <c r="AC14" i="19" s="1"/>
  <c r="BI50" i="18"/>
  <c r="BH50" i="18"/>
  <c r="BG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D50" i="18"/>
  <c r="I15" i="19"/>
  <c r="AG15" i="19" s="1"/>
  <c r="I13" i="19"/>
  <c r="AG13" i="19" s="1"/>
  <c r="I14" i="19"/>
  <c r="AG14" i="19" s="1"/>
  <c r="DR46" i="18"/>
  <c r="DQ46" i="18"/>
  <c r="DP46" i="18"/>
  <c r="DO46" i="18"/>
  <c r="DO49" i="18" s="1"/>
  <c r="DN46" i="18"/>
  <c r="DM46" i="18"/>
  <c r="DL46" i="18"/>
  <c r="DK46" i="18"/>
  <c r="DK9" i="18" s="1"/>
  <c r="DJ46" i="18"/>
  <c r="DJ9" i="18" s="1"/>
  <c r="DI46" i="18"/>
  <c r="DH46" i="18"/>
  <c r="DG46" i="18"/>
  <c r="DF46" i="18"/>
  <c r="DE46" i="18"/>
  <c r="DD46" i="18"/>
  <c r="CX45" i="18"/>
  <c r="EF41" i="18"/>
  <c r="EE41" i="18"/>
  <c r="ED41" i="18"/>
  <c r="EC41" i="18"/>
  <c r="EB41" i="18"/>
  <c r="EA41" i="18"/>
  <c r="DZ41" i="18"/>
  <c r="DX41" i="18"/>
  <c r="DW41" i="18"/>
  <c r="DB41" i="18"/>
  <c r="DB46" i="18" s="1"/>
  <c r="DB9" i="18" s="1"/>
  <c r="DA41" i="18"/>
  <c r="DA46" i="18" s="1"/>
  <c r="DA9" i="18" s="1"/>
  <c r="CY41" i="18"/>
  <c r="CY46" i="18" s="1"/>
  <c r="CY9" i="18" s="1"/>
  <c r="CX41" i="18"/>
  <c r="EF38" i="18"/>
  <c r="EE38" i="18"/>
  <c r="ED38" i="18"/>
  <c r="EC38" i="18"/>
  <c r="EB38" i="18"/>
  <c r="EA38" i="18"/>
  <c r="DZ38" i="18"/>
  <c r="DY38" i="18"/>
  <c r="DX38" i="18"/>
  <c r="DW38" i="18"/>
  <c r="CU38" i="18"/>
  <c r="CT38" i="18"/>
  <c r="CS38" i="18"/>
  <c r="CR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G15" i="19" s="1"/>
  <c r="AE15" i="19" s="1"/>
  <c r="BS38" i="18"/>
  <c r="BR38" i="18"/>
  <c r="BQ38" i="18"/>
  <c r="BP38" i="18"/>
  <c r="BO38" i="18"/>
  <c r="G13" i="19" s="1"/>
  <c r="AE13" i="19" s="1"/>
  <c r="BN38" i="18"/>
  <c r="BM38" i="18"/>
  <c r="BL38" i="18"/>
  <c r="BK38" i="18"/>
  <c r="BJ38" i="18"/>
  <c r="BI38" i="18"/>
  <c r="BH38" i="18"/>
  <c r="BG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E38" i="18"/>
  <c r="D38" i="18"/>
  <c r="DQ37" i="18"/>
  <c r="DQ49" i="18" s="1"/>
  <c r="DP37" i="18"/>
  <c r="DP49" i="18" s="1"/>
  <c r="DN37" i="18"/>
  <c r="DM37" i="18"/>
  <c r="DM49" i="18" s="1"/>
  <c r="DK37" i="18"/>
  <c r="DK49" i="18" s="1"/>
  <c r="DJ37" i="18"/>
  <c r="DG37" i="18"/>
  <c r="DG49" i="18" s="1"/>
  <c r="DE37" i="18"/>
  <c r="DE49" i="18" s="1"/>
  <c r="DD37" i="18"/>
  <c r="DD49" i="18" s="1"/>
  <c r="DB37" i="18"/>
  <c r="DA37" i="18"/>
  <c r="DA49" i="18" s="1"/>
  <c r="CY34" i="18"/>
  <c r="CY37" i="18" s="1"/>
  <c r="CY49" i="18" s="1"/>
  <c r="CX34" i="18"/>
  <c r="CX37" i="18" s="1"/>
  <c r="DR29" i="18"/>
  <c r="DQ29" i="18"/>
  <c r="DP29" i="18"/>
  <c r="DO29" i="18"/>
  <c r="DN29" i="18"/>
  <c r="DM29" i="18"/>
  <c r="DR28" i="18"/>
  <c r="DQ28" i="18"/>
  <c r="DP28" i="18"/>
  <c r="DO28" i="18"/>
  <c r="DN28" i="18"/>
  <c r="DM28" i="18"/>
  <c r="DR27" i="18"/>
  <c r="DQ27" i="18"/>
  <c r="DP27" i="18"/>
  <c r="EF24" i="18"/>
  <c r="EE24" i="18"/>
  <c r="ED24" i="18"/>
  <c r="EC24" i="18"/>
  <c r="EB24" i="18"/>
  <c r="EA24" i="18"/>
  <c r="DZ24" i="18"/>
  <c r="DX24" i="18"/>
  <c r="DW24" i="18"/>
  <c r="DO17" i="18"/>
  <c r="DO27" i="18" s="1"/>
  <c r="DN17" i="18"/>
  <c r="DN27" i="18" s="1"/>
  <c r="DM17" i="18"/>
  <c r="DM27" i="18" s="1"/>
  <c r="DR10" i="18"/>
  <c r="U30" i="19" s="1"/>
  <c r="DQ10" i="18"/>
  <c r="DQ47" i="18" s="1"/>
  <c r="DP10" i="18"/>
  <c r="DP47" i="18" s="1"/>
  <c r="DO10" i="18"/>
  <c r="DN10" i="18"/>
  <c r="DM10" i="18"/>
  <c r="DM47" i="18" s="1"/>
  <c r="DL10" i="18"/>
  <c r="DK10" i="18"/>
  <c r="DK47" i="18" s="1"/>
  <c r="DJ10" i="18"/>
  <c r="DI10" i="18"/>
  <c r="DI38" i="18" s="1"/>
  <c r="DH10" i="18"/>
  <c r="DH47" i="18" s="1"/>
  <c r="DG10" i="18"/>
  <c r="DG47" i="18" s="1"/>
  <c r="U11" i="19"/>
  <c r="DE10" i="18"/>
  <c r="DE47" i="18" s="1"/>
  <c r="DD10" i="18"/>
  <c r="DC10" i="18"/>
  <c r="DB10" i="18"/>
  <c r="DA10" i="18"/>
  <c r="DA47" i="18" s="1"/>
  <c r="CZ10" i="18"/>
  <c r="U41" i="19" s="1"/>
  <c r="CY10" i="18"/>
  <c r="CX10" i="18"/>
  <c r="BF10" i="18"/>
  <c r="BF47" i="18" s="1"/>
  <c r="Q88" i="17"/>
  <c r="F88" i="17"/>
  <c r="O88" i="17" s="1"/>
  <c r="N88" i="17"/>
  <c r="N36" i="17"/>
  <c r="E35" i="17"/>
  <c r="E79" i="17" s="1"/>
  <c r="N79" i="17" s="1"/>
  <c r="C94" i="17"/>
  <c r="D92" i="17" s="1"/>
  <c r="M93" i="17"/>
  <c r="L93" i="17"/>
  <c r="M92" i="17"/>
  <c r="L92" i="17"/>
  <c r="M91" i="17"/>
  <c r="L91" i="17"/>
  <c r="M90" i="17"/>
  <c r="L90" i="17"/>
  <c r="O89" i="17"/>
  <c r="M89" i="17"/>
  <c r="L89" i="17"/>
  <c r="E89" i="17"/>
  <c r="N89" i="17" s="1"/>
  <c r="I88" i="17"/>
  <c r="R88" i="17" s="1"/>
  <c r="I87" i="17"/>
  <c r="R87" i="17" s="1"/>
  <c r="Q87" i="17"/>
  <c r="O87" i="17"/>
  <c r="N87" i="17"/>
  <c r="I86" i="17"/>
  <c r="R86" i="17" s="1"/>
  <c r="Q86" i="17"/>
  <c r="O86" i="17"/>
  <c r="N86" i="17"/>
  <c r="I85" i="17"/>
  <c r="R85" i="17" s="1"/>
  <c r="H85" i="17"/>
  <c r="Q85" i="17" s="1"/>
  <c r="F85" i="17"/>
  <c r="O85" i="17" s="1"/>
  <c r="I84" i="17"/>
  <c r="R84" i="17" s="1"/>
  <c r="H84" i="17"/>
  <c r="Q84" i="17" s="1"/>
  <c r="F84" i="17"/>
  <c r="O84" i="17" s="1"/>
  <c r="I83" i="17"/>
  <c r="R83" i="17" s="1"/>
  <c r="H83" i="17"/>
  <c r="Q83" i="17" s="1"/>
  <c r="F83" i="17"/>
  <c r="O83" i="17" s="1"/>
  <c r="I82" i="17"/>
  <c r="R82" i="17" s="1"/>
  <c r="H82" i="17"/>
  <c r="Q82" i="17" s="1"/>
  <c r="F82" i="17"/>
  <c r="O82" i="17" s="1"/>
  <c r="R81" i="17"/>
  <c r="H81" i="17"/>
  <c r="Q81" i="17" s="1"/>
  <c r="F81" i="17"/>
  <c r="O81" i="17" s="1"/>
  <c r="I80" i="17"/>
  <c r="R80" i="17" s="1"/>
  <c r="H80" i="17"/>
  <c r="Q80" i="17" s="1"/>
  <c r="F80" i="17"/>
  <c r="O80" i="17" s="1"/>
  <c r="I79" i="17"/>
  <c r="R79" i="17" s="1"/>
  <c r="H79" i="17"/>
  <c r="Q79" i="17" s="1"/>
  <c r="F79" i="17"/>
  <c r="O79" i="17" s="1"/>
  <c r="M69" i="17"/>
  <c r="M68" i="17"/>
  <c r="M67" i="17"/>
  <c r="M66" i="17"/>
  <c r="M64" i="17"/>
  <c r="P70" i="17" s="1"/>
  <c r="O56" i="17"/>
  <c r="N56" i="17"/>
  <c r="R55" i="17"/>
  <c r="Q55" i="17"/>
  <c r="O55" i="17"/>
  <c r="N55" i="17"/>
  <c r="M55" i="17"/>
  <c r="R54" i="17"/>
  <c r="Q54" i="17"/>
  <c r="O54" i="17"/>
  <c r="N54" i="17"/>
  <c r="M54" i="17"/>
  <c r="R49" i="17"/>
  <c r="Q49" i="17"/>
  <c r="O49" i="17"/>
  <c r="N49" i="17"/>
  <c r="M49" i="17"/>
  <c r="R48" i="17"/>
  <c r="Q48" i="17"/>
  <c r="O48" i="17"/>
  <c r="N48" i="17"/>
  <c r="M48" i="17"/>
  <c r="R47" i="17"/>
  <c r="Q47" i="17"/>
  <c r="O47" i="17"/>
  <c r="M47" i="17"/>
  <c r="M46" i="17"/>
  <c r="R45" i="17"/>
  <c r="Q45" i="17"/>
  <c r="O45" i="17"/>
  <c r="N45" i="17"/>
  <c r="M45" i="17"/>
  <c r="R43" i="17"/>
  <c r="Q43" i="17"/>
  <c r="O43" i="17"/>
  <c r="N43" i="17"/>
  <c r="M43" i="17"/>
  <c r="M41" i="17"/>
  <c r="R40" i="17"/>
  <c r="Q40" i="17"/>
  <c r="O40" i="17"/>
  <c r="N40" i="17"/>
  <c r="M40" i="17"/>
  <c r="R39" i="17"/>
  <c r="Q39" i="17"/>
  <c r="O39" i="17"/>
  <c r="N39" i="17"/>
  <c r="M39" i="17"/>
  <c r="R38" i="17"/>
  <c r="Q38" i="17"/>
  <c r="O38" i="17"/>
  <c r="N38" i="17"/>
  <c r="M38" i="17"/>
  <c r="R37" i="17"/>
  <c r="Q37" i="17"/>
  <c r="O37" i="17"/>
  <c r="N37" i="17"/>
  <c r="M37" i="17"/>
  <c r="R36" i="17"/>
  <c r="Q36" i="17"/>
  <c r="O36" i="17"/>
  <c r="M36" i="17"/>
  <c r="M35" i="17"/>
  <c r="E55" i="17"/>
  <c r="E54" i="17"/>
  <c r="M23" i="17"/>
  <c r="M53" i="17" s="1"/>
  <c r="E53" i="17"/>
  <c r="M22" i="17"/>
  <c r="M52" i="17" s="1"/>
  <c r="E52" i="17"/>
  <c r="E85" i="17" s="1"/>
  <c r="N85" i="17" s="1"/>
  <c r="M21" i="17"/>
  <c r="M51" i="17" s="1"/>
  <c r="E51" i="17"/>
  <c r="E84" i="17" s="1"/>
  <c r="N84" i="17" s="1"/>
  <c r="M20" i="17"/>
  <c r="M50" i="17" s="1"/>
  <c r="E50" i="17"/>
  <c r="E83" i="17" s="1"/>
  <c r="N83" i="17" s="1"/>
  <c r="E49" i="17"/>
  <c r="E48" i="17"/>
  <c r="E46" i="17"/>
  <c r="E45" i="17"/>
  <c r="M14" i="17"/>
  <c r="E44" i="17"/>
  <c r="E82" i="17" s="1"/>
  <c r="N82" i="17" s="1"/>
  <c r="E43" i="17"/>
  <c r="E81" i="17" s="1"/>
  <c r="N81" i="17" s="1"/>
  <c r="M12" i="17"/>
  <c r="E42" i="17"/>
  <c r="E41" i="17"/>
  <c r="E40" i="17"/>
  <c r="E39" i="17"/>
  <c r="E38" i="17"/>
  <c r="E37" i="17"/>
  <c r="E80" i="17" s="1"/>
  <c r="N80" i="17" s="1"/>
  <c r="E36" i="17"/>
  <c r="V104" i="16"/>
  <c r="V106" i="16" s="1"/>
  <c r="V111" i="16" s="1"/>
  <c r="AR114" i="16"/>
  <c r="AI114" i="16"/>
  <c r="V114" i="16"/>
  <c r="U114" i="16"/>
  <c r="T114" i="16"/>
  <c r="S114" i="16"/>
  <c r="P114" i="16"/>
  <c r="O114" i="16"/>
  <c r="M114" i="16"/>
  <c r="K114" i="16"/>
  <c r="J114" i="16"/>
  <c r="D114" i="16"/>
  <c r="AS113" i="16"/>
  <c r="AR113" i="16"/>
  <c r="AI113" i="16"/>
  <c r="V113" i="16"/>
  <c r="U113" i="16"/>
  <c r="T113" i="16"/>
  <c r="S113" i="16"/>
  <c r="P113" i="16"/>
  <c r="O113" i="16"/>
  <c r="M113" i="16"/>
  <c r="K113" i="16"/>
  <c r="J113" i="16"/>
  <c r="D113" i="16"/>
  <c r="AS112" i="16"/>
  <c r="AR112" i="16"/>
  <c r="AI112" i="16"/>
  <c r="V112" i="16"/>
  <c r="U112" i="16"/>
  <c r="T112" i="16"/>
  <c r="S112" i="16"/>
  <c r="P112" i="16"/>
  <c r="O112" i="16"/>
  <c r="M112" i="16"/>
  <c r="K112" i="16"/>
  <c r="J112" i="16"/>
  <c r="D112" i="16"/>
  <c r="AS111" i="16"/>
  <c r="AR111" i="16"/>
  <c r="AI111" i="16"/>
  <c r="K105" i="16"/>
  <c r="J105" i="16"/>
  <c r="D105" i="16"/>
  <c r="P104" i="16"/>
  <c r="P106" i="16" s="1"/>
  <c r="P111" i="16" s="1"/>
  <c r="P116" i="16" s="1"/>
  <c r="N23" i="21"/>
  <c r="N53" i="21" s="1"/>
  <c r="N69" i="21" s="1"/>
  <c r="P97" i="16"/>
  <c r="P96" i="16"/>
  <c r="AR91" i="16"/>
  <c r="AI91" i="16"/>
  <c r="T91" i="16"/>
  <c r="S91" i="16"/>
  <c r="O91" i="16"/>
  <c r="O97" i="16" s="1"/>
  <c r="M91" i="16"/>
  <c r="K91" i="16"/>
  <c r="J91" i="16"/>
  <c r="D91" i="16"/>
  <c r="D97" i="16" s="1"/>
  <c r="AR90" i="16"/>
  <c r="AI90" i="16"/>
  <c r="T90" i="16"/>
  <c r="S90" i="16"/>
  <c r="O90" i="16"/>
  <c r="M90" i="16"/>
  <c r="K90" i="16"/>
  <c r="J90" i="16"/>
  <c r="D90" i="16"/>
  <c r="T97" i="16"/>
  <c r="N12" i="21"/>
  <c r="N42" i="21" s="1"/>
  <c r="N64" i="21" s="1"/>
  <c r="DD47" i="18" l="1"/>
  <c r="CX46" i="18"/>
  <c r="CX9" i="18" s="1"/>
  <c r="DH49" i="18"/>
  <c r="AS26" i="19"/>
  <c r="Q26" i="19"/>
  <c r="AO26" i="19" s="1"/>
  <c r="K26" i="19"/>
  <c r="AI26" i="19" s="1"/>
  <c r="S26" i="19"/>
  <c r="AQ26" i="19" s="1"/>
  <c r="M26" i="19"/>
  <c r="AK26" i="19" s="1"/>
  <c r="O26" i="19"/>
  <c r="AM26" i="19" s="1"/>
  <c r="DN47" i="18"/>
  <c r="CX49" i="18"/>
  <c r="DJ49" i="18"/>
  <c r="AS25" i="19"/>
  <c r="M25" i="19"/>
  <c r="AK25" i="19" s="1"/>
  <c r="Q25" i="19"/>
  <c r="AO25" i="19" s="1"/>
  <c r="K25" i="19"/>
  <c r="AI25" i="19" s="1"/>
  <c r="S25" i="19"/>
  <c r="AQ25" i="19" s="1"/>
  <c r="O25" i="19"/>
  <c r="AM25" i="19" s="1"/>
  <c r="CX47" i="18"/>
  <c r="CY47" i="18"/>
  <c r="AS24" i="19"/>
  <c r="Q24" i="19"/>
  <c r="AO24" i="19" s="1"/>
  <c r="M24" i="19"/>
  <c r="AK24" i="19" s="1"/>
  <c r="O24" i="19"/>
  <c r="AM24" i="19" s="1"/>
  <c r="K24" i="19"/>
  <c r="AI24" i="19" s="1"/>
  <c r="S24" i="19"/>
  <c r="AQ24" i="19" s="1"/>
  <c r="DN49" i="18"/>
  <c r="DB47" i="18"/>
  <c r="DJ47" i="18"/>
  <c r="DB49" i="18"/>
  <c r="DB50" i="18" s="1"/>
  <c r="DB7" i="18" s="1"/>
  <c r="M23" i="19"/>
  <c r="AK23" i="19" s="1"/>
  <c r="O23" i="19"/>
  <c r="AM23" i="19" s="1"/>
  <c r="K23" i="19"/>
  <c r="AI23" i="19" s="1"/>
  <c r="S23" i="19"/>
  <c r="AQ23" i="19" s="1"/>
  <c r="Q23" i="19"/>
  <c r="AO23" i="19" s="1"/>
  <c r="AS27" i="19"/>
  <c r="Q27" i="19"/>
  <c r="AO27" i="19" s="1"/>
  <c r="M27" i="19"/>
  <c r="AK27" i="19" s="1"/>
  <c r="O27" i="19"/>
  <c r="AM27" i="19" s="1"/>
  <c r="K27" i="19"/>
  <c r="AI27" i="19" s="1"/>
  <c r="S27" i="19"/>
  <c r="AQ27" i="19" s="1"/>
  <c r="V116" i="16"/>
  <c r="Q23" i="17" s="1"/>
  <c r="Q53" i="17" s="1"/>
  <c r="Q69" i="17" s="1"/>
  <c r="AS116" i="16"/>
  <c r="AS121" i="16" s="1"/>
  <c r="DM50" i="18"/>
  <c r="DM7" i="18" s="1"/>
  <c r="DA38" i="18"/>
  <c r="DI47" i="18"/>
  <c r="I29" i="19" s="1"/>
  <c r="AS30" i="19"/>
  <c r="O30" i="19"/>
  <c r="AM30" i="19" s="1"/>
  <c r="Q30" i="19"/>
  <c r="AO30" i="19" s="1"/>
  <c r="M30" i="19"/>
  <c r="AK30" i="19" s="1"/>
  <c r="K30" i="19"/>
  <c r="AI30" i="19" s="1"/>
  <c r="S30" i="19"/>
  <c r="AQ30" i="19" s="1"/>
  <c r="DP38" i="18"/>
  <c r="DJ38" i="18"/>
  <c r="DR47" i="18"/>
  <c r="I30" i="19" s="1"/>
  <c r="AG30" i="19" s="1"/>
  <c r="DD50" i="18"/>
  <c r="DD7" i="18" s="1"/>
  <c r="P28" i="17"/>
  <c r="P94" i="17"/>
  <c r="DR49" i="18"/>
  <c r="J29" i="19"/>
  <c r="AH29" i="19" s="1"/>
  <c r="U16" i="19"/>
  <c r="AS16" i="19" s="1"/>
  <c r="AS53" i="19" s="1"/>
  <c r="DO47" i="18"/>
  <c r="U12" i="19"/>
  <c r="AI12" i="19" s="1"/>
  <c r="DL47" i="18"/>
  <c r="I12" i="19" s="1"/>
  <c r="AG12" i="19" s="1"/>
  <c r="U42" i="19"/>
  <c r="G42" i="19"/>
  <c r="AE42" i="19" s="1"/>
  <c r="S41" i="19"/>
  <c r="AS41" i="19"/>
  <c r="M41" i="19"/>
  <c r="O41" i="19"/>
  <c r="Q41" i="19"/>
  <c r="DF47" i="18"/>
  <c r="I11" i="19" s="1"/>
  <c r="AG11" i="19" s="1"/>
  <c r="G29" i="19"/>
  <c r="AE29" i="19" s="1"/>
  <c r="DI49" i="18"/>
  <c r="DF38" i="18"/>
  <c r="G11" i="19" s="1"/>
  <c r="AE11" i="19" s="1"/>
  <c r="DF49" i="18"/>
  <c r="H12" i="19"/>
  <c r="AF12" i="19" s="1"/>
  <c r="DL49" i="18"/>
  <c r="F12" i="19" s="1"/>
  <c r="AD12" i="19" s="1"/>
  <c r="P57" i="17"/>
  <c r="G30" i="19"/>
  <c r="AE30" i="19" s="1"/>
  <c r="H30" i="19"/>
  <c r="AF30" i="19" s="1"/>
  <c r="K43" i="25"/>
  <c r="Y43" i="25" s="1"/>
  <c r="Y12" i="25"/>
  <c r="DE38" i="18"/>
  <c r="DE50" i="18"/>
  <c r="DE7" i="18" s="1"/>
  <c r="I16" i="19"/>
  <c r="AG16" i="19" s="1"/>
  <c r="AG53" i="19" s="1"/>
  <c r="AG55" i="19" s="1"/>
  <c r="O28" i="31" s="1"/>
  <c r="J16" i="19"/>
  <c r="AH16" i="19" s="1"/>
  <c r="AH53" i="19" s="1"/>
  <c r="DB38" i="18"/>
  <c r="G15" i="25"/>
  <c r="U15" i="25" s="1"/>
  <c r="DN50" i="18"/>
  <c r="DN7" i="18" s="1"/>
  <c r="DN38" i="18"/>
  <c r="D89" i="22"/>
  <c r="D74" i="22"/>
  <c r="D85" i="22" s="1"/>
  <c r="L94" i="23"/>
  <c r="DD50" i="24"/>
  <c r="DD7" i="24" s="1"/>
  <c r="DO47" i="24"/>
  <c r="I16" i="25" s="1"/>
  <c r="W16" i="25" s="1"/>
  <c r="J16" i="25"/>
  <c r="X16" i="25" s="1"/>
  <c r="DK50" i="18"/>
  <c r="DK7" i="18" s="1"/>
  <c r="K41" i="28"/>
  <c r="Y41" i="28" s="1"/>
  <c r="K41" i="25"/>
  <c r="Y41" i="25" s="1"/>
  <c r="DL47" i="24"/>
  <c r="I12" i="25" s="1"/>
  <c r="W12" i="25" s="1"/>
  <c r="K12" i="28"/>
  <c r="CZ34" i="24"/>
  <c r="CZ37" i="24" s="1"/>
  <c r="H41" i="25" s="1"/>
  <c r="V41" i="25" s="1"/>
  <c r="DG50" i="18"/>
  <c r="DG7" i="18" s="1"/>
  <c r="J12" i="19"/>
  <c r="DP50" i="18"/>
  <c r="DP7" i="18" s="1"/>
  <c r="DM38" i="24"/>
  <c r="K29" i="28"/>
  <c r="Y29" i="28" s="1"/>
  <c r="CY50" i="18"/>
  <c r="CY7" i="18" s="1"/>
  <c r="DD38" i="18"/>
  <c r="DJ50" i="18"/>
  <c r="DJ7" i="18" s="1"/>
  <c r="DO50" i="18"/>
  <c r="H16" i="19"/>
  <c r="AF16" i="19" s="1"/>
  <c r="AF53" i="19" s="1"/>
  <c r="DH50" i="18"/>
  <c r="DH7" i="18" s="1"/>
  <c r="DH38" i="18"/>
  <c r="H29" i="19"/>
  <c r="AF29" i="19" s="1"/>
  <c r="V102" i="22"/>
  <c r="V107" i="22" s="1"/>
  <c r="V72" i="22" s="1"/>
  <c r="D91" i="23"/>
  <c r="D89" i="23"/>
  <c r="D85" i="23"/>
  <c r="D94" i="23" s="1"/>
  <c r="K42" i="25"/>
  <c r="Y42" i="25" s="1"/>
  <c r="K42" i="28"/>
  <c r="Y42" i="28" s="1"/>
  <c r="X12" i="25"/>
  <c r="J43" i="25"/>
  <c r="X43" i="25" s="1"/>
  <c r="L94" i="27"/>
  <c r="L70" i="27"/>
  <c r="DM38" i="18"/>
  <c r="DQ38" i="18"/>
  <c r="J11" i="19"/>
  <c r="AH11" i="19" s="1"/>
  <c r="DQ50" i="18"/>
  <c r="DQ7" i="18" s="1"/>
  <c r="CZ37" i="18"/>
  <c r="U29" i="19"/>
  <c r="L70" i="21"/>
  <c r="L70" i="23"/>
  <c r="D79" i="17"/>
  <c r="M28" i="17"/>
  <c r="AS7" i="19"/>
  <c r="AO7" i="19"/>
  <c r="AK7" i="19"/>
  <c r="S7" i="19"/>
  <c r="O7" i="19"/>
  <c r="Q7" i="19"/>
  <c r="AQ7" i="19"/>
  <c r="K7" i="19"/>
  <c r="AM7" i="19"/>
  <c r="AI7" i="19"/>
  <c r="M7" i="19"/>
  <c r="AS13" i="19"/>
  <c r="AO13" i="19"/>
  <c r="AK13" i="19"/>
  <c r="Q13" i="19"/>
  <c r="O13" i="19"/>
  <c r="S13" i="19"/>
  <c r="M13" i="19"/>
  <c r="AQ13" i="19"/>
  <c r="AM13" i="19"/>
  <c r="AI13" i="19"/>
  <c r="K13" i="19"/>
  <c r="AS15" i="19"/>
  <c r="AO15" i="19"/>
  <c r="AK15" i="19"/>
  <c r="M15" i="19"/>
  <c r="O15" i="19"/>
  <c r="Q15" i="19"/>
  <c r="AQ15" i="19"/>
  <c r="K15" i="19"/>
  <c r="S15" i="19"/>
  <c r="AI15" i="19"/>
  <c r="AM15" i="19"/>
  <c r="AS10" i="19"/>
  <c r="AM10" i="19"/>
  <c r="S10" i="19"/>
  <c r="K10" i="19"/>
  <c r="AQ10" i="19"/>
  <c r="AI10" i="19"/>
  <c r="AK10" i="19"/>
  <c r="AO10" i="19"/>
  <c r="Q10" i="19"/>
  <c r="O10" i="19"/>
  <c r="M10" i="19"/>
  <c r="AQ4" i="19"/>
  <c r="AI4" i="19"/>
  <c r="Q4" i="19"/>
  <c r="AM4" i="19"/>
  <c r="S4" i="19"/>
  <c r="O4" i="19"/>
  <c r="AO4" i="19"/>
  <c r="AK4" i="19"/>
  <c r="M4" i="19"/>
  <c r="AS8" i="19"/>
  <c r="AQ8" i="19"/>
  <c r="AI8" i="19"/>
  <c r="AM8" i="19"/>
  <c r="O8" i="19"/>
  <c r="K8" i="19"/>
  <c r="AK8" i="19"/>
  <c r="Q8" i="19"/>
  <c r="M8" i="19"/>
  <c r="AO8" i="19"/>
  <c r="S8" i="19"/>
  <c r="AS11" i="19"/>
  <c r="AK11" i="19"/>
  <c r="AO11" i="19"/>
  <c r="M11" i="19"/>
  <c r="AM11" i="19"/>
  <c r="Q11" i="19"/>
  <c r="O11" i="19"/>
  <c r="S11" i="19"/>
  <c r="AI11" i="19"/>
  <c r="K11" i="19"/>
  <c r="AQ11" i="19"/>
  <c r="AS6" i="19"/>
  <c r="AQ6" i="19"/>
  <c r="AI6" i="19"/>
  <c r="AM6" i="19"/>
  <c r="K6" i="19"/>
  <c r="AK6" i="19"/>
  <c r="M6" i="19"/>
  <c r="O6" i="19"/>
  <c r="S6" i="19"/>
  <c r="Q6" i="19"/>
  <c r="AO6" i="19"/>
  <c r="AS5" i="19"/>
  <c r="O5" i="19"/>
  <c r="M5" i="19"/>
  <c r="AO5" i="19"/>
  <c r="AK5" i="19"/>
  <c r="AI5" i="19"/>
  <c r="Q5" i="19"/>
  <c r="AQ5" i="19"/>
  <c r="S5" i="19"/>
  <c r="K5" i="19"/>
  <c r="AM5" i="19"/>
  <c r="O16" i="19"/>
  <c r="DQ47" i="24"/>
  <c r="DM49" i="24"/>
  <c r="DM50" i="24" s="1"/>
  <c r="DM7" i="24" s="1"/>
  <c r="DQ49" i="24"/>
  <c r="DE49" i="24"/>
  <c r="DE50" i="24" s="1"/>
  <c r="DE7" i="24" s="1"/>
  <c r="CS56" i="13"/>
  <c r="CS57" i="13" s="1"/>
  <c r="CS58" i="13" s="1"/>
  <c r="CO56" i="13"/>
  <c r="CO57" i="13" s="1"/>
  <c r="CO58" i="13" s="1"/>
  <c r="CK56" i="13"/>
  <c r="CK57" i="13" s="1"/>
  <c r="CG56" i="13"/>
  <c r="CG57" i="13" s="1"/>
  <c r="CG58" i="13" s="1"/>
  <c r="CC56" i="13"/>
  <c r="CC57" i="13" s="1"/>
  <c r="CC58" i="13" s="1"/>
  <c r="BY56" i="13"/>
  <c r="BY57" i="13" s="1"/>
  <c r="BY58" i="13" s="1"/>
  <c r="I23" i="28" s="1"/>
  <c r="BU56" i="13"/>
  <c r="BU57" i="13" s="1"/>
  <c r="BQ56" i="13"/>
  <c r="BQ57" i="13" s="1"/>
  <c r="BQ58" i="13" s="1"/>
  <c r="BM56" i="13"/>
  <c r="BM57" i="13" s="1"/>
  <c r="BM58" i="13" s="1"/>
  <c r="BI56" i="13"/>
  <c r="BI57" i="13" s="1"/>
  <c r="BI59" i="13" s="1"/>
  <c r="BE56" i="13"/>
  <c r="BE57" i="13" s="1"/>
  <c r="BA56" i="13"/>
  <c r="BA57" i="13" s="1"/>
  <c r="BA58" i="13" s="1"/>
  <c r="AW56" i="13"/>
  <c r="AW57" i="13" s="1"/>
  <c r="AW58" i="13" s="1"/>
  <c r="AS56" i="13"/>
  <c r="AS57" i="13" s="1"/>
  <c r="AS58" i="13" s="1"/>
  <c r="AO56" i="13"/>
  <c r="AO57" i="13" s="1"/>
  <c r="AK56" i="13"/>
  <c r="AK57" i="13" s="1"/>
  <c r="AK58" i="13" s="1"/>
  <c r="AG56" i="13"/>
  <c r="AG57" i="13" s="1"/>
  <c r="AG58" i="13" s="1"/>
  <c r="AC56" i="13"/>
  <c r="AC57" i="13" s="1"/>
  <c r="AC58" i="13" s="1"/>
  <c r="Y56" i="13"/>
  <c r="Y57" i="13" s="1"/>
  <c r="U56" i="13"/>
  <c r="U57" i="13" s="1"/>
  <c r="U58" i="13" s="1"/>
  <c r="I7" i="28" s="1"/>
  <c r="Q56" i="13"/>
  <c r="Q57" i="13" s="1"/>
  <c r="Q58" i="13" s="1"/>
  <c r="M56" i="13"/>
  <c r="M57" i="13" s="1"/>
  <c r="M58" i="13" s="1"/>
  <c r="I56" i="13"/>
  <c r="I57" i="13" s="1"/>
  <c r="CR56" i="13"/>
  <c r="CR57" i="13" s="1"/>
  <c r="CR58" i="13" s="1"/>
  <c r="CN56" i="13"/>
  <c r="CN57" i="13" s="1"/>
  <c r="CN58" i="13" s="1"/>
  <c r="CJ56" i="13"/>
  <c r="CJ57" i="13" s="1"/>
  <c r="CJ58" i="13" s="1"/>
  <c r="CF56" i="13"/>
  <c r="CF57" i="13" s="1"/>
  <c r="CF58" i="13" s="1"/>
  <c r="CB56" i="13"/>
  <c r="CB57" i="13" s="1"/>
  <c r="CB58" i="13" s="1"/>
  <c r="BX56" i="13"/>
  <c r="BX57" i="13" s="1"/>
  <c r="BX58" i="13" s="1"/>
  <c r="BT56" i="13"/>
  <c r="BT57" i="13" s="1"/>
  <c r="BT59" i="13" s="1"/>
  <c r="F15" i="28" s="1"/>
  <c r="T15" i="28" s="1"/>
  <c r="BP56" i="13"/>
  <c r="BP57" i="13" s="1"/>
  <c r="BP58" i="13" s="1"/>
  <c r="BL56" i="13"/>
  <c r="BL57" i="13" s="1"/>
  <c r="BL58" i="13" s="1"/>
  <c r="BH56" i="13"/>
  <c r="BH57" i="13" s="1"/>
  <c r="BH58" i="13" s="1"/>
  <c r="BD56" i="13"/>
  <c r="BD57" i="13" s="1"/>
  <c r="BD58" i="13" s="1"/>
  <c r="AZ56" i="13"/>
  <c r="AZ57" i="13" s="1"/>
  <c r="AZ59" i="13" s="1"/>
  <c r="AV56" i="13"/>
  <c r="AV57" i="13" s="1"/>
  <c r="AV58" i="13" s="1"/>
  <c r="AR56" i="13"/>
  <c r="AR57" i="13" s="1"/>
  <c r="AR58" i="13" s="1"/>
  <c r="AN56" i="13"/>
  <c r="AN57" i="13" s="1"/>
  <c r="AN58" i="13" s="1"/>
  <c r="AJ56" i="13"/>
  <c r="AJ57" i="13" s="1"/>
  <c r="AJ58" i="13" s="1"/>
  <c r="I26" i="28" s="1"/>
  <c r="AF56" i="13"/>
  <c r="AF57" i="13" s="1"/>
  <c r="AF58" i="13" s="1"/>
  <c r="AB56" i="13"/>
  <c r="AB57" i="13" s="1"/>
  <c r="AB58" i="13" s="1"/>
  <c r="X56" i="13"/>
  <c r="X57" i="13" s="1"/>
  <c r="X58" i="13" s="1"/>
  <c r="T56" i="13"/>
  <c r="T57" i="13" s="1"/>
  <c r="T58" i="13" s="1"/>
  <c r="P56" i="13"/>
  <c r="P57" i="13" s="1"/>
  <c r="P58" i="13" s="1"/>
  <c r="I40" i="28" s="1"/>
  <c r="L56" i="13"/>
  <c r="L57" i="13" s="1"/>
  <c r="L58" i="13" s="1"/>
  <c r="H56" i="13"/>
  <c r="H57" i="13" s="1"/>
  <c r="H58" i="13" s="1"/>
  <c r="H42" i="19"/>
  <c r="AF42" i="19" s="1"/>
  <c r="H16" i="28"/>
  <c r="V16" i="28" s="1"/>
  <c r="H42" i="28"/>
  <c r="V42" i="28" s="1"/>
  <c r="H11" i="25"/>
  <c r="V11" i="25" s="1"/>
  <c r="H12" i="25"/>
  <c r="V12" i="25" s="1"/>
  <c r="H29" i="25"/>
  <c r="V29" i="25" s="1"/>
  <c r="H30" i="25"/>
  <c r="V30" i="25" s="1"/>
  <c r="F56" i="13"/>
  <c r="F57" i="13" s="1"/>
  <c r="J39" i="28" s="1"/>
  <c r="X39" i="28" s="1"/>
  <c r="CQ56" i="13"/>
  <c r="CQ57" i="13" s="1"/>
  <c r="CQ58" i="13" s="1"/>
  <c r="CM56" i="13"/>
  <c r="CM57" i="13" s="1"/>
  <c r="CM58" i="13" s="1"/>
  <c r="CI56" i="13"/>
  <c r="CI57" i="13" s="1"/>
  <c r="CE56" i="13"/>
  <c r="CE57" i="13" s="1"/>
  <c r="CE58" i="13" s="1"/>
  <c r="CA56" i="13"/>
  <c r="CA57" i="13" s="1"/>
  <c r="CA58" i="13" s="1"/>
  <c r="BW56" i="13"/>
  <c r="BW57" i="13" s="1"/>
  <c r="BW58" i="13" s="1"/>
  <c r="BS56" i="13"/>
  <c r="BS57" i="13" s="1"/>
  <c r="BO56" i="13"/>
  <c r="BO57" i="13" s="1"/>
  <c r="BO58" i="13" s="1"/>
  <c r="I13" i="28" s="1"/>
  <c r="W13" i="28" s="1"/>
  <c r="BK56" i="13"/>
  <c r="BK57" i="13" s="1"/>
  <c r="BK59" i="13" s="1"/>
  <c r="O126" i="7"/>
  <c r="O127" i="7" s="1"/>
  <c r="U126" i="7"/>
  <c r="U127" i="7" s="1"/>
  <c r="N22" i="27" s="1"/>
  <c r="N52" i="27" s="1"/>
  <c r="N68" i="27" s="1"/>
  <c r="F93" i="27" s="1"/>
  <c r="N93" i="27" s="1"/>
  <c r="J75" i="26"/>
  <c r="J86" i="26" s="1"/>
  <c r="V75" i="26"/>
  <c r="V86" i="26" s="1"/>
  <c r="M126" i="7"/>
  <c r="M127" i="7" s="1"/>
  <c r="N14" i="27" s="1"/>
  <c r="N44" i="27" s="1"/>
  <c r="N65" i="27" s="1"/>
  <c r="T126" i="7"/>
  <c r="T127" i="7" s="1"/>
  <c r="N21" i="27" s="1"/>
  <c r="N51" i="27" s="1"/>
  <c r="N67" i="27" s="1"/>
  <c r="J126" i="7"/>
  <c r="J127" i="7" s="1"/>
  <c r="N11" i="27" s="1"/>
  <c r="N41" i="27" s="1"/>
  <c r="V126" i="7"/>
  <c r="V127" i="7" s="1"/>
  <c r="N23" i="27" s="1"/>
  <c r="N53" i="27" s="1"/>
  <c r="N69" i="27" s="1"/>
  <c r="G90" i="23"/>
  <c r="O90" i="23" s="1"/>
  <c r="J84" i="22"/>
  <c r="F90" i="17"/>
  <c r="O90" i="17" s="1"/>
  <c r="O104" i="17" s="1"/>
  <c r="F90" i="21"/>
  <c r="N90" i="21" s="1"/>
  <c r="F91" i="21"/>
  <c r="N91" i="21" s="1"/>
  <c r="F91" i="17"/>
  <c r="O91" i="17" s="1"/>
  <c r="O103" i="17" s="1"/>
  <c r="AI96" i="16"/>
  <c r="AI97" i="16"/>
  <c r="P119" i="16"/>
  <c r="O53" i="17"/>
  <c r="O69" i="17" s="1"/>
  <c r="O42" i="17"/>
  <c r="O64" i="17" s="1"/>
  <c r="O101" i="17" s="1"/>
  <c r="N16" i="27"/>
  <c r="N46" i="27" s="1"/>
  <c r="CK58" i="13"/>
  <c r="CK59" i="13"/>
  <c r="BU58" i="13"/>
  <c r="BU59" i="13"/>
  <c r="BE58" i="13"/>
  <c r="BE59" i="13"/>
  <c r="AO58" i="13"/>
  <c r="I25" i="28" s="1"/>
  <c r="J25" i="28"/>
  <c r="X25" i="28" s="1"/>
  <c r="AO59" i="13"/>
  <c r="F25" i="28" s="1"/>
  <c r="T25" i="28" s="1"/>
  <c r="AC59" i="13"/>
  <c r="Y58" i="13"/>
  <c r="Y59" i="13"/>
  <c r="M59" i="13"/>
  <c r="I58" i="13"/>
  <c r="I59" i="13"/>
  <c r="AI126" i="7"/>
  <c r="AI127" i="7" s="1"/>
  <c r="K126" i="7"/>
  <c r="K127" i="7" s="1"/>
  <c r="F58" i="13"/>
  <c r="CI58" i="13"/>
  <c r="CI59" i="13"/>
  <c r="BS58" i="13"/>
  <c r="BS59" i="13"/>
  <c r="BO59" i="13"/>
  <c r="F13" i="28" s="1"/>
  <c r="T13" i="28" s="1"/>
  <c r="AZ58" i="13"/>
  <c r="S126" i="7"/>
  <c r="S127" i="7" s="1"/>
  <c r="AS126" i="7"/>
  <c r="AS127" i="7" s="1"/>
  <c r="H28" i="27"/>
  <c r="CN59" i="13"/>
  <c r="CJ59" i="13"/>
  <c r="AV59" i="13"/>
  <c r="AR59" i="13"/>
  <c r="J4" i="28"/>
  <c r="X4" i="28" s="1"/>
  <c r="J8" i="28"/>
  <c r="X8" i="28" s="1"/>
  <c r="J26" i="28"/>
  <c r="X26" i="28" s="1"/>
  <c r="BG56" i="13"/>
  <c r="BG57" i="13" s="1"/>
  <c r="BC56" i="13"/>
  <c r="BC57" i="13" s="1"/>
  <c r="AY56" i="13"/>
  <c r="AY57" i="13" s="1"/>
  <c r="AU56" i="13"/>
  <c r="AU57" i="13" s="1"/>
  <c r="AQ56" i="13"/>
  <c r="AQ57" i="13" s="1"/>
  <c r="AM56" i="13"/>
  <c r="AM57" i="13" s="1"/>
  <c r="AI56" i="13"/>
  <c r="AI57" i="13" s="1"/>
  <c r="AE56" i="13"/>
  <c r="AE57" i="13" s="1"/>
  <c r="AA56" i="13"/>
  <c r="AA57" i="13" s="1"/>
  <c r="W56" i="13"/>
  <c r="W57" i="13" s="1"/>
  <c r="S56" i="13"/>
  <c r="S57" i="13" s="1"/>
  <c r="O56" i="13"/>
  <c r="O57" i="13" s="1"/>
  <c r="K56" i="13"/>
  <c r="K57" i="13" s="1"/>
  <c r="G56" i="13"/>
  <c r="G57" i="13" s="1"/>
  <c r="BT58" i="13"/>
  <c r="I15" i="28" s="1"/>
  <c r="W15" i="28" s="1"/>
  <c r="BJ58" i="13"/>
  <c r="I14" i="28" s="1"/>
  <c r="W14" i="28" s="1"/>
  <c r="J14" i="28"/>
  <c r="X14" i="28" s="1"/>
  <c r="CT59" i="13"/>
  <c r="CP59" i="13"/>
  <c r="CL59" i="13"/>
  <c r="CH59" i="13"/>
  <c r="CD59" i="13"/>
  <c r="F24" i="28" s="1"/>
  <c r="T24" i="28" s="1"/>
  <c r="BZ59" i="13"/>
  <c r="BV59" i="13"/>
  <c r="BR59" i="13"/>
  <c r="BN59" i="13"/>
  <c r="BJ59" i="13"/>
  <c r="F14" i="28" s="1"/>
  <c r="T14" i="28" s="1"/>
  <c r="BF59" i="13"/>
  <c r="F28" i="28" s="1"/>
  <c r="T28" i="28" s="1"/>
  <c r="BB59" i="13"/>
  <c r="AX59" i="13"/>
  <c r="AT59" i="13"/>
  <c r="F8" i="28" s="1"/>
  <c r="T8" i="28" s="1"/>
  <c r="AP59" i="13"/>
  <c r="AL59" i="13"/>
  <c r="AH59" i="13"/>
  <c r="AD59" i="13"/>
  <c r="Z59" i="13"/>
  <c r="F4" i="28" s="1"/>
  <c r="T4" i="28" s="1"/>
  <c r="V59" i="13"/>
  <c r="R59" i="13"/>
  <c r="N59" i="13"/>
  <c r="J59" i="13"/>
  <c r="J24" i="28"/>
  <c r="X24" i="28" s="1"/>
  <c r="CS59" i="13"/>
  <c r="CC59" i="13"/>
  <c r="AG59" i="13"/>
  <c r="U59" i="13"/>
  <c r="F7" i="28" s="1"/>
  <c r="T7" i="28" s="1"/>
  <c r="K18" i="25"/>
  <c r="L32" i="28"/>
  <c r="Z24" i="28"/>
  <c r="Z18" i="28"/>
  <c r="Z32" i="28"/>
  <c r="L18" i="28"/>
  <c r="Y12" i="28"/>
  <c r="Y18" i="28" s="1"/>
  <c r="Y37" i="28"/>
  <c r="H43" i="28"/>
  <c r="V43" i="28" s="1"/>
  <c r="L43" i="28"/>
  <c r="Z43" i="28" s="1"/>
  <c r="Y23" i="28"/>
  <c r="V32" i="19"/>
  <c r="AS23" i="19"/>
  <c r="L18" i="25"/>
  <c r="L32" i="25"/>
  <c r="L57" i="27"/>
  <c r="L28" i="27"/>
  <c r="D79" i="27"/>
  <c r="D84" i="27"/>
  <c r="D88" i="27"/>
  <c r="D93" i="27"/>
  <c r="D80" i="27"/>
  <c r="D85" i="27"/>
  <c r="D89" i="27"/>
  <c r="D126" i="7"/>
  <c r="D127" i="7" s="1"/>
  <c r="P126" i="7"/>
  <c r="P127" i="7" s="1"/>
  <c r="D74" i="7"/>
  <c r="D75" i="7" s="1"/>
  <c r="AN74" i="7"/>
  <c r="AN75" i="7" s="1"/>
  <c r="AJ74" i="7"/>
  <c r="AJ75" i="7" s="1"/>
  <c r="AF74" i="7"/>
  <c r="AF75" i="7" s="1"/>
  <c r="AB74" i="7"/>
  <c r="AB75" i="7" s="1"/>
  <c r="T74" i="7"/>
  <c r="T75" i="7" s="1"/>
  <c r="P74" i="7"/>
  <c r="P75" i="7" s="1"/>
  <c r="L74" i="7"/>
  <c r="L75" i="7" s="1"/>
  <c r="H74" i="7"/>
  <c r="H75" i="7" s="1"/>
  <c r="J74" i="7"/>
  <c r="J75" i="7" s="1"/>
  <c r="R74" i="7"/>
  <c r="R75" i="7" s="1"/>
  <c r="V74" i="7"/>
  <c r="V75" i="7" s="1"/>
  <c r="AD74" i="7"/>
  <c r="AD75" i="7" s="1"/>
  <c r="AL74" i="7"/>
  <c r="AL75" i="7" s="1"/>
  <c r="AP75" i="7"/>
  <c r="AH75" i="7"/>
  <c r="Z75" i="7"/>
  <c r="N75" i="7"/>
  <c r="F75" i="7"/>
  <c r="AQ75" i="7"/>
  <c r="AM75" i="7"/>
  <c r="AI75" i="7"/>
  <c r="AE75" i="7"/>
  <c r="AA75" i="7"/>
  <c r="W75" i="7"/>
  <c r="S75" i="7"/>
  <c r="O75" i="7"/>
  <c r="K75" i="7"/>
  <c r="G75" i="7"/>
  <c r="AO75" i="7"/>
  <c r="AK75" i="7"/>
  <c r="AG75" i="7"/>
  <c r="AC75" i="7"/>
  <c r="Y75" i="7"/>
  <c r="U75" i="7"/>
  <c r="Q75" i="7"/>
  <c r="M75" i="7"/>
  <c r="I75" i="7"/>
  <c r="E75" i="7"/>
  <c r="X75" i="7"/>
  <c r="F28" i="21"/>
  <c r="H28" i="21"/>
  <c r="G28" i="23"/>
  <c r="F94" i="21"/>
  <c r="F28" i="23"/>
  <c r="H28" i="23"/>
  <c r="E28" i="23"/>
  <c r="K86" i="26"/>
  <c r="S86" i="26"/>
  <c r="AI86" i="26"/>
  <c r="AR86" i="26"/>
  <c r="AS86" i="26"/>
  <c r="P86" i="26"/>
  <c r="D28" i="26"/>
  <c r="D84" i="26"/>
  <c r="M85" i="26"/>
  <c r="M86" i="26"/>
  <c r="T85" i="26"/>
  <c r="T86" i="26"/>
  <c r="AI103" i="26"/>
  <c r="AI108" i="26" s="1"/>
  <c r="AI73" i="26" s="1"/>
  <c r="AS103" i="26"/>
  <c r="AS108" i="26" s="1"/>
  <c r="AR103" i="26"/>
  <c r="AR104" i="26" s="1"/>
  <c r="AR71" i="26" s="1"/>
  <c r="U92" i="26"/>
  <c r="U94" i="26" s="1"/>
  <c r="U99" i="26" s="1"/>
  <c r="U103" i="26" s="1"/>
  <c r="U108" i="26" s="1"/>
  <c r="U73" i="26" s="1"/>
  <c r="U86" i="26"/>
  <c r="D92" i="26"/>
  <c r="O92" i="26"/>
  <c r="O94" i="26" s="1"/>
  <c r="O99" i="26" s="1"/>
  <c r="O103" i="26" s="1"/>
  <c r="O108" i="26" s="1"/>
  <c r="O73" i="26" s="1"/>
  <c r="O84" i="26"/>
  <c r="O86" i="26"/>
  <c r="O85" i="26"/>
  <c r="AR105" i="26"/>
  <c r="AR72" i="26" s="1"/>
  <c r="J84" i="26"/>
  <c r="P84" i="26"/>
  <c r="J92" i="26"/>
  <c r="P92" i="26"/>
  <c r="P94" i="26" s="1"/>
  <c r="P99" i="26" s="1"/>
  <c r="P103" i="26" s="1"/>
  <c r="P108" i="26" s="1"/>
  <c r="P73" i="26" s="1"/>
  <c r="K84" i="26"/>
  <c r="J85" i="26"/>
  <c r="P85" i="26"/>
  <c r="M84" i="26"/>
  <c r="T84" i="26"/>
  <c r="M92" i="26"/>
  <c r="T92" i="26"/>
  <c r="T94" i="26" s="1"/>
  <c r="T99" i="26" s="1"/>
  <c r="T103" i="26" s="1"/>
  <c r="T108" i="26" s="1"/>
  <c r="T73" i="26" s="1"/>
  <c r="O23" i="23"/>
  <c r="O53" i="23" s="1"/>
  <c r="O69" i="23" s="1"/>
  <c r="N5" i="23"/>
  <c r="N35" i="23" s="1"/>
  <c r="F92" i="23" s="1"/>
  <c r="N92" i="23" s="1"/>
  <c r="M83" i="22"/>
  <c r="Y37" i="25"/>
  <c r="H43" i="25"/>
  <c r="V43" i="25" s="1"/>
  <c r="L43" i="25"/>
  <c r="Z43" i="25" s="1"/>
  <c r="Y4" i="25"/>
  <c r="Y18" i="25" s="1"/>
  <c r="Z12" i="25"/>
  <c r="Z18" i="25" s="1"/>
  <c r="Y23" i="25"/>
  <c r="I43" i="25"/>
  <c r="W43" i="25" s="1"/>
  <c r="Z23" i="25"/>
  <c r="Z32" i="25" s="1"/>
  <c r="DA49" i="24"/>
  <c r="DA50" i="24" s="1"/>
  <c r="DA7" i="24" s="1"/>
  <c r="DO49" i="24"/>
  <c r="DK47" i="24"/>
  <c r="DB49" i="24"/>
  <c r="DB50" i="24" s="1"/>
  <c r="DB7" i="24" s="1"/>
  <c r="DK49" i="24"/>
  <c r="DK50" i="24" s="1"/>
  <c r="DK7" i="24" s="1"/>
  <c r="DP38" i="24"/>
  <c r="DE47" i="24"/>
  <c r="DI47" i="24"/>
  <c r="I29" i="25" s="1"/>
  <c r="W29" i="25" s="1"/>
  <c r="DG47" i="24"/>
  <c r="DN38" i="24"/>
  <c r="DB38" i="24"/>
  <c r="DF47" i="24"/>
  <c r="I11" i="25" s="1"/>
  <c r="W11" i="25" s="1"/>
  <c r="DJ47" i="24"/>
  <c r="DN47" i="24"/>
  <c r="DR47" i="24"/>
  <c r="I30" i="25" s="1"/>
  <c r="W30" i="25" s="1"/>
  <c r="DP49" i="24"/>
  <c r="DP50" i="24" s="1"/>
  <c r="DP7" i="24" s="1"/>
  <c r="DR49" i="24"/>
  <c r="DR38" i="24"/>
  <c r="DM47" i="24"/>
  <c r="DA9" i="24"/>
  <c r="DF49" i="24"/>
  <c r="DJ9" i="24"/>
  <c r="DG49" i="24"/>
  <c r="DG50" i="24" s="1"/>
  <c r="DG7" i="24" s="1"/>
  <c r="DQ50" i="24"/>
  <c r="DQ7" i="24" s="1"/>
  <c r="DF38" i="24"/>
  <c r="DQ38" i="24"/>
  <c r="DE38" i="24"/>
  <c r="DK9" i="24"/>
  <c r="DD38" i="24"/>
  <c r="DH38" i="24"/>
  <c r="DN49" i="24"/>
  <c r="DN50" i="24" s="1"/>
  <c r="DN7" i="24" s="1"/>
  <c r="DA38" i="24"/>
  <c r="DJ38" i="24"/>
  <c r="BF47" i="24"/>
  <c r="DH49" i="24"/>
  <c r="DH50" i="24" s="1"/>
  <c r="DH7" i="24" s="1"/>
  <c r="DI38" i="24"/>
  <c r="DI49" i="24"/>
  <c r="CX38" i="24"/>
  <c r="CX49" i="24"/>
  <c r="CX50" i="24" s="1"/>
  <c r="CX7" i="24" s="1"/>
  <c r="DL38" i="24"/>
  <c r="DL49" i="24"/>
  <c r="CZ38" i="24"/>
  <c r="CY49" i="24"/>
  <c r="CY50" i="24" s="1"/>
  <c r="CY7" i="24" s="1"/>
  <c r="CY38" i="24"/>
  <c r="CY9" i="24"/>
  <c r="CY47" i="24"/>
  <c r="DC38" i="24"/>
  <c r="DG38" i="24"/>
  <c r="DK38" i="24"/>
  <c r="DO38" i="24"/>
  <c r="CX47" i="24"/>
  <c r="DB47" i="24"/>
  <c r="BF50" i="24"/>
  <c r="BF7" i="24" s="1"/>
  <c r="G94" i="23"/>
  <c r="E67" i="14" s="1"/>
  <c r="L28" i="23"/>
  <c r="L57" i="23"/>
  <c r="J85" i="22"/>
  <c r="N11" i="23" s="1"/>
  <c r="N41" i="23" s="1"/>
  <c r="P85" i="22"/>
  <c r="AI84" i="22"/>
  <c r="AI104" i="22" s="1"/>
  <c r="AI71" i="22" s="1"/>
  <c r="V85" i="22"/>
  <c r="M91" i="22"/>
  <c r="M93" i="22" s="1"/>
  <c r="M98" i="22" s="1"/>
  <c r="M102" i="22" s="1"/>
  <c r="S91" i="22"/>
  <c r="S93" i="22" s="1"/>
  <c r="S98" i="22" s="1"/>
  <c r="S102" i="22" s="1"/>
  <c r="S83" i="22"/>
  <c r="S85" i="22"/>
  <c r="AI85" i="22"/>
  <c r="AI83" i="22"/>
  <c r="AI103" i="22" s="1"/>
  <c r="AI70" i="22" s="1"/>
  <c r="S84" i="22"/>
  <c r="T102" i="22"/>
  <c r="T85" i="22"/>
  <c r="N21" i="23" s="1"/>
  <c r="N51" i="23" s="1"/>
  <c r="N67" i="23" s="1"/>
  <c r="T84" i="22"/>
  <c r="AS105" i="22"/>
  <c r="M85" i="22"/>
  <c r="N14" i="23" s="1"/>
  <c r="N44" i="23" s="1"/>
  <c r="N65" i="23" s="1"/>
  <c r="M84" i="22"/>
  <c r="T83" i="22"/>
  <c r="AR102" i="22"/>
  <c r="G91" i="23" s="1"/>
  <c r="O91" i="23" s="1"/>
  <c r="D83" i="22"/>
  <c r="O83" i="22"/>
  <c r="O91" i="22"/>
  <c r="O93" i="22" s="1"/>
  <c r="O98" i="22" s="1"/>
  <c r="O102" i="22" s="1"/>
  <c r="U91" i="22"/>
  <c r="U93" i="22" s="1"/>
  <c r="U98" i="22" s="1"/>
  <c r="U102" i="22" s="1"/>
  <c r="J83" i="22"/>
  <c r="P83" i="22"/>
  <c r="O84" i="22"/>
  <c r="J91" i="22"/>
  <c r="J93" i="22" s="1"/>
  <c r="J98" i="22" s="1"/>
  <c r="J102" i="22" s="1"/>
  <c r="O11" i="23" s="1"/>
  <c r="O41" i="23" s="1"/>
  <c r="P91" i="22"/>
  <c r="P93" i="22" s="1"/>
  <c r="P98" i="22" s="1"/>
  <c r="P102" i="22" s="1"/>
  <c r="D94" i="21"/>
  <c r="H94" i="21"/>
  <c r="L28" i="21"/>
  <c r="L57" i="21"/>
  <c r="D87" i="17"/>
  <c r="D88" i="17"/>
  <c r="D90" i="17"/>
  <c r="D83" i="17"/>
  <c r="D84" i="17"/>
  <c r="M94" i="17"/>
  <c r="M70" i="17"/>
  <c r="H11" i="19"/>
  <c r="AF11" i="19" s="1"/>
  <c r="AT18" i="19"/>
  <c r="V18" i="19"/>
  <c r="AS37" i="19"/>
  <c r="V43" i="19"/>
  <c r="AT43" i="19" s="1"/>
  <c r="AS4" i="19"/>
  <c r="AT23" i="19"/>
  <c r="AT32" i="19" s="1"/>
  <c r="H28" i="17"/>
  <c r="H27" i="31" s="1"/>
  <c r="E28" i="17"/>
  <c r="F28" i="17"/>
  <c r="I28" i="17"/>
  <c r="G12" i="19"/>
  <c r="AE12" i="19" s="1"/>
  <c r="CX50" i="18"/>
  <c r="CX7" i="18" s="1"/>
  <c r="CX38" i="18"/>
  <c r="DA50" i="18"/>
  <c r="DA7" i="18" s="1"/>
  <c r="CY38" i="18"/>
  <c r="DG38" i="18"/>
  <c r="DO38" i="18"/>
  <c r="G16" i="19" s="1"/>
  <c r="AE16" i="19" s="1"/>
  <c r="AE53" i="19" s="1"/>
  <c r="AE55" i="19" s="1"/>
  <c r="O23" i="31" s="1"/>
  <c r="BF50" i="18"/>
  <c r="BF7" i="18" s="1"/>
  <c r="BF38" i="18"/>
  <c r="DK38" i="18"/>
  <c r="M57" i="17"/>
  <c r="D81" i="17"/>
  <c r="D82" i="17"/>
  <c r="D86" i="17"/>
  <c r="D91" i="17"/>
  <c r="D93" i="17"/>
  <c r="D80" i="17"/>
  <c r="D85" i="17"/>
  <c r="D89" i="17"/>
  <c r="T96" i="16"/>
  <c r="T104" i="16"/>
  <c r="T106" i="16" s="1"/>
  <c r="T111" i="16" s="1"/>
  <c r="T116" i="16" s="1"/>
  <c r="S104" i="16"/>
  <c r="S106" i="16" s="1"/>
  <c r="S111" i="16" s="1"/>
  <c r="S116" i="16" s="1"/>
  <c r="S96" i="16"/>
  <c r="M96" i="16"/>
  <c r="M104" i="16"/>
  <c r="M106" i="16" s="1"/>
  <c r="M111" i="16" s="1"/>
  <c r="M116" i="16" s="1"/>
  <c r="K96" i="16"/>
  <c r="K97" i="16"/>
  <c r="K104" i="16"/>
  <c r="K106" i="16" s="1"/>
  <c r="K111" i="16" s="1"/>
  <c r="K116" i="16" s="1"/>
  <c r="U104" i="16"/>
  <c r="U106" i="16" s="1"/>
  <c r="U111" i="16" s="1"/>
  <c r="U116" i="16" s="1"/>
  <c r="S97" i="16"/>
  <c r="D96" i="16"/>
  <c r="O96" i="16"/>
  <c r="M97" i="16"/>
  <c r="D104" i="16"/>
  <c r="D106" i="16" s="1"/>
  <c r="O104" i="16"/>
  <c r="O106" i="16" s="1"/>
  <c r="O111" i="16" s="1"/>
  <c r="O116" i="16" s="1"/>
  <c r="Q16" i="19" l="1"/>
  <c r="AI16" i="19"/>
  <c r="AI53" i="19" s="1"/>
  <c r="AI55" i="19" s="1"/>
  <c r="AS119" i="16"/>
  <c r="AM16" i="19"/>
  <c r="AM53" i="19" s="1"/>
  <c r="AM55" i="19" s="1"/>
  <c r="S12" i="19"/>
  <c r="S18" i="19" s="1"/>
  <c r="M16" i="19"/>
  <c r="S16" i="19"/>
  <c r="O12" i="19"/>
  <c r="AQ16" i="19"/>
  <c r="AQ53" i="19" s="1"/>
  <c r="K12" i="19"/>
  <c r="AO16" i="19"/>
  <c r="AO53" i="19" s="1"/>
  <c r="AO55" i="19" s="1"/>
  <c r="AM12" i="19"/>
  <c r="AS29" i="19"/>
  <c r="O29" i="19"/>
  <c r="S29" i="19"/>
  <c r="M29" i="19"/>
  <c r="K29" i="19"/>
  <c r="Q29" i="19"/>
  <c r="AK16" i="19"/>
  <c r="AK53" i="19" s="1"/>
  <c r="AK55" i="19" s="1"/>
  <c r="K16" i="19"/>
  <c r="J21" i="31"/>
  <c r="H21" i="31"/>
  <c r="H43" i="19"/>
  <c r="AF43" i="19" s="1"/>
  <c r="AQ12" i="19"/>
  <c r="AK12" i="19"/>
  <c r="U18" i="19"/>
  <c r="AO12" i="19"/>
  <c r="Q12" i="19"/>
  <c r="Q18" i="19" s="1"/>
  <c r="U43" i="19"/>
  <c r="U45" i="19" s="1"/>
  <c r="AS12" i="19"/>
  <c r="AS18" i="19" s="1"/>
  <c r="M12" i="19"/>
  <c r="M18" i="19" s="1"/>
  <c r="AS42" i="19"/>
  <c r="O42" i="19"/>
  <c r="AM42" i="19" s="1"/>
  <c r="M42" i="19"/>
  <c r="AK42" i="19" s="1"/>
  <c r="Q42" i="19"/>
  <c r="AO42" i="19" s="1"/>
  <c r="S42" i="19"/>
  <c r="AQ42" i="19" s="1"/>
  <c r="AM41" i="19"/>
  <c r="AK41" i="19"/>
  <c r="AO41" i="19"/>
  <c r="AQ41" i="19"/>
  <c r="AH12" i="19"/>
  <c r="J43" i="19"/>
  <c r="AH43" i="19" s="1"/>
  <c r="AG29" i="19"/>
  <c r="AG32" i="19" s="1"/>
  <c r="M29" i="31" s="1"/>
  <c r="I32" i="19"/>
  <c r="G94" i="17"/>
  <c r="V121" i="16"/>
  <c r="V84" i="16" s="1"/>
  <c r="O23" i="27"/>
  <c r="O53" i="27" s="1"/>
  <c r="O69" i="27" s="1"/>
  <c r="V119" i="16"/>
  <c r="V81" i="16" s="1"/>
  <c r="DO7" i="18"/>
  <c r="E16" i="19"/>
  <c r="AC16" i="19" s="1"/>
  <c r="AC53" i="19" s="1"/>
  <c r="AC55" i="19" s="1"/>
  <c r="F94" i="23"/>
  <c r="E65" i="14" s="1"/>
  <c r="AS59" i="13"/>
  <c r="J23" i="28"/>
  <c r="X23" i="28" s="1"/>
  <c r="H41" i="28"/>
  <c r="V41" i="28" s="1"/>
  <c r="AR105" i="22"/>
  <c r="AR69" i="22" s="1"/>
  <c r="E91" i="23" s="1"/>
  <c r="M91" i="23" s="1"/>
  <c r="H94" i="23"/>
  <c r="Y45" i="25"/>
  <c r="E94" i="23"/>
  <c r="AW59" i="13"/>
  <c r="L59" i="13"/>
  <c r="BH59" i="13"/>
  <c r="CQ59" i="13"/>
  <c r="BI58" i="13"/>
  <c r="BY59" i="13"/>
  <c r="F23" i="28" s="1"/>
  <c r="T23" i="28" s="1"/>
  <c r="CO59" i="13"/>
  <c r="AO18" i="19"/>
  <c r="AM18" i="19"/>
  <c r="K18" i="28"/>
  <c r="K43" i="28"/>
  <c r="DL50" i="18"/>
  <c r="AI18" i="19"/>
  <c r="CZ38" i="18"/>
  <c r="G41" i="19" s="1"/>
  <c r="AE41" i="19" s="1"/>
  <c r="H41" i="19"/>
  <c r="AF41" i="19" s="1"/>
  <c r="S118" i="16"/>
  <c r="S83" i="16" s="1"/>
  <c r="DI50" i="18"/>
  <c r="F29" i="19"/>
  <c r="AD29" i="19" s="1"/>
  <c r="I43" i="19"/>
  <c r="AG43" i="19" s="1"/>
  <c r="K45" i="25"/>
  <c r="B67" i="14"/>
  <c r="G67" i="14"/>
  <c r="I67" i="14"/>
  <c r="Q59" i="13"/>
  <c r="BM59" i="13"/>
  <c r="AB59" i="13"/>
  <c r="BX59" i="13"/>
  <c r="BK58" i="13"/>
  <c r="CA59" i="13"/>
  <c r="F16" i="19"/>
  <c r="AD16" i="19" s="1"/>
  <c r="AD53" i="19" s="1"/>
  <c r="G43" i="19"/>
  <c r="AE43" i="19" s="1"/>
  <c r="DR50" i="18"/>
  <c r="F30" i="19"/>
  <c r="AD30" i="19" s="1"/>
  <c r="C21" i="31"/>
  <c r="J27" i="31"/>
  <c r="C27" i="31"/>
  <c r="K18" i="19"/>
  <c r="O18" i="19"/>
  <c r="P59" i="13"/>
  <c r="CG59" i="13"/>
  <c r="BA59" i="13"/>
  <c r="CB59" i="13"/>
  <c r="BW59" i="13"/>
  <c r="J7" i="28"/>
  <c r="X7" i="28" s="1"/>
  <c r="AK59" i="13"/>
  <c r="BQ59" i="13"/>
  <c r="AF59" i="13"/>
  <c r="BL59" i="13"/>
  <c r="CM59" i="13"/>
  <c r="I10" i="28"/>
  <c r="J40" i="28"/>
  <c r="X40" i="28" s="1"/>
  <c r="CR59" i="13"/>
  <c r="J10" i="28"/>
  <c r="X10" i="28" s="1"/>
  <c r="CF59" i="13"/>
  <c r="T59" i="13"/>
  <c r="AJ59" i="13"/>
  <c r="F26" i="28" s="1"/>
  <c r="T26" i="28" s="1"/>
  <c r="BD59" i="13"/>
  <c r="J13" i="28"/>
  <c r="X13" i="28" s="1"/>
  <c r="CE59" i="13"/>
  <c r="F59" i="13"/>
  <c r="F39" i="28" s="1"/>
  <c r="T39" i="28" s="1"/>
  <c r="BP59" i="13"/>
  <c r="J15" i="28"/>
  <c r="X15" i="28" s="1"/>
  <c r="H59" i="13"/>
  <c r="X59" i="13"/>
  <c r="AN59" i="13"/>
  <c r="G11" i="28"/>
  <c r="U11" i="28" s="1"/>
  <c r="G11" i="25"/>
  <c r="U11" i="25" s="1"/>
  <c r="G12" i="28"/>
  <c r="G12" i="25"/>
  <c r="DF50" i="24"/>
  <c r="F11" i="25"/>
  <c r="T11" i="25" s="1"/>
  <c r="DR50" i="24"/>
  <c r="F30" i="25"/>
  <c r="T30" i="25" s="1"/>
  <c r="DL50" i="24"/>
  <c r="F12" i="25"/>
  <c r="G30" i="28"/>
  <c r="U30" i="28" s="1"/>
  <c r="G30" i="25"/>
  <c r="U30" i="25" s="1"/>
  <c r="DO50" i="24"/>
  <c r="F16" i="25"/>
  <c r="T16" i="25" s="1"/>
  <c r="G42" i="28"/>
  <c r="U42" i="28" s="1"/>
  <c r="G42" i="25"/>
  <c r="U42" i="25" s="1"/>
  <c r="DI50" i="24"/>
  <c r="F29" i="25"/>
  <c r="T29" i="25" s="1"/>
  <c r="G16" i="25"/>
  <c r="U16" i="25" s="1"/>
  <c r="G16" i="28"/>
  <c r="U16" i="28" s="1"/>
  <c r="G41" i="28"/>
  <c r="U41" i="28" s="1"/>
  <c r="G41" i="25"/>
  <c r="U41" i="25" s="1"/>
  <c r="G29" i="28"/>
  <c r="U29" i="28" s="1"/>
  <c r="G29" i="25"/>
  <c r="U29" i="25" s="1"/>
  <c r="G58" i="14"/>
  <c r="I58" i="14"/>
  <c r="B58" i="14"/>
  <c r="V92" i="26"/>
  <c r="V94" i="26" s="1"/>
  <c r="V99" i="26" s="1"/>
  <c r="V103" i="26" s="1"/>
  <c r="V108" i="26" s="1"/>
  <c r="V73" i="26" s="1"/>
  <c r="P121" i="16"/>
  <c r="P84" i="16" s="1"/>
  <c r="AS106" i="26"/>
  <c r="D91" i="22"/>
  <c r="D93" i="22" s="1"/>
  <c r="D98" i="22" s="1"/>
  <c r="D102" i="22" s="1"/>
  <c r="O5" i="23" s="1"/>
  <c r="O35" i="23" s="1"/>
  <c r="G92" i="23" s="1"/>
  <c r="O92" i="23" s="1"/>
  <c r="T103" i="22"/>
  <c r="T70" i="22" s="1"/>
  <c r="O23" i="21"/>
  <c r="O53" i="21" s="1"/>
  <c r="O69" i="21" s="1"/>
  <c r="U119" i="16"/>
  <c r="O52" i="17"/>
  <c r="O68" i="17" s="1"/>
  <c r="N22" i="21"/>
  <c r="N52" i="21" s="1"/>
  <c r="N68" i="21" s="1"/>
  <c r="F93" i="21" s="1"/>
  <c r="N93" i="21" s="1"/>
  <c r="U121" i="16"/>
  <c r="U84" i="16" s="1"/>
  <c r="O22" i="27"/>
  <c r="O52" i="27" s="1"/>
  <c r="O68" i="27" s="1"/>
  <c r="G93" i="27" s="1"/>
  <c r="O93" i="27" s="1"/>
  <c r="O22" i="21"/>
  <c r="O52" i="21" s="1"/>
  <c r="O68" i="21" s="1"/>
  <c r="G93" i="21" s="1"/>
  <c r="O93" i="21" s="1"/>
  <c r="Q22" i="17"/>
  <c r="Q52" i="17" s="1"/>
  <c r="Q68" i="17" s="1"/>
  <c r="H93" i="17" s="1"/>
  <c r="Q93" i="17" s="1"/>
  <c r="Q102" i="17" s="1"/>
  <c r="T121" i="16"/>
  <c r="T84" i="16" s="1"/>
  <c r="O21" i="27"/>
  <c r="O51" i="27" s="1"/>
  <c r="O67" i="27" s="1"/>
  <c r="Q21" i="17"/>
  <c r="Q51" i="17" s="1"/>
  <c r="Q67" i="17" s="1"/>
  <c r="O21" i="21"/>
  <c r="O51" i="21" s="1"/>
  <c r="O67" i="21" s="1"/>
  <c r="N21" i="21"/>
  <c r="N51" i="21" s="1"/>
  <c r="N67" i="21" s="1"/>
  <c r="O51" i="17"/>
  <c r="O67" i="17" s="1"/>
  <c r="S119" i="16"/>
  <c r="N20" i="21"/>
  <c r="N50" i="21" s="1"/>
  <c r="N66" i="21" s="1"/>
  <c r="O50" i="17"/>
  <c r="O66" i="17" s="1"/>
  <c r="S121" i="16"/>
  <c r="S84" i="16" s="1"/>
  <c r="Q20" i="17"/>
  <c r="Q50" i="17" s="1"/>
  <c r="Q66" i="17" s="1"/>
  <c r="O20" i="21"/>
  <c r="O50" i="21" s="1"/>
  <c r="O66" i="21" s="1"/>
  <c r="O20" i="27"/>
  <c r="O50" i="27" s="1"/>
  <c r="O66" i="27" s="1"/>
  <c r="P81" i="16"/>
  <c r="M17" i="21"/>
  <c r="M47" i="21" s="1"/>
  <c r="N17" i="17"/>
  <c r="N47" i="17" s="1"/>
  <c r="N16" i="21"/>
  <c r="N46" i="21" s="1"/>
  <c r="O46" i="17"/>
  <c r="O121" i="16"/>
  <c r="O84" i="16" s="1"/>
  <c r="O16" i="21"/>
  <c r="O46" i="21" s="1"/>
  <c r="O16" i="27"/>
  <c r="O46" i="27" s="1"/>
  <c r="Q16" i="17"/>
  <c r="Q46" i="17" s="1"/>
  <c r="N14" i="21"/>
  <c r="N44" i="21" s="1"/>
  <c r="N65" i="21" s="1"/>
  <c r="O44" i="17"/>
  <c r="O65" i="17" s="1"/>
  <c r="O14" i="27"/>
  <c r="O44" i="27" s="1"/>
  <c r="O65" i="27" s="1"/>
  <c r="O14" i="21"/>
  <c r="O44" i="21" s="1"/>
  <c r="O65" i="21" s="1"/>
  <c r="Q14" i="17"/>
  <c r="Q44" i="17" s="1"/>
  <c r="Q65" i="17" s="1"/>
  <c r="K121" i="16"/>
  <c r="K84" i="16" s="1"/>
  <c r="Q12" i="17"/>
  <c r="Q42" i="17" s="1"/>
  <c r="Q64" i="17" s="1"/>
  <c r="Q101" i="17" s="1"/>
  <c r="O12" i="27"/>
  <c r="O42" i="27" s="1"/>
  <c r="O64" i="27" s="1"/>
  <c r="O12" i="21"/>
  <c r="O42" i="21" s="1"/>
  <c r="O64" i="21" s="1"/>
  <c r="N5" i="21"/>
  <c r="D111" i="16"/>
  <c r="D116" i="16" s="1"/>
  <c r="F5" i="27"/>
  <c r="F18" i="27"/>
  <c r="F48" i="27" s="1"/>
  <c r="F87" i="27"/>
  <c r="N87" i="27" s="1"/>
  <c r="F24" i="27"/>
  <c r="F54" i="27" s="1"/>
  <c r="I65" i="14"/>
  <c r="B65" i="14"/>
  <c r="G65" i="14"/>
  <c r="F6" i="27"/>
  <c r="F36" i="27" s="1"/>
  <c r="F22" i="27"/>
  <c r="F52" i="27" s="1"/>
  <c r="F85" i="27" s="1"/>
  <c r="N85" i="27" s="1"/>
  <c r="F12" i="27"/>
  <c r="F42" i="27" s="1"/>
  <c r="F23" i="27"/>
  <c r="F53" i="27" s="1"/>
  <c r="G58" i="13"/>
  <c r="G59" i="13"/>
  <c r="W58" i="13"/>
  <c r="W59" i="13"/>
  <c r="AM58" i="13"/>
  <c r="AM59" i="13"/>
  <c r="BC58" i="13"/>
  <c r="I27" i="28" s="1"/>
  <c r="J27" i="28"/>
  <c r="X27" i="28" s="1"/>
  <c r="BC59" i="13"/>
  <c r="F27" i="28" s="1"/>
  <c r="T27" i="28" s="1"/>
  <c r="F40" i="28"/>
  <c r="T40" i="28" s="1"/>
  <c r="F10" i="28"/>
  <c r="T10" i="28" s="1"/>
  <c r="F10" i="27"/>
  <c r="F40" i="27" s="1"/>
  <c r="F16" i="27"/>
  <c r="F46" i="27" s="1"/>
  <c r="F7" i="27"/>
  <c r="F37" i="27" s="1"/>
  <c r="F80" i="27" s="1"/>
  <c r="N80" i="27" s="1"/>
  <c r="F19" i="27"/>
  <c r="F49" i="27" s="1"/>
  <c r="N5" i="27"/>
  <c r="K58" i="13"/>
  <c r="I5" i="28" s="1"/>
  <c r="J5" i="28"/>
  <c r="X5" i="28" s="1"/>
  <c r="K59" i="13"/>
  <c r="F5" i="28" s="1"/>
  <c r="T5" i="28" s="1"/>
  <c r="AA58" i="13"/>
  <c r="AA59" i="13"/>
  <c r="AQ58" i="13"/>
  <c r="AQ59" i="13"/>
  <c r="BG59" i="13"/>
  <c r="BG58" i="13"/>
  <c r="I39" i="28"/>
  <c r="I56" i="14"/>
  <c r="G56" i="14"/>
  <c r="B56" i="14"/>
  <c r="F13" i="27"/>
  <c r="F43" i="27" s="1"/>
  <c r="F81" i="27" s="1"/>
  <c r="N81" i="27" s="1"/>
  <c r="F14" i="27"/>
  <c r="F44" i="27" s="1"/>
  <c r="F82" i="27" s="1"/>
  <c r="N82" i="27" s="1"/>
  <c r="F20" i="27"/>
  <c r="F50" i="27" s="1"/>
  <c r="F83" i="27" s="1"/>
  <c r="N83" i="27" s="1"/>
  <c r="F86" i="27"/>
  <c r="N86" i="27" s="1"/>
  <c r="F15" i="27"/>
  <c r="F45" i="27" s="1"/>
  <c r="F11" i="27"/>
  <c r="F41" i="27" s="1"/>
  <c r="F21" i="27"/>
  <c r="F51" i="27" s="1"/>
  <c r="F84" i="27" s="1"/>
  <c r="N84" i="27" s="1"/>
  <c r="O58" i="13"/>
  <c r="O59" i="13"/>
  <c r="AE58" i="13"/>
  <c r="I6" i="28" s="1"/>
  <c r="J6" i="28"/>
  <c r="X6" i="28" s="1"/>
  <c r="AE59" i="13"/>
  <c r="F6" i="28" s="1"/>
  <c r="T6" i="28" s="1"/>
  <c r="AU58" i="13"/>
  <c r="AU59" i="13"/>
  <c r="N12" i="27"/>
  <c r="N42" i="27" s="1"/>
  <c r="N64" i="27" s="1"/>
  <c r="F25" i="27"/>
  <c r="F55" i="27" s="1"/>
  <c r="F8" i="27"/>
  <c r="F38" i="27" s="1"/>
  <c r="F9" i="27"/>
  <c r="F39" i="27" s="1"/>
  <c r="S58" i="13"/>
  <c r="S59" i="13"/>
  <c r="AI58" i="13"/>
  <c r="AI59" i="13"/>
  <c r="AY58" i="13"/>
  <c r="I9" i="28" s="1"/>
  <c r="J9" i="28"/>
  <c r="X9" i="28" s="1"/>
  <c r="AY59" i="13"/>
  <c r="F9" i="28" s="1"/>
  <c r="T9" i="28" s="1"/>
  <c r="N20" i="27"/>
  <c r="N50" i="27" s="1"/>
  <c r="N66" i="27" s="1"/>
  <c r="F90" i="27"/>
  <c r="N90" i="27" s="1"/>
  <c r="H94" i="27"/>
  <c r="D94" i="27"/>
  <c r="J94" i="26"/>
  <c r="J99" i="26" s="1"/>
  <c r="J103" i="26" s="1"/>
  <c r="J108" i="26" s="1"/>
  <c r="J73" i="26" s="1"/>
  <c r="AI84" i="26"/>
  <c r="AI104" i="26" s="1"/>
  <c r="AI71" i="26" s="1"/>
  <c r="K92" i="26"/>
  <c r="K85" i="26"/>
  <c r="S85" i="26"/>
  <c r="S92" i="26"/>
  <c r="S94" i="26" s="1"/>
  <c r="S99" i="26" s="1"/>
  <c r="S103" i="26" s="1"/>
  <c r="S108" i="26" s="1"/>
  <c r="S73" i="26" s="1"/>
  <c r="S84" i="26"/>
  <c r="K94" i="26"/>
  <c r="K99" i="26" s="1"/>
  <c r="K103" i="26" s="1"/>
  <c r="K106" i="26" s="1"/>
  <c r="K70" i="26" s="1"/>
  <c r="AI85" i="26"/>
  <c r="AI105" i="26" s="1"/>
  <c r="AI72" i="26" s="1"/>
  <c r="AR106" i="26"/>
  <c r="AR70" i="26" s="1"/>
  <c r="M94" i="26"/>
  <c r="M99" i="26" s="1"/>
  <c r="M103" i="26" s="1"/>
  <c r="M108" i="26" s="1"/>
  <c r="M73" i="26" s="1"/>
  <c r="D85" i="26"/>
  <c r="D86" i="26"/>
  <c r="AI106" i="26"/>
  <c r="AI70" i="26" s="1"/>
  <c r="P106" i="26"/>
  <c r="P70" i="26" s="1"/>
  <c r="AR108" i="26"/>
  <c r="AR73" i="26" s="1"/>
  <c r="T104" i="26"/>
  <c r="T71" i="26" s="1"/>
  <c r="T106" i="26"/>
  <c r="T70" i="26" s="1"/>
  <c r="O105" i="26"/>
  <c r="O72" i="26" s="1"/>
  <c r="U106" i="26"/>
  <c r="U70" i="26" s="1"/>
  <c r="D94" i="26"/>
  <c r="D99" i="26" s="1"/>
  <c r="D103" i="26" s="1"/>
  <c r="D108" i="26" s="1"/>
  <c r="D73" i="26" s="1"/>
  <c r="O106" i="26"/>
  <c r="O70" i="26" s="1"/>
  <c r="O104" i="26"/>
  <c r="O71" i="26" s="1"/>
  <c r="T105" i="26"/>
  <c r="T72" i="26" s="1"/>
  <c r="D84" i="22"/>
  <c r="O104" i="22"/>
  <c r="O71" i="22" s="1"/>
  <c r="M107" i="22"/>
  <c r="M72" i="22" s="1"/>
  <c r="O14" i="23"/>
  <c r="O44" i="23" s="1"/>
  <c r="O65" i="23" s="1"/>
  <c r="O107" i="22"/>
  <c r="O72" i="22" s="1"/>
  <c r="O16" i="23"/>
  <c r="O46" i="23" s="1"/>
  <c r="O105" i="22"/>
  <c r="AI105" i="22"/>
  <c r="AI69" i="22" s="1"/>
  <c r="E90" i="23" s="1"/>
  <c r="M90" i="23" s="1"/>
  <c r="F90" i="23"/>
  <c r="N90" i="23" s="1"/>
  <c r="N94" i="23" s="1"/>
  <c r="F65" i="14" s="1"/>
  <c r="V105" i="22"/>
  <c r="N23" i="23"/>
  <c r="N53" i="23" s="1"/>
  <c r="N69" i="23" s="1"/>
  <c r="U107" i="22"/>
  <c r="U72" i="22" s="1"/>
  <c r="O22" i="23"/>
  <c r="O52" i="23" s="1"/>
  <c r="O68" i="23" s="1"/>
  <c r="G93" i="23" s="1"/>
  <c r="O93" i="23" s="1"/>
  <c r="S107" i="22"/>
  <c r="S72" i="22" s="1"/>
  <c r="O20" i="23"/>
  <c r="O50" i="23" s="1"/>
  <c r="O66" i="23" s="1"/>
  <c r="T107" i="22"/>
  <c r="T72" i="22" s="1"/>
  <c r="O21" i="23"/>
  <c r="O51" i="23" s="1"/>
  <c r="O67" i="23" s="1"/>
  <c r="S105" i="22"/>
  <c r="N20" i="23"/>
  <c r="N50" i="23" s="1"/>
  <c r="N66" i="23" s="1"/>
  <c r="S104" i="22"/>
  <c r="S71" i="22" s="1"/>
  <c r="S103" i="22"/>
  <c r="S70" i="22" s="1"/>
  <c r="O103" i="22"/>
  <c r="O70" i="22" s="1"/>
  <c r="M104" i="22"/>
  <c r="M71" i="22" s="1"/>
  <c r="T104" i="22"/>
  <c r="T71" i="22" s="1"/>
  <c r="T105" i="22"/>
  <c r="P107" i="22"/>
  <c r="P72" i="22" s="1"/>
  <c r="P105" i="22"/>
  <c r="J107" i="22"/>
  <c r="J72" i="22" s="1"/>
  <c r="J104" i="22"/>
  <c r="J71" i="22" s="1"/>
  <c r="J105" i="22"/>
  <c r="K91" i="22"/>
  <c r="K93" i="22" s="1"/>
  <c r="K98" i="22" s="1"/>
  <c r="K102" i="22" s="1"/>
  <c r="K83" i="22"/>
  <c r="K85" i="22"/>
  <c r="N12" i="23" s="1"/>
  <c r="N42" i="23" s="1"/>
  <c r="N64" i="23" s="1"/>
  <c r="K84" i="22"/>
  <c r="J103" i="22"/>
  <c r="J70" i="22" s="1"/>
  <c r="M105" i="22"/>
  <c r="AR107" i="22"/>
  <c r="AR72" i="22" s="1"/>
  <c r="AR104" i="22"/>
  <c r="AR71" i="22" s="1"/>
  <c r="AR103" i="22"/>
  <c r="AR70" i="22" s="1"/>
  <c r="U105" i="22"/>
  <c r="M103" i="22"/>
  <c r="M70" i="22" s="1"/>
  <c r="H94" i="17"/>
  <c r="DF50" i="18"/>
  <c r="F11" i="19"/>
  <c r="AD11" i="19" s="1"/>
  <c r="I94" i="17"/>
  <c r="F94" i="17"/>
  <c r="E94" i="17"/>
  <c r="D94" i="17"/>
  <c r="M119" i="16"/>
  <c r="M121" i="16"/>
  <c r="M84" i="16" s="1"/>
  <c r="M117" i="16"/>
  <c r="M82" i="16" s="1"/>
  <c r="S117" i="16"/>
  <c r="S82" i="16" s="1"/>
  <c r="K118" i="16"/>
  <c r="K83" i="16" s="1"/>
  <c r="T117" i="16"/>
  <c r="T82" i="16" s="1"/>
  <c r="T118" i="16"/>
  <c r="T83" i="16" s="1"/>
  <c r="T119" i="16"/>
  <c r="O119" i="16"/>
  <c r="M118" i="16"/>
  <c r="M83" i="16" s="1"/>
  <c r="K119" i="16"/>
  <c r="K117" i="16"/>
  <c r="K82" i="16" s="1"/>
  <c r="O118" i="16"/>
  <c r="O83" i="16" s="1"/>
  <c r="O117" i="16"/>
  <c r="O82" i="16" s="1"/>
  <c r="J104" i="16"/>
  <c r="J106" i="16" s="1"/>
  <c r="J111" i="16" s="1"/>
  <c r="J116" i="16" s="1"/>
  <c r="J96" i="16"/>
  <c r="J97" i="16"/>
  <c r="Q43" i="19" l="1"/>
  <c r="AO43" i="19" s="1"/>
  <c r="AQ18" i="19"/>
  <c r="AK29" i="19"/>
  <c r="AK18" i="19"/>
  <c r="AO29" i="19"/>
  <c r="AO45" i="19"/>
  <c r="M43" i="19"/>
  <c r="AK43" i="19" s="1"/>
  <c r="AI29" i="19"/>
  <c r="AQ29" i="19"/>
  <c r="AM29" i="19"/>
  <c r="K43" i="19"/>
  <c r="AI43" i="19" s="1"/>
  <c r="AS43" i="19"/>
  <c r="AS45" i="19" s="1"/>
  <c r="S43" i="19"/>
  <c r="AQ43" i="19" s="1"/>
  <c r="AQ45" i="19" s="1"/>
  <c r="Q45" i="19"/>
  <c r="O43" i="19"/>
  <c r="AM43" i="19" s="1"/>
  <c r="AM45" i="19" s="1"/>
  <c r="M45" i="19"/>
  <c r="AK45" i="19"/>
  <c r="F93" i="17"/>
  <c r="O93" i="17" s="1"/>
  <c r="O102" i="17" s="1"/>
  <c r="O106" i="17" s="1"/>
  <c r="Q70" i="17"/>
  <c r="I27" i="31" s="1"/>
  <c r="M23" i="21"/>
  <c r="M53" i="21" s="1"/>
  <c r="M69" i="21" s="1"/>
  <c r="N23" i="17"/>
  <c r="N53" i="17" s="1"/>
  <c r="N69" i="17" s="1"/>
  <c r="DR7" i="18"/>
  <c r="E30" i="19"/>
  <c r="AC30" i="19" s="1"/>
  <c r="F43" i="19"/>
  <c r="AD43" i="19" s="1"/>
  <c r="DL7" i="18"/>
  <c r="E12" i="19"/>
  <c r="DI7" i="18"/>
  <c r="E29" i="19"/>
  <c r="AC29" i="19" s="1"/>
  <c r="Y43" i="28"/>
  <c r="Y45" i="28" s="1"/>
  <c r="K45" i="28"/>
  <c r="E56" i="14"/>
  <c r="N21" i="31"/>
  <c r="F21" i="31"/>
  <c r="F34" i="31" s="1"/>
  <c r="E58" i="14"/>
  <c r="N27" i="31"/>
  <c r="F27" i="31"/>
  <c r="DI7" i="24"/>
  <c r="E29" i="25"/>
  <c r="S29" i="25" s="1"/>
  <c r="DO7" i="24"/>
  <c r="E16" i="25"/>
  <c r="S16" i="25" s="1"/>
  <c r="DL7" i="24"/>
  <c r="E12" i="25"/>
  <c r="DR7" i="24"/>
  <c r="E30" i="25"/>
  <c r="S30" i="25" s="1"/>
  <c r="U12" i="28"/>
  <c r="G43" i="28"/>
  <c r="U43" i="28" s="1"/>
  <c r="T12" i="25"/>
  <c r="F43" i="25"/>
  <c r="T43" i="25" s="1"/>
  <c r="U12" i="25"/>
  <c r="G43" i="25"/>
  <c r="U43" i="25" s="1"/>
  <c r="DF7" i="24"/>
  <c r="E11" i="25"/>
  <c r="S11" i="25" s="1"/>
  <c r="V106" i="26"/>
  <c r="V70" i="26" s="1"/>
  <c r="J106" i="26"/>
  <c r="J70" i="26" s="1"/>
  <c r="J104" i="26"/>
  <c r="J71" i="26" s="1"/>
  <c r="D103" i="22"/>
  <c r="D70" i="22" s="1"/>
  <c r="D104" i="22"/>
  <c r="D71" i="22" s="1"/>
  <c r="D105" i="22"/>
  <c r="M5" i="23" s="1"/>
  <c r="D107" i="22"/>
  <c r="D72" i="22" s="1"/>
  <c r="O70" i="17"/>
  <c r="N70" i="21"/>
  <c r="O70" i="27"/>
  <c r="U81" i="16"/>
  <c r="N22" i="17"/>
  <c r="N52" i="17" s="1"/>
  <c r="N68" i="17" s="1"/>
  <c r="E93" i="17" s="1"/>
  <c r="N93" i="17" s="1"/>
  <c r="N102" i="17" s="1"/>
  <c r="M22" i="21"/>
  <c r="M52" i="21" s="1"/>
  <c r="M68" i="21" s="1"/>
  <c r="E93" i="21" s="1"/>
  <c r="M93" i="21" s="1"/>
  <c r="T81" i="16"/>
  <c r="N21" i="17"/>
  <c r="N51" i="17" s="1"/>
  <c r="N67" i="17" s="1"/>
  <c r="M21" i="21"/>
  <c r="M51" i="21" s="1"/>
  <c r="M67" i="21" s="1"/>
  <c r="S81" i="16"/>
  <c r="M20" i="21"/>
  <c r="M50" i="21" s="1"/>
  <c r="M66" i="21" s="1"/>
  <c r="N20" i="17"/>
  <c r="N50" i="17" s="1"/>
  <c r="N66" i="17" s="1"/>
  <c r="O81" i="16"/>
  <c r="N16" i="17"/>
  <c r="N46" i="17" s="1"/>
  <c r="M16" i="21"/>
  <c r="M46" i="21" s="1"/>
  <c r="M81" i="16"/>
  <c r="M14" i="21"/>
  <c r="M44" i="21" s="1"/>
  <c r="M65" i="21" s="1"/>
  <c r="N14" i="17"/>
  <c r="N44" i="17" s="1"/>
  <c r="N65" i="17" s="1"/>
  <c r="O70" i="21"/>
  <c r="K81" i="16"/>
  <c r="N12" i="17"/>
  <c r="N42" i="17" s="1"/>
  <c r="N64" i="17" s="1"/>
  <c r="N101" i="17" s="1"/>
  <c r="M12" i="21"/>
  <c r="M42" i="21" s="1"/>
  <c r="M64" i="21" s="1"/>
  <c r="N11" i="21"/>
  <c r="N41" i="21" s="1"/>
  <c r="O41" i="17"/>
  <c r="J121" i="16"/>
  <c r="J84" i="16" s="1"/>
  <c r="O11" i="21"/>
  <c r="O41" i="21" s="1"/>
  <c r="O11" i="27"/>
  <c r="O41" i="27" s="1"/>
  <c r="Q11" i="17"/>
  <c r="Q41" i="17" s="1"/>
  <c r="O5" i="21"/>
  <c r="Q5" i="17"/>
  <c r="O5" i="27"/>
  <c r="D117" i="16"/>
  <c r="D82" i="16" s="1"/>
  <c r="D121" i="16"/>
  <c r="D84" i="16" s="1"/>
  <c r="D119" i="16"/>
  <c r="M5" i="21" s="1"/>
  <c r="O35" i="17"/>
  <c r="O28" i="17"/>
  <c r="DS31" i="18" s="1"/>
  <c r="DS41" i="18" s="1"/>
  <c r="DS46" i="18" s="1"/>
  <c r="D118" i="16"/>
  <c r="D83" i="16" s="1"/>
  <c r="N35" i="21"/>
  <c r="N28" i="21"/>
  <c r="N70" i="27"/>
  <c r="N28" i="27"/>
  <c r="N35" i="27"/>
  <c r="F35" i="27"/>
  <c r="F79" i="27" s="1"/>
  <c r="F28" i="27"/>
  <c r="S105" i="26"/>
  <c r="S72" i="26" s="1"/>
  <c r="J105" i="26"/>
  <c r="J72" i="26" s="1"/>
  <c r="K108" i="26"/>
  <c r="K73" i="26" s="1"/>
  <c r="S106" i="26"/>
  <c r="S70" i="26" s="1"/>
  <c r="S104" i="26"/>
  <c r="S71" i="26" s="1"/>
  <c r="K104" i="26"/>
  <c r="K71" i="26" s="1"/>
  <c r="K105" i="26"/>
  <c r="K72" i="26" s="1"/>
  <c r="M104" i="26"/>
  <c r="M71" i="26" s="1"/>
  <c r="M105" i="26"/>
  <c r="M72" i="26" s="1"/>
  <c r="M106" i="26"/>
  <c r="M70" i="26" s="1"/>
  <c r="D106" i="26"/>
  <c r="D70" i="26" s="1"/>
  <c r="D104" i="26"/>
  <c r="D71" i="26" s="1"/>
  <c r="D105" i="26"/>
  <c r="D72" i="26" s="1"/>
  <c r="M69" i="22"/>
  <c r="M14" i="23"/>
  <c r="M44" i="23" s="1"/>
  <c r="M65" i="23" s="1"/>
  <c r="J69" i="22"/>
  <c r="M11" i="23"/>
  <c r="M41" i="23" s="1"/>
  <c r="S69" i="22"/>
  <c r="M20" i="23"/>
  <c r="M50" i="23" s="1"/>
  <c r="M66" i="23" s="1"/>
  <c r="O69" i="22"/>
  <c r="M16" i="23"/>
  <c r="M46" i="23" s="1"/>
  <c r="P69" i="22"/>
  <c r="M17" i="23"/>
  <c r="M47" i="23" s="1"/>
  <c r="K107" i="22"/>
  <c r="K72" i="22" s="1"/>
  <c r="O12" i="23"/>
  <c r="T69" i="22"/>
  <c r="M21" i="23"/>
  <c r="M51" i="23" s="1"/>
  <c r="M67" i="23" s="1"/>
  <c r="N57" i="23"/>
  <c r="V69" i="22"/>
  <c r="M23" i="23"/>
  <c r="M53" i="23" s="1"/>
  <c r="M69" i="23" s="1"/>
  <c r="U69" i="22"/>
  <c r="M22" i="23"/>
  <c r="M52" i="23" s="1"/>
  <c r="M68" i="23" s="1"/>
  <c r="E93" i="23" s="1"/>
  <c r="M93" i="23" s="1"/>
  <c r="N70" i="23"/>
  <c r="D69" i="22"/>
  <c r="N28" i="23"/>
  <c r="K104" i="22"/>
  <c r="K71" i="22" s="1"/>
  <c r="K103" i="22"/>
  <c r="K70" i="22" s="1"/>
  <c r="K105" i="22"/>
  <c r="DF7" i="18"/>
  <c r="E11" i="19"/>
  <c r="J119" i="16"/>
  <c r="J118" i="16"/>
  <c r="J83" i="16" s="1"/>
  <c r="J117" i="16"/>
  <c r="J82" i="16" s="1"/>
  <c r="P6" i="34" l="1"/>
  <c r="P14" i="34" s="1"/>
  <c r="DS49" i="18"/>
  <c r="DS50" i="18" s="1"/>
  <c r="AC57" i="19" s="1"/>
  <c r="AH57" i="19"/>
  <c r="DS47" i="18"/>
  <c r="AG57" i="19" s="1"/>
  <c r="O31" i="31" s="1"/>
  <c r="S45" i="19"/>
  <c r="P5" i="34"/>
  <c r="P13" i="34" s="1"/>
  <c r="O45" i="19"/>
  <c r="O57" i="17"/>
  <c r="E21" i="31" s="1"/>
  <c r="CZ31" i="18"/>
  <c r="CZ41" i="18" s="1"/>
  <c r="DH57" i="18" s="1"/>
  <c r="DH59" i="18" s="1"/>
  <c r="DC31" i="18"/>
  <c r="DC41" i="18" s="1"/>
  <c r="AC11" i="19"/>
  <c r="AY12" i="19" s="1"/>
  <c r="E18" i="19"/>
  <c r="F40" i="31"/>
  <c r="F44" i="31" s="1"/>
  <c r="D112" i="31" s="1"/>
  <c r="D81" i="16"/>
  <c r="H76" i="14"/>
  <c r="D76" i="14"/>
  <c r="C76" i="14"/>
  <c r="G76" i="14"/>
  <c r="B76" i="14"/>
  <c r="I76" i="14"/>
  <c r="E43" i="19"/>
  <c r="AC43" i="19" s="1"/>
  <c r="AC12" i="19"/>
  <c r="AY13" i="19" s="1"/>
  <c r="N5" i="17"/>
  <c r="N35" i="17" s="1"/>
  <c r="D21" i="31"/>
  <c r="D34" i="31" s="1"/>
  <c r="C56" i="14"/>
  <c r="CZ31" i="13"/>
  <c r="CZ41" i="13" s="1"/>
  <c r="CZ54" i="13" s="1"/>
  <c r="CZ56" i="13" s="1"/>
  <c r="I21" i="31"/>
  <c r="DC31" i="24"/>
  <c r="DC41" i="24" s="1"/>
  <c r="DC46" i="24" s="1"/>
  <c r="CZ31" i="24"/>
  <c r="CZ41" i="24" s="1"/>
  <c r="CZ46" i="24" s="1"/>
  <c r="DC31" i="13"/>
  <c r="DC41" i="13" s="1"/>
  <c r="DC54" i="13" s="1"/>
  <c r="DC56" i="13" s="1"/>
  <c r="S12" i="25"/>
  <c r="E43" i="25"/>
  <c r="S43" i="25" s="1"/>
  <c r="C65" i="14"/>
  <c r="H65" i="14"/>
  <c r="D65" i="14"/>
  <c r="M70" i="21"/>
  <c r="N70" i="17"/>
  <c r="J81" i="16"/>
  <c r="N11" i="17"/>
  <c r="N41" i="17" s="1"/>
  <c r="M11" i="21"/>
  <c r="M41" i="21" s="1"/>
  <c r="F92" i="17"/>
  <c r="O35" i="27"/>
  <c r="N57" i="21"/>
  <c r="F92" i="21"/>
  <c r="N92" i="21" s="1"/>
  <c r="N94" i="21" s="1"/>
  <c r="Q35" i="17"/>
  <c r="D56" i="14"/>
  <c r="H56" i="14"/>
  <c r="O35" i="21"/>
  <c r="F92" i="27"/>
  <c r="N92" i="27" s="1"/>
  <c r="N57" i="27"/>
  <c r="N79" i="27"/>
  <c r="N94" i="27" s="1"/>
  <c r="F76" i="14" s="1"/>
  <c r="F94" i="27"/>
  <c r="E76" i="14" s="1"/>
  <c r="M35" i="21"/>
  <c r="K69" i="22"/>
  <c r="M12" i="23"/>
  <c r="M42" i="23" s="1"/>
  <c r="M64" i="23" s="1"/>
  <c r="M70" i="23" s="1"/>
  <c r="M28" i="23"/>
  <c r="M35" i="23"/>
  <c r="O42" i="23"/>
  <c r="D11" i="11"/>
  <c r="C11" i="11"/>
  <c r="E64" i="11"/>
  <c r="F67" i="11" s="1"/>
  <c r="E62" i="11"/>
  <c r="D56" i="11"/>
  <c r="D55" i="11"/>
  <c r="F55" i="11"/>
  <c r="F66" i="11"/>
  <c r="C65" i="11"/>
  <c r="C64" i="11"/>
  <c r="AY14" i="19" l="1"/>
  <c r="P8" i="34"/>
  <c r="P16" i="34" s="1"/>
  <c r="Q5" i="2"/>
  <c r="CZ46" i="18"/>
  <c r="CZ49" i="18" s="1"/>
  <c r="L41" i="19"/>
  <c r="DC46" i="18"/>
  <c r="L42" i="19"/>
  <c r="O92" i="17"/>
  <c r="O94" i="17" s="1"/>
  <c r="M28" i="21"/>
  <c r="N28" i="17"/>
  <c r="CZ49" i="24"/>
  <c r="J41" i="25"/>
  <c r="X41" i="25" s="1"/>
  <c r="CZ47" i="24"/>
  <c r="I41" i="25" s="1"/>
  <c r="W41" i="25" s="1"/>
  <c r="CZ9" i="24"/>
  <c r="J42" i="25"/>
  <c r="X42" i="25" s="1"/>
  <c r="DC9" i="24"/>
  <c r="DC49" i="24"/>
  <c r="DC47" i="24"/>
  <c r="I42" i="25" s="1"/>
  <c r="W42" i="25" s="1"/>
  <c r="H92" i="17"/>
  <c r="Q92" i="17" s="1"/>
  <c r="G92" i="27"/>
  <c r="O92" i="27" s="1"/>
  <c r="G92" i="21"/>
  <c r="O92" i="21" s="1"/>
  <c r="E92" i="17"/>
  <c r="N92" i="17" s="1"/>
  <c r="N57" i="17"/>
  <c r="E92" i="21"/>
  <c r="M92" i="21" s="1"/>
  <c r="M57" i="21"/>
  <c r="F68" i="11"/>
  <c r="E66" i="11" s="1"/>
  <c r="E68" i="11" s="1"/>
  <c r="E71" i="11" s="1"/>
  <c r="M57" i="23"/>
  <c r="E92" i="23"/>
  <c r="M92" i="23" s="1"/>
  <c r="M94" i="23" s="1"/>
  <c r="O64" i="23"/>
  <c r="O70" i="23" s="1"/>
  <c r="D57" i="11"/>
  <c r="C66" i="11"/>
  <c r="C69" i="11"/>
  <c r="C68" i="11"/>
  <c r="B59" i="11" l="1"/>
  <c r="G21" i="31"/>
  <c r="F56" i="14"/>
  <c r="AJ42" i="19"/>
  <c r="K42" i="19"/>
  <c r="AI42" i="19" s="1"/>
  <c r="DC47" i="18"/>
  <c r="I42" i="19" s="1"/>
  <c r="AG42" i="19" s="1"/>
  <c r="J42" i="19"/>
  <c r="AH42" i="19" s="1"/>
  <c r="DC9" i="18"/>
  <c r="V42" i="19" s="1"/>
  <c r="AT42" i="19" s="1"/>
  <c r="DC49" i="18"/>
  <c r="DC50" i="18" s="1"/>
  <c r="K41" i="19"/>
  <c r="AJ41" i="19"/>
  <c r="CZ47" i="18"/>
  <c r="I41" i="19" s="1"/>
  <c r="AG41" i="19" s="1"/>
  <c r="J41" i="19"/>
  <c r="AH41" i="19" s="1"/>
  <c r="CZ9" i="18"/>
  <c r="V41" i="19" s="1"/>
  <c r="AT41" i="19" s="1"/>
  <c r="F41" i="19"/>
  <c r="AD41" i="19" s="1"/>
  <c r="E67" i="11"/>
  <c r="E70" i="11" s="1"/>
  <c r="E72" i="11" s="1"/>
  <c r="CZ50" i="24"/>
  <c r="F41" i="25"/>
  <c r="T41" i="25" s="1"/>
  <c r="L41" i="28"/>
  <c r="L41" i="25"/>
  <c r="DC50" i="24"/>
  <c r="F42" i="25"/>
  <c r="T42" i="25" s="1"/>
  <c r="L42" i="25"/>
  <c r="Z42" i="25" s="1"/>
  <c r="L42" i="28"/>
  <c r="Z42" i="28" s="1"/>
  <c r="L62" i="14"/>
  <c r="K62" i="14"/>
  <c r="B62" i="14"/>
  <c r="J62" i="14"/>
  <c r="E62" i="14"/>
  <c r="G62" i="14"/>
  <c r="I62" i="14"/>
  <c r="F62" i="14"/>
  <c r="H62" i="14"/>
  <c r="B61" i="11"/>
  <c r="B60" i="11"/>
  <c r="H67" i="11"/>
  <c r="G34" i="31" l="1"/>
  <c r="AT45" i="19"/>
  <c r="CZ50" i="18"/>
  <c r="E41" i="19" s="1"/>
  <c r="AC41" i="19" s="1"/>
  <c r="F42" i="19"/>
  <c r="AD42" i="19" s="1"/>
  <c r="V45" i="19"/>
  <c r="AI41" i="19"/>
  <c r="AI45" i="19" s="1"/>
  <c r="K45" i="19"/>
  <c r="D62" i="14"/>
  <c r="C62" i="14"/>
  <c r="L45" i="28"/>
  <c r="Z41" i="28"/>
  <c r="Z45" i="28" s="1"/>
  <c r="DC7" i="18"/>
  <c r="E42" i="19"/>
  <c r="AC42" i="19" s="1"/>
  <c r="Z41" i="25"/>
  <c r="Z45" i="25" s="1"/>
  <c r="L45" i="25"/>
  <c r="E42" i="25"/>
  <c r="S42" i="25" s="1"/>
  <c r="DC7" i="24"/>
  <c r="E41" i="25"/>
  <c r="S41" i="25" s="1"/>
  <c r="CZ7" i="24"/>
  <c r="C70" i="11"/>
  <c r="Q5" i="34" l="1"/>
  <c r="Q13" i="34" s="1"/>
  <c r="CZ7" i="18"/>
  <c r="O23" i="1"/>
  <c r="O17" i="1"/>
  <c r="N41" i="1"/>
  <c r="N11" i="1"/>
  <c r="N9" i="1"/>
  <c r="N6" i="1"/>
  <c r="O41" i="1"/>
  <c r="O31" i="1"/>
  <c r="AS115" i="7"/>
  <c r="AS114" i="7"/>
  <c r="AS113" i="7"/>
  <c r="AS100" i="7"/>
  <c r="R5" i="34" l="1"/>
  <c r="AS117" i="7"/>
  <c r="G31" i="1"/>
  <c r="AR114" i="7"/>
  <c r="AR115" i="7"/>
  <c r="AR116" i="7"/>
  <c r="AR113" i="7"/>
  <c r="AR100" i="7"/>
  <c r="AR94" i="7"/>
  <c r="AR93" i="7"/>
  <c r="AI114" i="7"/>
  <c r="AI115" i="7"/>
  <c r="AI116" i="7"/>
  <c r="AI113" i="7"/>
  <c r="AI100" i="7"/>
  <c r="AI94" i="7"/>
  <c r="AI99" i="7" s="1"/>
  <c r="AI93" i="7"/>
  <c r="AI98" i="7" s="1"/>
  <c r="AS120" i="7" l="1"/>
  <c r="AS122" i="7"/>
  <c r="AS129" i="7"/>
  <c r="AI117" i="7"/>
  <c r="AI118" i="7" s="1"/>
  <c r="AI85" i="7" s="1"/>
  <c r="AR117" i="7"/>
  <c r="AI120" i="7" l="1"/>
  <c r="AI84" i="7" s="1"/>
  <c r="AR129" i="7"/>
  <c r="E91" i="27" s="1"/>
  <c r="M91" i="27" s="1"/>
  <c r="AI129" i="7"/>
  <c r="E90" i="27" s="1"/>
  <c r="M90" i="27" s="1"/>
  <c r="AI119" i="7"/>
  <c r="AI86" i="7" s="1"/>
  <c r="AR122" i="7"/>
  <c r="AR87" i="7" s="1"/>
  <c r="H91" i="27" s="1"/>
  <c r="P91" i="27" s="1"/>
  <c r="AI122" i="7"/>
  <c r="AI87" i="7" s="1"/>
  <c r="AR120" i="7"/>
  <c r="AR84" i="7" s="1"/>
  <c r="AR118" i="7"/>
  <c r="AR85" i="7" s="1"/>
  <c r="AR119" i="7"/>
  <c r="AR86" i="7" s="1"/>
  <c r="H90" i="27" l="1"/>
  <c r="P90" i="27" s="1"/>
  <c r="H90" i="23"/>
  <c r="P90" i="23" s="1"/>
  <c r="H90" i="21"/>
  <c r="P90" i="21" s="1"/>
  <c r="I91" i="17"/>
  <c r="R91" i="17" s="1"/>
  <c r="H91" i="23"/>
  <c r="P91" i="23" s="1"/>
  <c r="H91" i="21"/>
  <c r="P91" i="21" s="1"/>
  <c r="I90" i="17"/>
  <c r="R90" i="17" s="1"/>
  <c r="F19" i="1"/>
  <c r="N19" i="1"/>
  <c r="F13" i="1"/>
  <c r="N13" i="1"/>
  <c r="M11" i="1"/>
  <c r="L11" i="1"/>
  <c r="L8" i="1"/>
  <c r="M8" i="1" s="1"/>
  <c r="L41" i="14" s="1"/>
  <c r="L7" i="1"/>
  <c r="L6" i="1"/>
  <c r="J41" i="1"/>
  <c r="J6" i="1"/>
  <c r="J7" i="1"/>
  <c r="J9" i="1"/>
  <c r="I45" i="14" s="1"/>
  <c r="D9" i="11"/>
  <c r="H6" i="1"/>
  <c r="H9" i="1"/>
  <c r="H11" i="1"/>
  <c r="I11" i="1"/>
  <c r="BF10" i="13"/>
  <c r="DP27" i="13"/>
  <c r="DQ27" i="13"/>
  <c r="DR27" i="13"/>
  <c r="DP28" i="13"/>
  <c r="DQ28" i="13"/>
  <c r="DR28" i="13"/>
  <c r="DP29" i="13"/>
  <c r="DQ29" i="13"/>
  <c r="DR29" i="13"/>
  <c r="DN28" i="13"/>
  <c r="DO28" i="13"/>
  <c r="DN29" i="13"/>
  <c r="DO29" i="13"/>
  <c r="DM29" i="13"/>
  <c r="DM28" i="13"/>
  <c r="DM17" i="13"/>
  <c r="DM27" i="13" s="1"/>
  <c r="DN15" i="13"/>
  <c r="DN17" i="13" s="1"/>
  <c r="DN27" i="13" s="1"/>
  <c r="DO15" i="13"/>
  <c r="DO17" i="13" s="1"/>
  <c r="DO27" i="13" s="1"/>
  <c r="DM15" i="13"/>
  <c r="DE46" i="13"/>
  <c r="DE57" i="13" s="1"/>
  <c r="DF46" i="13"/>
  <c r="DF57" i="13" s="1"/>
  <c r="DA46" i="13"/>
  <c r="DA57" i="13" s="1"/>
  <c r="DB46" i="13"/>
  <c r="DC46" i="13"/>
  <c r="DC57" i="13" s="1"/>
  <c r="DJ46" i="13"/>
  <c r="DJ57" i="13" s="1"/>
  <c r="DK46" i="13"/>
  <c r="DK57" i="13" s="1"/>
  <c r="DL46" i="13"/>
  <c r="DL57" i="13" s="1"/>
  <c r="DM46" i="13"/>
  <c r="DM57" i="13" s="1"/>
  <c r="DN46" i="13"/>
  <c r="DN57" i="13" s="1"/>
  <c r="DO46" i="13"/>
  <c r="DO57" i="13" s="1"/>
  <c r="DP46" i="13"/>
  <c r="DP57" i="13" s="1"/>
  <c r="DQ46" i="13"/>
  <c r="DQ57" i="13" s="1"/>
  <c r="DR46" i="13"/>
  <c r="DR57" i="13" s="1"/>
  <c r="DD46" i="13"/>
  <c r="DD57" i="13" s="1"/>
  <c r="DG46" i="13"/>
  <c r="DG57" i="13" s="1"/>
  <c r="DH46" i="13"/>
  <c r="DH57" i="13" s="1"/>
  <c r="DI46" i="13"/>
  <c r="DI57" i="13" s="1"/>
  <c r="DR37" i="13"/>
  <c r="DQ37" i="13"/>
  <c r="DP37" i="13"/>
  <c r="DP49" i="13" s="1"/>
  <c r="DP50" i="13" s="1"/>
  <c r="DO37" i="13"/>
  <c r="DN37" i="13"/>
  <c r="DM37" i="13"/>
  <c r="DL37" i="13"/>
  <c r="DK37" i="13"/>
  <c r="DK49" i="13" s="1"/>
  <c r="DJ37" i="13"/>
  <c r="DG37" i="13"/>
  <c r="DG49" i="13" s="1"/>
  <c r="DH37" i="13"/>
  <c r="DH49" i="13" s="1"/>
  <c r="DI37" i="13"/>
  <c r="DD37" i="13"/>
  <c r="DE37" i="13"/>
  <c r="DF37" i="13"/>
  <c r="DA37" i="13"/>
  <c r="DB37" i="13"/>
  <c r="DC37" i="13"/>
  <c r="DI10" i="13"/>
  <c r="DJ10" i="13"/>
  <c r="DK10" i="13"/>
  <c r="DK47" i="13" s="1"/>
  <c r="DL10" i="13"/>
  <c r="DM10" i="13"/>
  <c r="DN10" i="13"/>
  <c r="DO10" i="13"/>
  <c r="DO47" i="13" s="1"/>
  <c r="DP10" i="13"/>
  <c r="DQ10" i="13"/>
  <c r="DR10" i="13"/>
  <c r="DH10" i="13"/>
  <c r="DG10" i="13"/>
  <c r="DF10" i="13"/>
  <c r="DE10" i="13"/>
  <c r="DE38" i="13" s="1"/>
  <c r="DD10" i="13"/>
  <c r="DC10" i="13"/>
  <c r="DB10" i="13"/>
  <c r="DB38" i="13" s="1"/>
  <c r="DA10" i="13"/>
  <c r="DK9" i="13"/>
  <c r="CZ34" i="13"/>
  <c r="CZ37" i="13" s="1"/>
  <c r="CZ46" i="13"/>
  <c r="CY46" i="13"/>
  <c r="CY57" i="13" s="1"/>
  <c r="CY34" i="13"/>
  <c r="CY37" i="13" s="1"/>
  <c r="CY10" i="13"/>
  <c r="CZ10" i="13"/>
  <c r="CX45" i="13"/>
  <c r="CX10" i="13"/>
  <c r="CX34" i="13"/>
  <c r="CX37" i="13" s="1"/>
  <c r="E6" i="1"/>
  <c r="K107" i="7"/>
  <c r="J107" i="7"/>
  <c r="J116" i="7"/>
  <c r="K116" i="7"/>
  <c r="M116" i="7"/>
  <c r="O116" i="7"/>
  <c r="P116" i="7"/>
  <c r="S116" i="7"/>
  <c r="T116" i="7"/>
  <c r="U116" i="7"/>
  <c r="V116" i="7"/>
  <c r="J115" i="7"/>
  <c r="K115" i="7"/>
  <c r="M115" i="7"/>
  <c r="O115" i="7"/>
  <c r="P115" i="7"/>
  <c r="S115" i="7"/>
  <c r="T115" i="7"/>
  <c r="U115" i="7"/>
  <c r="V115" i="7"/>
  <c r="J114" i="7"/>
  <c r="K114" i="7"/>
  <c r="M114" i="7"/>
  <c r="O114" i="7"/>
  <c r="P114" i="7"/>
  <c r="S114" i="7"/>
  <c r="T114" i="7"/>
  <c r="U114" i="7"/>
  <c r="V114" i="7"/>
  <c r="P106" i="7"/>
  <c r="V106" i="7"/>
  <c r="V108" i="7" s="1"/>
  <c r="V113" i="7" s="1"/>
  <c r="P100" i="7"/>
  <c r="V100" i="7"/>
  <c r="P99" i="7"/>
  <c r="P98" i="7"/>
  <c r="T94" i="7"/>
  <c r="S94" i="7"/>
  <c r="O94" i="7"/>
  <c r="M94" i="7"/>
  <c r="K94" i="7"/>
  <c r="J94" i="7"/>
  <c r="T93" i="7"/>
  <c r="S93" i="7"/>
  <c r="O93" i="7"/>
  <c r="M93" i="7"/>
  <c r="K93" i="7"/>
  <c r="J93" i="7"/>
  <c r="T106" i="7"/>
  <c r="T108" i="7" s="1"/>
  <c r="T113" i="7" s="1"/>
  <c r="S106" i="7"/>
  <c r="S108" i="7" s="1"/>
  <c r="S113" i="7" s="1"/>
  <c r="O99" i="7"/>
  <c r="K100" i="7"/>
  <c r="D116" i="7"/>
  <c r="D115" i="7"/>
  <c r="D107" i="7"/>
  <c r="D94" i="7"/>
  <c r="D93" i="7"/>
  <c r="E19" i="1" l="1"/>
  <c r="E13" i="1"/>
  <c r="D41" i="14"/>
  <c r="H13" i="1"/>
  <c r="G45" i="14"/>
  <c r="DG50" i="13"/>
  <c r="DG7" i="13" s="1"/>
  <c r="DM38" i="13"/>
  <c r="G41" i="14"/>
  <c r="I41" i="14"/>
  <c r="K41" i="14"/>
  <c r="J29" i="28"/>
  <c r="X29" i="28" s="1"/>
  <c r="DI59" i="13"/>
  <c r="F29" i="28" s="1"/>
  <c r="T29" i="28" s="1"/>
  <c r="DI58" i="13"/>
  <c r="DN58" i="13"/>
  <c r="DN59" i="13"/>
  <c r="DJ59" i="13"/>
  <c r="DJ58" i="13"/>
  <c r="DQ59" i="13"/>
  <c r="DQ58" i="13"/>
  <c r="DQ60" i="13" s="1"/>
  <c r="J11" i="28"/>
  <c r="X11" i="28" s="1"/>
  <c r="DF58" i="13"/>
  <c r="J12" i="28"/>
  <c r="DF59" i="13"/>
  <c r="F11" i="28" s="1"/>
  <c r="T11" i="28" s="1"/>
  <c r="DG58" i="13"/>
  <c r="DG60" i="13" s="1"/>
  <c r="DG59" i="13"/>
  <c r="CY58" i="13"/>
  <c r="CY59" i="13"/>
  <c r="J30" i="28"/>
  <c r="X30" i="28" s="1"/>
  <c r="DR59" i="13"/>
  <c r="F30" i="28" s="1"/>
  <c r="T30" i="28" s="1"/>
  <c r="DR58" i="13"/>
  <c r="DA58" i="13"/>
  <c r="DA59" i="13"/>
  <c r="CZ47" i="13"/>
  <c r="I41" i="6" s="1"/>
  <c r="CZ57" i="13"/>
  <c r="DH59" i="13"/>
  <c r="DH58" i="13"/>
  <c r="DH60" i="13" s="1"/>
  <c r="DM59" i="13"/>
  <c r="DM58" i="13"/>
  <c r="DQ49" i="13"/>
  <c r="DQ50" i="13" s="1"/>
  <c r="DQ7" i="13" s="1"/>
  <c r="DP58" i="13"/>
  <c r="DP60" i="13" s="1"/>
  <c r="DP59" i="13"/>
  <c r="DL59" i="13"/>
  <c r="F12" i="28" s="1"/>
  <c r="DL58" i="13"/>
  <c r="DC58" i="13"/>
  <c r="DC59" i="13"/>
  <c r="F42" i="28" s="1"/>
  <c r="T42" i="28" s="1"/>
  <c r="J42" i="28"/>
  <c r="X42" i="28" s="1"/>
  <c r="DE58" i="13"/>
  <c r="DE60" i="13" s="1"/>
  <c r="DE59" i="13"/>
  <c r="DD58" i="13"/>
  <c r="DD59" i="13"/>
  <c r="DO59" i="13"/>
  <c r="F16" i="28" s="1"/>
  <c r="T16" i="28" s="1"/>
  <c r="J16" i="28"/>
  <c r="X16" i="28" s="1"/>
  <c r="DO58" i="13"/>
  <c r="DK59" i="13"/>
  <c r="DK58" i="13"/>
  <c r="DK60" i="13" s="1"/>
  <c r="DB9" i="13"/>
  <c r="DB57" i="13"/>
  <c r="P108" i="7"/>
  <c r="P113" i="7" s="1"/>
  <c r="P117" i="7" s="1"/>
  <c r="F35" i="1"/>
  <c r="E49" i="14"/>
  <c r="F29" i="1"/>
  <c r="E47" i="14"/>
  <c r="DH50" i="13"/>
  <c r="DH7" i="13" s="1"/>
  <c r="DK50" i="13"/>
  <c r="K28" i="28"/>
  <c r="BF58" i="13"/>
  <c r="I28" i="28" s="1"/>
  <c r="DG47" i="13"/>
  <c r="DL47" i="13"/>
  <c r="I12" i="6" s="1"/>
  <c r="DH38" i="13"/>
  <c r="DO49" i="13"/>
  <c r="DO50" i="13" s="1"/>
  <c r="DI47" i="13"/>
  <c r="DJ47" i="13"/>
  <c r="DR47" i="13"/>
  <c r="CX46" i="13"/>
  <c r="DC49" i="13"/>
  <c r="DC50" i="13" s="1"/>
  <c r="DJ9" i="13"/>
  <c r="DP38" i="13"/>
  <c r="DN38" i="13"/>
  <c r="DR38" i="13"/>
  <c r="G30" i="6" s="1"/>
  <c r="DM49" i="13"/>
  <c r="DM50" i="13" s="1"/>
  <c r="DM7" i="13" s="1"/>
  <c r="K28" i="25"/>
  <c r="U28" i="19"/>
  <c r="DN47" i="13"/>
  <c r="DC38" i="13"/>
  <c r="G42" i="6" s="1"/>
  <c r="DJ38" i="13"/>
  <c r="DH47" i="13"/>
  <c r="DA38" i="13"/>
  <c r="DI38" i="13"/>
  <c r="M99" i="7"/>
  <c r="M98" i="7"/>
  <c r="K98" i="7"/>
  <c r="M100" i="7"/>
  <c r="CY47" i="13"/>
  <c r="CY9" i="13"/>
  <c r="DA47" i="13"/>
  <c r="DA9" i="13"/>
  <c r="CY49" i="13"/>
  <c r="CY50" i="13" s="1"/>
  <c r="CY7" i="13" s="1"/>
  <c r="H30" i="1"/>
  <c r="O98" i="7"/>
  <c r="DI49" i="13"/>
  <c r="DI50" i="13" s="1"/>
  <c r="K41" i="1"/>
  <c r="S117" i="7"/>
  <c r="S99" i="7"/>
  <c r="O100" i="7"/>
  <c r="V117" i="7"/>
  <c r="V129" i="7" s="1"/>
  <c r="M23" i="27" s="1"/>
  <c r="M53" i="27" s="1"/>
  <c r="M69" i="27" s="1"/>
  <c r="M106" i="7"/>
  <c r="M108" i="7" s="1"/>
  <c r="M113" i="7" s="1"/>
  <c r="M117" i="7" s="1"/>
  <c r="M129" i="7" s="1"/>
  <c r="M14" i="27" s="1"/>
  <c r="M44" i="27" s="1"/>
  <c r="M65" i="27" s="1"/>
  <c r="J99" i="7"/>
  <c r="DG38" i="13"/>
  <c r="DK38" i="13"/>
  <c r="DO38" i="13"/>
  <c r="G16" i="6" s="1"/>
  <c r="DM47" i="13"/>
  <c r="DJ49" i="13"/>
  <c r="DJ50" i="13" s="1"/>
  <c r="DJ7" i="13" s="1"/>
  <c r="DN49" i="13"/>
  <c r="DN50" i="13" s="1"/>
  <c r="DN7" i="13" s="1"/>
  <c r="DR49" i="13"/>
  <c r="DR50" i="13" s="1"/>
  <c r="DF49" i="13"/>
  <c r="F11" i="6" s="1"/>
  <c r="F32" i="1"/>
  <c r="E53" i="14" s="1"/>
  <c r="G32" i="1"/>
  <c r="F53" i="14" s="1"/>
  <c r="I41" i="1"/>
  <c r="F41" i="1"/>
  <c r="G41" i="1"/>
  <c r="O106" i="7"/>
  <c r="O108" i="7" s="1"/>
  <c r="O113" i="7" s="1"/>
  <c r="O117" i="7" s="1"/>
  <c r="O129" i="7" s="1"/>
  <c r="M16" i="27" s="1"/>
  <c r="M46" i="27" s="1"/>
  <c r="T117" i="7"/>
  <c r="K106" i="7"/>
  <c r="K108" i="7" s="1"/>
  <c r="K113" i="7" s="1"/>
  <c r="K117" i="7" s="1"/>
  <c r="K129" i="7" s="1"/>
  <c r="M12" i="27" s="1"/>
  <c r="M42" i="27" s="1"/>
  <c r="M64" i="27" s="1"/>
  <c r="CY38" i="13"/>
  <c r="CZ49" i="13"/>
  <c r="CZ50" i="13" s="1"/>
  <c r="E41" i="6" s="1"/>
  <c r="DL38" i="13"/>
  <c r="G12" i="6" s="1"/>
  <c r="DP47" i="13"/>
  <c r="DE49" i="13"/>
  <c r="DE50" i="13" s="1"/>
  <c r="DE7" i="13" s="1"/>
  <c r="S98" i="7"/>
  <c r="S118" i="7" s="1"/>
  <c r="S85" i="7" s="1"/>
  <c r="CZ9" i="13"/>
  <c r="L41" i="6" s="1"/>
  <c r="DD49" i="13"/>
  <c r="DD50" i="13" s="1"/>
  <c r="DD7" i="13" s="1"/>
  <c r="DL49" i="13"/>
  <c r="DL50" i="13" s="1"/>
  <c r="F30" i="1"/>
  <c r="E52" i="14" s="1"/>
  <c r="G30" i="1"/>
  <c r="F52" i="14" s="1"/>
  <c r="DQ38" i="13"/>
  <c r="DQ47" i="13"/>
  <c r="L41" i="1"/>
  <c r="DF47" i="13"/>
  <c r="I11" i="6" s="1"/>
  <c r="DD47" i="13"/>
  <c r="DE47" i="13"/>
  <c r="DA49" i="13"/>
  <c r="DA50" i="13" s="1"/>
  <c r="DA7" i="13" s="1"/>
  <c r="DC9" i="13"/>
  <c r="L42" i="6" s="1"/>
  <c r="DB49" i="13"/>
  <c r="DB50" i="13" s="1"/>
  <c r="DB7" i="13" s="1"/>
  <c r="DC47" i="13"/>
  <c r="I42" i="6" s="1"/>
  <c r="DF38" i="13"/>
  <c r="G11" i="6" s="1"/>
  <c r="DD38" i="13"/>
  <c r="DB47" i="13"/>
  <c r="CZ38" i="13"/>
  <c r="G41" i="6" s="1"/>
  <c r="K99" i="7"/>
  <c r="D98" i="7"/>
  <c r="T99" i="7"/>
  <c r="D99" i="7"/>
  <c r="T98" i="7"/>
  <c r="T100" i="7"/>
  <c r="D106" i="7"/>
  <c r="S100" i="7"/>
  <c r="E11" i="1"/>
  <c r="D31" i="1"/>
  <c r="C9" i="1"/>
  <c r="C6" i="1"/>
  <c r="C11" i="1"/>
  <c r="C8" i="1"/>
  <c r="C7" i="1"/>
  <c r="C30" i="1"/>
  <c r="B52" i="14" s="1"/>
  <c r="C32" i="1"/>
  <c r="C41" i="1"/>
  <c r="P15" i="2" s="1"/>
  <c r="L40" i="6"/>
  <c r="L39" i="6"/>
  <c r="L38" i="6"/>
  <c r="L37" i="6"/>
  <c r="K42" i="6"/>
  <c r="K41" i="6"/>
  <c r="K40" i="6"/>
  <c r="K39" i="6"/>
  <c r="K38" i="6"/>
  <c r="K37" i="6"/>
  <c r="J42" i="6"/>
  <c r="J41" i="6"/>
  <c r="J40" i="6"/>
  <c r="J39" i="6"/>
  <c r="J38" i="6"/>
  <c r="J37" i="6"/>
  <c r="H42" i="6"/>
  <c r="H41" i="6"/>
  <c r="H40" i="6"/>
  <c r="H39" i="6"/>
  <c r="H38" i="6"/>
  <c r="H37" i="6"/>
  <c r="F40" i="6"/>
  <c r="F39" i="6"/>
  <c r="F38" i="6"/>
  <c r="F37" i="6"/>
  <c r="L30" i="6"/>
  <c r="L29" i="6"/>
  <c r="L28" i="6"/>
  <c r="L27" i="6"/>
  <c r="L26" i="6"/>
  <c r="L25" i="6"/>
  <c r="L24" i="6"/>
  <c r="L23" i="6"/>
  <c r="K30" i="6"/>
  <c r="K29" i="6"/>
  <c r="K28" i="6"/>
  <c r="K27" i="6"/>
  <c r="K26" i="6"/>
  <c r="K25" i="6"/>
  <c r="K24" i="6"/>
  <c r="K23" i="6"/>
  <c r="J30" i="6"/>
  <c r="J29" i="6"/>
  <c r="J28" i="6"/>
  <c r="J27" i="6"/>
  <c r="J26" i="6"/>
  <c r="J25" i="6"/>
  <c r="J24" i="6"/>
  <c r="J23" i="6"/>
  <c r="H30" i="6"/>
  <c r="H29" i="6"/>
  <c r="H28" i="6"/>
  <c r="H27" i="6"/>
  <c r="H26" i="6"/>
  <c r="H25" i="6"/>
  <c r="H24" i="6"/>
  <c r="H23" i="6"/>
  <c r="F28" i="6"/>
  <c r="F27" i="6"/>
  <c r="F26" i="6"/>
  <c r="F25" i="6"/>
  <c r="F24" i="6"/>
  <c r="F23" i="6"/>
  <c r="L16" i="6"/>
  <c r="L15" i="6"/>
  <c r="L14" i="6"/>
  <c r="L13" i="6"/>
  <c r="L12" i="6"/>
  <c r="L11" i="6"/>
  <c r="L10" i="6"/>
  <c r="L9" i="6"/>
  <c r="L8" i="6"/>
  <c r="L7" i="6"/>
  <c r="L6" i="6"/>
  <c r="L5" i="6"/>
  <c r="L4" i="6"/>
  <c r="K16" i="6"/>
  <c r="K15" i="6"/>
  <c r="K14" i="6"/>
  <c r="K13" i="6"/>
  <c r="K12" i="6"/>
  <c r="K11" i="6"/>
  <c r="K10" i="6"/>
  <c r="K9" i="6"/>
  <c r="K8" i="6"/>
  <c r="K7" i="6"/>
  <c r="K6" i="6"/>
  <c r="K5" i="6"/>
  <c r="K4" i="6"/>
  <c r="J16" i="6"/>
  <c r="J15" i="6"/>
  <c r="J14" i="6"/>
  <c r="J13" i="6"/>
  <c r="J12" i="6"/>
  <c r="J11" i="6"/>
  <c r="J10" i="6"/>
  <c r="J9" i="6"/>
  <c r="J8" i="6"/>
  <c r="J7" i="6"/>
  <c r="J6" i="6"/>
  <c r="J5" i="6"/>
  <c r="J4" i="6"/>
  <c r="H16" i="6"/>
  <c r="H15" i="6"/>
  <c r="H14" i="6"/>
  <c r="H13" i="6"/>
  <c r="H12" i="6"/>
  <c r="H11" i="6"/>
  <c r="H10" i="6"/>
  <c r="H9" i="6"/>
  <c r="H8" i="6"/>
  <c r="H7" i="6"/>
  <c r="H6" i="6"/>
  <c r="H5" i="6"/>
  <c r="H4" i="6"/>
  <c r="F15" i="6"/>
  <c r="F14" i="6"/>
  <c r="F13" i="6"/>
  <c r="F12" i="6"/>
  <c r="F10" i="6"/>
  <c r="F9" i="6"/>
  <c r="F8" i="6"/>
  <c r="F7" i="6"/>
  <c r="F6" i="6"/>
  <c r="F5" i="6"/>
  <c r="F4" i="6"/>
  <c r="DP7" i="13"/>
  <c r="DK7" i="13"/>
  <c r="CU50" i="13"/>
  <c r="CT50" i="13"/>
  <c r="CS50" i="13"/>
  <c r="CR50" i="13"/>
  <c r="CQ50" i="13"/>
  <c r="CP50" i="13"/>
  <c r="CO50" i="13"/>
  <c r="CN50" i="13"/>
  <c r="CM50" i="13"/>
  <c r="CL50" i="13"/>
  <c r="CK50" i="13"/>
  <c r="CJ50" i="13"/>
  <c r="CI50" i="13"/>
  <c r="CH50" i="13"/>
  <c r="CG50" i="13"/>
  <c r="CF50" i="13"/>
  <c r="CE50" i="13"/>
  <c r="CD50" i="13"/>
  <c r="CC50" i="13"/>
  <c r="CB50" i="13"/>
  <c r="CA50" i="13"/>
  <c r="BZ50" i="13"/>
  <c r="BY50" i="13"/>
  <c r="BX50" i="13"/>
  <c r="BW50" i="13"/>
  <c r="BV50" i="13"/>
  <c r="BU50" i="13"/>
  <c r="BT50" i="13"/>
  <c r="E15" i="6" s="1"/>
  <c r="BS50" i="13"/>
  <c r="BR50" i="13"/>
  <c r="BQ50" i="13"/>
  <c r="BP50" i="13"/>
  <c r="BO50" i="13"/>
  <c r="E13" i="6" s="1"/>
  <c r="BN50" i="13"/>
  <c r="BM50" i="13"/>
  <c r="BL50" i="13"/>
  <c r="BK50" i="13"/>
  <c r="BJ50" i="13"/>
  <c r="E14" i="6" s="1"/>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I30" i="6"/>
  <c r="I16" i="6"/>
  <c r="I29" i="6"/>
  <c r="CU47" i="13"/>
  <c r="CT47" i="13"/>
  <c r="CS47" i="13"/>
  <c r="CR47" i="13"/>
  <c r="CQ47" i="13"/>
  <c r="CP47" i="13"/>
  <c r="CO47" i="13"/>
  <c r="CN47" i="13"/>
  <c r="CM47" i="13"/>
  <c r="CL47" i="13"/>
  <c r="CK47" i="13"/>
  <c r="CJ47" i="13"/>
  <c r="CI47" i="13"/>
  <c r="CH47" i="13"/>
  <c r="CG47" i="13"/>
  <c r="CF47" i="13"/>
  <c r="CE47" i="13"/>
  <c r="CD47" i="13"/>
  <c r="W24" i="28" s="1"/>
  <c r="CC47" i="13"/>
  <c r="CB47" i="13"/>
  <c r="CA47" i="13"/>
  <c r="BZ47" i="13"/>
  <c r="BY47" i="13"/>
  <c r="BX47" i="13"/>
  <c r="BW47" i="13"/>
  <c r="BV47" i="13"/>
  <c r="BU47" i="13"/>
  <c r="BT47" i="13"/>
  <c r="I15" i="6" s="1"/>
  <c r="BS47" i="13"/>
  <c r="BR47" i="13"/>
  <c r="BQ47" i="13"/>
  <c r="BP47" i="13"/>
  <c r="BO47" i="13"/>
  <c r="I13" i="6" s="1"/>
  <c r="BN47" i="13"/>
  <c r="BM47" i="13"/>
  <c r="BL47" i="13"/>
  <c r="BK47" i="13"/>
  <c r="BJ47" i="13"/>
  <c r="I14" i="6" s="1"/>
  <c r="BI47" i="13"/>
  <c r="BH47" i="13"/>
  <c r="BG47" i="13"/>
  <c r="BF47" i="13"/>
  <c r="BE47" i="13"/>
  <c r="BD47" i="13"/>
  <c r="BC47" i="13"/>
  <c r="W27" i="28" s="1"/>
  <c r="BB47" i="13"/>
  <c r="BA47" i="13"/>
  <c r="AZ47" i="13"/>
  <c r="AY47" i="13"/>
  <c r="W9" i="28" s="1"/>
  <c r="AX47" i="13"/>
  <c r="AW47" i="13"/>
  <c r="AV47" i="13"/>
  <c r="AU47" i="13"/>
  <c r="AT47" i="13"/>
  <c r="W8" i="28" s="1"/>
  <c r="AS47" i="13"/>
  <c r="AR47" i="13"/>
  <c r="AQ47" i="13"/>
  <c r="AP47" i="13"/>
  <c r="AO47" i="13"/>
  <c r="W25" i="28" s="1"/>
  <c r="AN47" i="13"/>
  <c r="AM47" i="13"/>
  <c r="AL47" i="13"/>
  <c r="AK47" i="13"/>
  <c r="AJ47" i="13"/>
  <c r="W26" i="28" s="1"/>
  <c r="AI47" i="13"/>
  <c r="AH47" i="13"/>
  <c r="AG47" i="13"/>
  <c r="AF47" i="13"/>
  <c r="AE47" i="13"/>
  <c r="W6" i="28" s="1"/>
  <c r="AD47" i="13"/>
  <c r="AC47" i="13"/>
  <c r="AB47" i="13"/>
  <c r="AA47" i="13"/>
  <c r="Z47" i="13"/>
  <c r="Y47" i="13"/>
  <c r="X47" i="13"/>
  <c r="W47" i="13"/>
  <c r="V47" i="13"/>
  <c r="U47" i="13"/>
  <c r="W7" i="28" s="1"/>
  <c r="T47" i="13"/>
  <c r="S47" i="13"/>
  <c r="R47" i="13"/>
  <c r="Q47" i="13"/>
  <c r="P47" i="13"/>
  <c r="O47" i="13"/>
  <c r="N47" i="13"/>
  <c r="M47" i="13"/>
  <c r="L47" i="13"/>
  <c r="K47" i="13"/>
  <c r="W5" i="28" s="1"/>
  <c r="J47" i="13"/>
  <c r="I47" i="13"/>
  <c r="H47" i="13"/>
  <c r="G47" i="13"/>
  <c r="F47" i="13"/>
  <c r="W39" i="28" s="1"/>
  <c r="E47" i="13"/>
  <c r="D47" i="13"/>
  <c r="S38" i="28"/>
  <c r="EF38" i="13"/>
  <c r="EE38" i="13"/>
  <c r="ED38" i="13"/>
  <c r="I38" i="28" s="1"/>
  <c r="W38" i="28" s="1"/>
  <c r="EC38" i="13"/>
  <c r="EB38" i="13"/>
  <c r="EA38" i="13"/>
  <c r="DZ38" i="13"/>
  <c r="DY38" i="13"/>
  <c r="I37" i="28" s="1"/>
  <c r="DX38" i="13"/>
  <c r="DW38" i="13"/>
  <c r="G29" i="6"/>
  <c r="CX38" i="13"/>
  <c r="CU38" i="13"/>
  <c r="CU60" i="13" s="1"/>
  <c r="CT38" i="13"/>
  <c r="CT60" i="13" s="1"/>
  <c r="CS38" i="13"/>
  <c r="CS60" i="13" s="1"/>
  <c r="CR38" i="13"/>
  <c r="CR60" i="13" s="1"/>
  <c r="CQ38" i="13"/>
  <c r="CQ60" i="13" s="1"/>
  <c r="CP38" i="13"/>
  <c r="CP60" i="13" s="1"/>
  <c r="CO38" i="13"/>
  <c r="CO60" i="13" s="1"/>
  <c r="CN38" i="13"/>
  <c r="CN60" i="13" s="1"/>
  <c r="CM38" i="13"/>
  <c r="CM60" i="13" s="1"/>
  <c r="CL38" i="13"/>
  <c r="CL60" i="13" s="1"/>
  <c r="CK38" i="13"/>
  <c r="CK60" i="13" s="1"/>
  <c r="CJ38" i="13"/>
  <c r="CJ60" i="13" s="1"/>
  <c r="CI38" i="13"/>
  <c r="CI60" i="13" s="1"/>
  <c r="CH38" i="13"/>
  <c r="CH60" i="13" s="1"/>
  <c r="CG38" i="13"/>
  <c r="CG60" i="13" s="1"/>
  <c r="CF38" i="13"/>
  <c r="CF60" i="13" s="1"/>
  <c r="CE38" i="13"/>
  <c r="CE60" i="13" s="1"/>
  <c r="CD38" i="13"/>
  <c r="CC38" i="13"/>
  <c r="CC60" i="13" s="1"/>
  <c r="CB38" i="13"/>
  <c r="CB60" i="13" s="1"/>
  <c r="CA38" i="13"/>
  <c r="CA60" i="13" s="1"/>
  <c r="BZ38" i="13"/>
  <c r="BZ60" i="13" s="1"/>
  <c r="BY38" i="13"/>
  <c r="BX38" i="13"/>
  <c r="BX60" i="13" s="1"/>
  <c r="BW38" i="13"/>
  <c r="BW60" i="13" s="1"/>
  <c r="BV38" i="13"/>
  <c r="BV60" i="13" s="1"/>
  <c r="BU38" i="13"/>
  <c r="BU60" i="13" s="1"/>
  <c r="BT38" i="13"/>
  <c r="BS38" i="13"/>
  <c r="BS60" i="13" s="1"/>
  <c r="BR38" i="13"/>
  <c r="BR60" i="13" s="1"/>
  <c r="BQ38" i="13"/>
  <c r="BQ60" i="13" s="1"/>
  <c r="BP38" i="13"/>
  <c r="BP60" i="13" s="1"/>
  <c r="BO38" i="13"/>
  <c r="BN38" i="13"/>
  <c r="BN60" i="13" s="1"/>
  <c r="BM38" i="13"/>
  <c r="BM60" i="13" s="1"/>
  <c r="BL38" i="13"/>
  <c r="BL60" i="13" s="1"/>
  <c r="BK38" i="13"/>
  <c r="BK60" i="13" s="1"/>
  <c r="BJ38" i="13"/>
  <c r="BI38" i="13"/>
  <c r="BI60" i="13" s="1"/>
  <c r="BH38" i="13"/>
  <c r="BH60" i="13" s="1"/>
  <c r="BG38" i="13"/>
  <c r="BG60" i="13" s="1"/>
  <c r="BF38" i="13"/>
  <c r="BE38" i="13"/>
  <c r="BE60" i="13" s="1"/>
  <c r="BD38" i="13"/>
  <c r="BD60" i="13" s="1"/>
  <c r="BC38" i="13"/>
  <c r="BB38" i="13"/>
  <c r="BB60" i="13" s="1"/>
  <c r="BA38" i="13"/>
  <c r="BA60" i="13" s="1"/>
  <c r="AZ38" i="13"/>
  <c r="AZ60" i="13" s="1"/>
  <c r="AY38" i="13"/>
  <c r="AX38" i="13"/>
  <c r="AX60" i="13" s="1"/>
  <c r="AW38" i="13"/>
  <c r="AW60" i="13" s="1"/>
  <c r="AV38" i="13"/>
  <c r="AV60" i="13" s="1"/>
  <c r="AU38" i="13"/>
  <c r="AU60" i="13" s="1"/>
  <c r="AT38" i="13"/>
  <c r="AS38" i="13"/>
  <c r="AS60" i="13" s="1"/>
  <c r="AR38" i="13"/>
  <c r="AR60" i="13" s="1"/>
  <c r="AQ38" i="13"/>
  <c r="AQ60" i="13" s="1"/>
  <c r="AP38" i="13"/>
  <c r="AP60" i="13" s="1"/>
  <c r="AO38" i="13"/>
  <c r="AN38" i="13"/>
  <c r="AN60" i="13" s="1"/>
  <c r="AM38" i="13"/>
  <c r="AM60" i="13" s="1"/>
  <c r="AL38" i="13"/>
  <c r="AL60" i="13" s="1"/>
  <c r="AK38" i="13"/>
  <c r="AK60" i="13" s="1"/>
  <c r="AJ38" i="13"/>
  <c r="AI38" i="13"/>
  <c r="AI60" i="13" s="1"/>
  <c r="AH38" i="13"/>
  <c r="AH60" i="13" s="1"/>
  <c r="AG38" i="13"/>
  <c r="AG60" i="13" s="1"/>
  <c r="AF38" i="13"/>
  <c r="AF60" i="13" s="1"/>
  <c r="AE38" i="13"/>
  <c r="AD38" i="13"/>
  <c r="AD60" i="13" s="1"/>
  <c r="AC38" i="13"/>
  <c r="AC60" i="13" s="1"/>
  <c r="AB38" i="13"/>
  <c r="AB60" i="13" s="1"/>
  <c r="AA38" i="13"/>
  <c r="AA60" i="13" s="1"/>
  <c r="Z38" i="13"/>
  <c r="Y38" i="13"/>
  <c r="Y60" i="13" s="1"/>
  <c r="X38" i="13"/>
  <c r="X60" i="13" s="1"/>
  <c r="W38" i="13"/>
  <c r="W60" i="13" s="1"/>
  <c r="V38" i="13"/>
  <c r="V60" i="13" s="1"/>
  <c r="U38" i="13"/>
  <c r="T38" i="13"/>
  <c r="T60" i="13" s="1"/>
  <c r="S38" i="13"/>
  <c r="S60" i="13" s="1"/>
  <c r="R38" i="13"/>
  <c r="R60" i="13" s="1"/>
  <c r="Q38" i="13"/>
  <c r="Q60" i="13" s="1"/>
  <c r="P38" i="13"/>
  <c r="O38" i="13"/>
  <c r="O60" i="13" s="1"/>
  <c r="N38" i="13"/>
  <c r="N60" i="13" s="1"/>
  <c r="M38" i="13"/>
  <c r="M60" i="13" s="1"/>
  <c r="L38" i="13"/>
  <c r="L60" i="13" s="1"/>
  <c r="K38" i="13"/>
  <c r="J38" i="13"/>
  <c r="J60" i="13" s="1"/>
  <c r="I38" i="13"/>
  <c r="I60" i="13" s="1"/>
  <c r="H38" i="13"/>
  <c r="H60" i="13" s="1"/>
  <c r="G38" i="13"/>
  <c r="G60" i="13" s="1"/>
  <c r="F38" i="13"/>
  <c r="F60" i="13" s="1"/>
  <c r="E39" i="28" s="1"/>
  <c r="E38" i="13"/>
  <c r="D38" i="13"/>
  <c r="EF24" i="13"/>
  <c r="EE24" i="13"/>
  <c r="ED24" i="13"/>
  <c r="G38" i="28" s="1"/>
  <c r="U38" i="28" s="1"/>
  <c r="EC24" i="13"/>
  <c r="EB24" i="13"/>
  <c r="EA24" i="13"/>
  <c r="DZ24" i="13"/>
  <c r="DY24" i="13"/>
  <c r="G37" i="28" s="1"/>
  <c r="DX24" i="13"/>
  <c r="DW24" i="13"/>
  <c r="T26" i="9"/>
  <c r="U26" i="9"/>
  <c r="V26" i="9"/>
  <c r="W26" i="9"/>
  <c r="X26" i="9"/>
  <c r="Y26" i="9"/>
  <c r="S26" i="9"/>
  <c r="T25" i="9"/>
  <c r="U25" i="9"/>
  <c r="V25" i="9"/>
  <c r="W25" i="9"/>
  <c r="X25" i="9"/>
  <c r="Y25" i="9"/>
  <c r="S25" i="9"/>
  <c r="V24" i="9"/>
  <c r="W24" i="9"/>
  <c r="X24" i="9"/>
  <c r="Y24" i="9"/>
  <c r="U24" i="9"/>
  <c r="Y23" i="9"/>
  <c r="X23" i="9"/>
  <c r="W23" i="9"/>
  <c r="V23" i="9"/>
  <c r="U23" i="9"/>
  <c r="T23" i="9"/>
  <c r="S23" i="9"/>
  <c r="S9" i="9"/>
  <c r="S13" i="9" s="1"/>
  <c r="P26" i="9"/>
  <c r="P25" i="9"/>
  <c r="P9" i="9"/>
  <c r="Q23" i="9"/>
  <c r="Q26" i="9"/>
  <c r="Q25" i="9"/>
  <c r="Q14" i="9"/>
  <c r="Q13" i="9"/>
  <c r="E41" i="9"/>
  <c r="J17" i="9" s="1"/>
  <c r="E42" i="9"/>
  <c r="J18" i="9" s="1"/>
  <c r="E40" i="9"/>
  <c r="F26" i="9"/>
  <c r="G26" i="9"/>
  <c r="H26" i="9"/>
  <c r="I26" i="9"/>
  <c r="J26" i="9"/>
  <c r="K26" i="9"/>
  <c r="L26" i="9"/>
  <c r="M26" i="9"/>
  <c r="N26" i="9"/>
  <c r="O26" i="9"/>
  <c r="E26" i="9"/>
  <c r="D26" i="9"/>
  <c r="F25" i="9"/>
  <c r="G25" i="9"/>
  <c r="H25" i="9"/>
  <c r="I25" i="9"/>
  <c r="J25" i="9"/>
  <c r="K25" i="9"/>
  <c r="L25" i="9"/>
  <c r="M25" i="9"/>
  <c r="N25" i="9"/>
  <c r="O25" i="9"/>
  <c r="E25" i="9"/>
  <c r="D25" i="9"/>
  <c r="L9" i="9"/>
  <c r="L13" i="9" s="1"/>
  <c r="M9" i="9"/>
  <c r="M13" i="9" s="1"/>
  <c r="N9" i="9"/>
  <c r="N14" i="9" s="1"/>
  <c r="O9" i="9"/>
  <c r="O14" i="9" s="1"/>
  <c r="K9" i="9"/>
  <c r="K13" i="9" s="1"/>
  <c r="J9" i="9"/>
  <c r="T9" i="9" s="1"/>
  <c r="T13" i="9" s="1"/>
  <c r="T17" i="9" s="1"/>
  <c r="I23" i="9"/>
  <c r="G23" i="9"/>
  <c r="H23" i="9"/>
  <c r="F19" i="9"/>
  <c r="E19" i="9" s="1"/>
  <c r="D19" i="9" s="1"/>
  <c r="L23" i="9" s="1"/>
  <c r="F14" i="9"/>
  <c r="G14" i="9"/>
  <c r="H14" i="9"/>
  <c r="I14" i="9"/>
  <c r="E14" i="9"/>
  <c r="E18" i="9" s="1"/>
  <c r="D14" i="9"/>
  <c r="F13" i="9"/>
  <c r="G13" i="9"/>
  <c r="H13" i="9"/>
  <c r="I13" i="9"/>
  <c r="E13" i="9"/>
  <c r="D13" i="9"/>
  <c r="F10" i="9"/>
  <c r="G10" i="9"/>
  <c r="H10" i="9"/>
  <c r="E10" i="9"/>
  <c r="K28" i="19" l="1"/>
  <c r="S28" i="19"/>
  <c r="O28" i="19"/>
  <c r="Q28" i="19"/>
  <c r="M28" i="19"/>
  <c r="CZ7" i="13"/>
  <c r="B41" i="14"/>
  <c r="C19" i="1"/>
  <c r="C13" i="1"/>
  <c r="B45" i="14"/>
  <c r="DA60" i="13"/>
  <c r="D69" i="7"/>
  <c r="E67" i="7"/>
  <c r="E69" i="7" s="1"/>
  <c r="E70" i="7" s="1"/>
  <c r="I67" i="7"/>
  <c r="I69" i="7" s="1"/>
  <c r="I70" i="7" s="1"/>
  <c r="M67" i="7"/>
  <c r="M69" i="7" s="1"/>
  <c r="M70" i="7" s="1"/>
  <c r="Q67" i="7"/>
  <c r="Q69" i="7" s="1"/>
  <c r="Q70" i="7" s="1"/>
  <c r="W67" i="7"/>
  <c r="W69" i="7" s="1"/>
  <c r="W70" i="7" s="1"/>
  <c r="AA67" i="7"/>
  <c r="AA69" i="7" s="1"/>
  <c r="AA70" i="7" s="1"/>
  <c r="AE67" i="7"/>
  <c r="AE69" i="7" s="1"/>
  <c r="AE70" i="7" s="1"/>
  <c r="AI67" i="7"/>
  <c r="AI69" i="7" s="1"/>
  <c r="AI70" i="7" s="1"/>
  <c r="AM67" i="7"/>
  <c r="AM69" i="7" s="1"/>
  <c r="AM70" i="7" s="1"/>
  <c r="AQ67" i="7"/>
  <c r="AQ69" i="7" s="1"/>
  <c r="AQ70" i="7" s="1"/>
  <c r="F67" i="7"/>
  <c r="F69" i="7" s="1"/>
  <c r="F70" i="7" s="1"/>
  <c r="K67" i="7"/>
  <c r="K69" i="7" s="1"/>
  <c r="K70" i="7" s="1"/>
  <c r="P67" i="7"/>
  <c r="P69" i="7" s="1"/>
  <c r="P70" i="7" s="1"/>
  <c r="X67" i="7"/>
  <c r="X69" i="7" s="1"/>
  <c r="X70" i="7" s="1"/>
  <c r="AC67" i="7"/>
  <c r="AC69" i="7" s="1"/>
  <c r="AC70" i="7" s="1"/>
  <c r="AH67" i="7"/>
  <c r="AH69" i="7" s="1"/>
  <c r="AH70" i="7" s="1"/>
  <c r="AN67" i="7"/>
  <c r="AN69" i="7" s="1"/>
  <c r="AN70" i="7" s="1"/>
  <c r="H67" i="7"/>
  <c r="H69" i="7" s="1"/>
  <c r="H70" i="7" s="1"/>
  <c r="S67" i="7"/>
  <c r="S69" i="7" s="1"/>
  <c r="S70" i="7" s="1"/>
  <c r="Z67" i="7"/>
  <c r="Z69" i="7" s="1"/>
  <c r="Z70" i="7" s="1"/>
  <c r="AK67" i="7"/>
  <c r="AK69" i="7" s="1"/>
  <c r="AK70" i="7" s="1"/>
  <c r="D67" i="7"/>
  <c r="D70" i="7" s="1"/>
  <c r="O67" i="7"/>
  <c r="O69" i="7" s="1"/>
  <c r="O70" i="7" s="1"/>
  <c r="T67" i="7"/>
  <c r="T69" i="7" s="1"/>
  <c r="T70" i="7" s="1"/>
  <c r="V67" i="7"/>
  <c r="V69" i="7" s="1"/>
  <c r="V70" i="7" s="1"/>
  <c r="AG67" i="7"/>
  <c r="AG69" i="7" s="1"/>
  <c r="AG70" i="7" s="1"/>
  <c r="U67" i="7"/>
  <c r="U69" i="7" s="1"/>
  <c r="U70" i="7" s="1"/>
  <c r="G67" i="7"/>
  <c r="G69" i="7" s="1"/>
  <c r="G70" i="7" s="1"/>
  <c r="L67" i="7"/>
  <c r="L69" i="7" s="1"/>
  <c r="L70" i="7" s="1"/>
  <c r="R67" i="7"/>
  <c r="R69" i="7" s="1"/>
  <c r="R70" i="7" s="1"/>
  <c r="Y67" i="7"/>
  <c r="Y69" i="7" s="1"/>
  <c r="Y70" i="7" s="1"/>
  <c r="AD67" i="7"/>
  <c r="AD69" i="7" s="1"/>
  <c r="AD70" i="7" s="1"/>
  <c r="AJ67" i="7"/>
  <c r="AJ69" i="7" s="1"/>
  <c r="AJ70" i="7" s="1"/>
  <c r="AO67" i="7"/>
  <c r="AO69" i="7" s="1"/>
  <c r="AO70" i="7" s="1"/>
  <c r="N67" i="7"/>
  <c r="N69" i="7" s="1"/>
  <c r="N70" i="7" s="1"/>
  <c r="AF67" i="7"/>
  <c r="AF69" i="7" s="1"/>
  <c r="AF70" i="7" s="1"/>
  <c r="AP67" i="7"/>
  <c r="AP69" i="7" s="1"/>
  <c r="AP70" i="7" s="1"/>
  <c r="J67" i="7"/>
  <c r="J69" i="7" s="1"/>
  <c r="J70" i="7" s="1"/>
  <c r="AB67" i="7"/>
  <c r="AB69" i="7" s="1"/>
  <c r="AB70" i="7" s="1"/>
  <c r="AL67" i="7"/>
  <c r="AL69" i="7" s="1"/>
  <c r="AL70" i="7" s="1"/>
  <c r="DM60" i="13"/>
  <c r="CY60" i="13"/>
  <c r="DN60" i="13"/>
  <c r="S39" i="28"/>
  <c r="F30" i="6"/>
  <c r="DD60" i="13"/>
  <c r="DJ60" i="13"/>
  <c r="I30" i="1"/>
  <c r="H52" i="14" s="1"/>
  <c r="G52" i="14"/>
  <c r="D32" i="1"/>
  <c r="B53" i="14"/>
  <c r="CX9" i="13"/>
  <c r="CX57" i="13"/>
  <c r="I30" i="28"/>
  <c r="W30" i="28" s="1"/>
  <c r="DR60" i="13"/>
  <c r="E30" i="28" s="1"/>
  <c r="S30" i="28" s="1"/>
  <c r="J43" i="28"/>
  <c r="X43" i="28" s="1"/>
  <c r="X12" i="28"/>
  <c r="W28" i="28"/>
  <c r="I42" i="28"/>
  <c r="W42" i="28" s="1"/>
  <c r="DC60" i="13"/>
  <c r="E42" i="28" s="1"/>
  <c r="S42" i="28" s="1"/>
  <c r="F43" i="28"/>
  <c r="T43" i="28" s="1"/>
  <c r="T12" i="28"/>
  <c r="J41" i="28"/>
  <c r="X41" i="28" s="1"/>
  <c r="CZ59" i="13"/>
  <c r="F41" i="28" s="1"/>
  <c r="T41" i="28" s="1"/>
  <c r="CZ58" i="13"/>
  <c r="F16" i="6"/>
  <c r="T16" i="6" s="1"/>
  <c r="DB59" i="13"/>
  <c r="DB58" i="13"/>
  <c r="DB60" i="13" s="1"/>
  <c r="DO60" i="13"/>
  <c r="E16" i="28" s="1"/>
  <c r="S16" i="28" s="1"/>
  <c r="I16" i="28"/>
  <c r="W16" i="28" s="1"/>
  <c r="I11" i="28"/>
  <c r="W11" i="28" s="1"/>
  <c r="DF60" i="13"/>
  <c r="E11" i="28" s="1"/>
  <c r="S11" i="28" s="1"/>
  <c r="DI60" i="13"/>
  <c r="E29" i="28" s="1"/>
  <c r="S29" i="28" s="1"/>
  <c r="I29" i="28"/>
  <c r="W29" i="28" s="1"/>
  <c r="I12" i="28"/>
  <c r="DL60" i="13"/>
  <c r="E12" i="28" s="1"/>
  <c r="D108" i="7"/>
  <c r="D113" i="7" s="1"/>
  <c r="D117" i="7" s="1"/>
  <c r="S120" i="7"/>
  <c r="S84" i="7" s="1"/>
  <c r="P122" i="7"/>
  <c r="P129" i="7"/>
  <c r="M17" i="27" s="1"/>
  <c r="M47" i="27" s="1"/>
  <c r="T122" i="7"/>
  <c r="T129" i="7"/>
  <c r="M21" i="27" s="1"/>
  <c r="M51" i="27" s="1"/>
  <c r="M67" i="27" s="1"/>
  <c r="S122" i="7"/>
  <c r="S129" i="7"/>
  <c r="M20" i="27" s="1"/>
  <c r="M50" i="27" s="1"/>
  <c r="M66" i="27" s="1"/>
  <c r="U37" i="28"/>
  <c r="P60" i="13"/>
  <c r="G40" i="28"/>
  <c r="U40" i="28" s="1"/>
  <c r="G10" i="28"/>
  <c r="U10" i="28" s="1"/>
  <c r="G26" i="28"/>
  <c r="AJ60" i="13"/>
  <c r="E26" i="28" s="1"/>
  <c r="S26" i="28" s="1"/>
  <c r="G15" i="6"/>
  <c r="U15" i="6" s="1"/>
  <c r="BT60" i="13"/>
  <c r="E15" i="28" s="1"/>
  <c r="S15" i="28" s="1"/>
  <c r="S37" i="28"/>
  <c r="W10" i="28"/>
  <c r="W40" i="28"/>
  <c r="CX47" i="13"/>
  <c r="CX49" i="13"/>
  <c r="CX50" i="13" s="1"/>
  <c r="CX7" i="13" s="1"/>
  <c r="G39" i="28"/>
  <c r="U39" i="28" s="1"/>
  <c r="G4" i="28"/>
  <c r="Z60" i="13"/>
  <c r="E4" i="28" s="1"/>
  <c r="AT60" i="13"/>
  <c r="E8" i="28" s="1"/>
  <c r="S8" i="28" s="1"/>
  <c r="G8" i="28"/>
  <c r="U8" i="28" s="1"/>
  <c r="BF60" i="13"/>
  <c r="E28" i="28" s="1"/>
  <c r="S28" i="28" s="1"/>
  <c r="G28" i="28"/>
  <c r="U28" i="28" s="1"/>
  <c r="G14" i="6"/>
  <c r="U14" i="6" s="1"/>
  <c r="BJ60" i="13"/>
  <c r="E14" i="28" s="1"/>
  <c r="S14" i="28" s="1"/>
  <c r="CD60" i="13"/>
  <c r="E24" i="28" s="1"/>
  <c r="S24" i="28" s="1"/>
  <c r="G24" i="28"/>
  <c r="U24" i="28" s="1"/>
  <c r="W37" i="28"/>
  <c r="W4" i="28"/>
  <c r="G5" i="28"/>
  <c r="U5" i="28" s="1"/>
  <c r="K60" i="13"/>
  <c r="E5" i="28" s="1"/>
  <c r="S5" i="28" s="1"/>
  <c r="G6" i="28"/>
  <c r="U6" i="28" s="1"/>
  <c r="AE60" i="13"/>
  <c r="E6" i="28" s="1"/>
  <c r="S6" i="28" s="1"/>
  <c r="G9" i="28"/>
  <c r="U9" i="28" s="1"/>
  <c r="AY60" i="13"/>
  <c r="E9" i="28" s="1"/>
  <c r="S9" i="28" s="1"/>
  <c r="G27" i="28"/>
  <c r="U27" i="28" s="1"/>
  <c r="BC60" i="13"/>
  <c r="E27" i="28" s="1"/>
  <c r="S27" i="28" s="1"/>
  <c r="G13" i="6"/>
  <c r="BO60" i="13"/>
  <c r="E13" i="28" s="1"/>
  <c r="S13" i="28" s="1"/>
  <c r="Y28" i="28"/>
  <c r="Y32" i="28" s="1"/>
  <c r="K32" i="28"/>
  <c r="U60" i="13"/>
  <c r="E7" i="28" s="1"/>
  <c r="S7" i="28" s="1"/>
  <c r="G7" i="28"/>
  <c r="U7" i="28" s="1"/>
  <c r="G25" i="28"/>
  <c r="U25" i="28" s="1"/>
  <c r="AO60" i="13"/>
  <c r="E25" i="28" s="1"/>
  <c r="S25" i="28" s="1"/>
  <c r="BY60" i="13"/>
  <c r="E23" i="28" s="1"/>
  <c r="G23" i="28"/>
  <c r="U23" i="28" s="1"/>
  <c r="W23" i="28"/>
  <c r="F29" i="6"/>
  <c r="T29" i="6" s="1"/>
  <c r="G39" i="6"/>
  <c r="G39" i="25"/>
  <c r="U39" i="25" s="1"/>
  <c r="G39" i="19"/>
  <c r="AE39" i="19" s="1"/>
  <c r="G4" i="6"/>
  <c r="G4" i="25"/>
  <c r="G4" i="19"/>
  <c r="G8" i="6"/>
  <c r="G8" i="25"/>
  <c r="U8" i="25" s="1"/>
  <c r="G8" i="19"/>
  <c r="AE8" i="19" s="1"/>
  <c r="G28" i="6"/>
  <c r="U28" i="6" s="1"/>
  <c r="G28" i="25"/>
  <c r="U28" i="25" s="1"/>
  <c r="G28" i="19"/>
  <c r="AE28" i="19" s="1"/>
  <c r="G24" i="6"/>
  <c r="G24" i="25"/>
  <c r="U24" i="25" s="1"/>
  <c r="G24" i="19"/>
  <c r="AE24" i="19" s="1"/>
  <c r="E37" i="6"/>
  <c r="E37" i="25"/>
  <c r="I40" i="6"/>
  <c r="W40" i="6" s="1"/>
  <c r="I40" i="19"/>
  <c r="AG40" i="19" s="1"/>
  <c r="I40" i="25"/>
  <c r="W40" i="25" s="1"/>
  <c r="I10" i="19"/>
  <c r="AG10" i="19" s="1"/>
  <c r="I10" i="25"/>
  <c r="W10" i="25" s="1"/>
  <c r="I26" i="6"/>
  <c r="W26" i="6" s="1"/>
  <c r="I26" i="25"/>
  <c r="W26" i="25" s="1"/>
  <c r="I26" i="19"/>
  <c r="AG26" i="19" s="1"/>
  <c r="E10" i="6"/>
  <c r="S10" i="6" s="1"/>
  <c r="E40" i="19"/>
  <c r="AC40" i="19" s="1"/>
  <c r="E40" i="25"/>
  <c r="S40" i="25" s="1"/>
  <c r="E10" i="25"/>
  <c r="S10" i="25" s="1"/>
  <c r="E10" i="19"/>
  <c r="AC10" i="19" s="1"/>
  <c r="E26" i="6"/>
  <c r="E26" i="25"/>
  <c r="S26" i="25" s="1"/>
  <c r="E26" i="19"/>
  <c r="AC26" i="19" s="1"/>
  <c r="G5" i="6"/>
  <c r="U5" i="6" s="1"/>
  <c r="G5" i="25"/>
  <c r="U5" i="25" s="1"/>
  <c r="G5" i="19"/>
  <c r="AE5" i="19" s="1"/>
  <c r="E38" i="6"/>
  <c r="AC38" i="19"/>
  <c r="E38" i="25"/>
  <c r="S38" i="25" s="1"/>
  <c r="G37" i="6"/>
  <c r="G37" i="19"/>
  <c r="G37" i="25"/>
  <c r="G40" i="6"/>
  <c r="U40" i="6" s="1"/>
  <c r="G40" i="25"/>
  <c r="U40" i="25" s="1"/>
  <c r="G10" i="25"/>
  <c r="U10" i="25" s="1"/>
  <c r="G10" i="19"/>
  <c r="AE10" i="19" s="1"/>
  <c r="G40" i="19"/>
  <c r="AE40" i="19" s="1"/>
  <c r="I39" i="6"/>
  <c r="W39" i="6" s="1"/>
  <c r="I39" i="19"/>
  <c r="AG39" i="19" s="1"/>
  <c r="I39" i="25"/>
  <c r="W39" i="25" s="1"/>
  <c r="I28" i="6"/>
  <c r="W28" i="6" s="1"/>
  <c r="I28" i="25"/>
  <c r="W28" i="25" s="1"/>
  <c r="I28" i="19"/>
  <c r="AG28" i="19" s="1"/>
  <c r="I24" i="6"/>
  <c r="I24" i="25"/>
  <c r="W24" i="25" s="1"/>
  <c r="I24" i="19"/>
  <c r="AG24" i="19" s="1"/>
  <c r="E39" i="6"/>
  <c r="E39" i="19"/>
  <c r="AC39" i="19" s="1"/>
  <c r="E39" i="25"/>
  <c r="S39" i="25" s="1"/>
  <c r="E4" i="6"/>
  <c r="E4" i="25"/>
  <c r="E4" i="19"/>
  <c r="E28" i="25"/>
  <c r="S28" i="25" s="1"/>
  <c r="E28" i="19"/>
  <c r="AC28" i="19" s="1"/>
  <c r="E24" i="6"/>
  <c r="S24" i="6" s="1"/>
  <c r="E24" i="25"/>
  <c r="S24" i="25" s="1"/>
  <c r="E24" i="19"/>
  <c r="AC24" i="19" s="1"/>
  <c r="F42" i="6"/>
  <c r="T42" i="6" s="1"/>
  <c r="Y28" i="25"/>
  <c r="Y32" i="25" s="1"/>
  <c r="K32" i="25"/>
  <c r="G6" i="6"/>
  <c r="U6" i="6" s="1"/>
  <c r="G6" i="25"/>
  <c r="U6" i="25" s="1"/>
  <c r="G6" i="19"/>
  <c r="AE6" i="19" s="1"/>
  <c r="G9" i="6"/>
  <c r="U9" i="6" s="1"/>
  <c r="G9" i="25"/>
  <c r="U9" i="25" s="1"/>
  <c r="G9" i="19"/>
  <c r="AE9" i="19" s="1"/>
  <c r="G27" i="6"/>
  <c r="U27" i="6" s="1"/>
  <c r="G27" i="25"/>
  <c r="U27" i="25" s="1"/>
  <c r="G27" i="19"/>
  <c r="AE27" i="19" s="1"/>
  <c r="I7" i="6"/>
  <c r="W7" i="6" s="1"/>
  <c r="I7" i="19"/>
  <c r="AG7" i="19" s="1"/>
  <c r="I7" i="25"/>
  <c r="W7" i="25" s="1"/>
  <c r="I25" i="6"/>
  <c r="W25" i="6" s="1"/>
  <c r="I25" i="25"/>
  <c r="W25" i="25" s="1"/>
  <c r="I25" i="19"/>
  <c r="AG25" i="19" s="1"/>
  <c r="I23" i="6"/>
  <c r="W23" i="6" s="1"/>
  <c r="I23" i="19"/>
  <c r="I23" i="25"/>
  <c r="E7" i="6"/>
  <c r="S7" i="6" s="1"/>
  <c r="E7" i="25"/>
  <c r="S7" i="25" s="1"/>
  <c r="E7" i="19"/>
  <c r="AC7" i="19" s="1"/>
  <c r="E25" i="6"/>
  <c r="E25" i="19"/>
  <c r="AC25" i="19" s="1"/>
  <c r="E25" i="25"/>
  <c r="S25" i="25" s="1"/>
  <c r="E23" i="6"/>
  <c r="S23" i="6" s="1"/>
  <c r="E23" i="25"/>
  <c r="F41" i="6"/>
  <c r="T41" i="6" s="1"/>
  <c r="AS28" i="19"/>
  <c r="AS32" i="19" s="1"/>
  <c r="U32" i="19"/>
  <c r="G26" i="6"/>
  <c r="U26" i="6" s="1"/>
  <c r="G26" i="25"/>
  <c r="G26" i="19"/>
  <c r="I37" i="6"/>
  <c r="W37" i="6" s="1"/>
  <c r="I37" i="25"/>
  <c r="I37" i="19"/>
  <c r="I4" i="6"/>
  <c r="I4" i="25"/>
  <c r="I4" i="19"/>
  <c r="I8" i="6"/>
  <c r="I8" i="19"/>
  <c r="AG8" i="19" s="1"/>
  <c r="I8" i="25"/>
  <c r="W8" i="25" s="1"/>
  <c r="E8" i="6"/>
  <c r="S8" i="6" s="1"/>
  <c r="E8" i="25"/>
  <c r="S8" i="25" s="1"/>
  <c r="E8" i="19"/>
  <c r="AC8" i="19" s="1"/>
  <c r="G38" i="6"/>
  <c r="U38" i="6" s="1"/>
  <c r="G38" i="19"/>
  <c r="AE38" i="19" s="1"/>
  <c r="G38" i="25"/>
  <c r="U38" i="25" s="1"/>
  <c r="G7" i="6"/>
  <c r="U7" i="6" s="1"/>
  <c r="G7" i="25"/>
  <c r="U7" i="25" s="1"/>
  <c r="G7" i="19"/>
  <c r="AE7" i="19" s="1"/>
  <c r="G25" i="6"/>
  <c r="G25" i="19"/>
  <c r="AE25" i="19" s="1"/>
  <c r="G25" i="25"/>
  <c r="U25" i="25" s="1"/>
  <c r="G23" i="6"/>
  <c r="U23" i="6" s="1"/>
  <c r="G23" i="25"/>
  <c r="U23" i="25" s="1"/>
  <c r="G23" i="19"/>
  <c r="AE23" i="19" s="1"/>
  <c r="I38" i="6"/>
  <c r="I38" i="19"/>
  <c r="AG38" i="19" s="1"/>
  <c r="I38" i="25"/>
  <c r="W38" i="25" s="1"/>
  <c r="I5" i="6"/>
  <c r="W5" i="6" s="1"/>
  <c r="I5" i="25"/>
  <c r="W5" i="25" s="1"/>
  <c r="I5" i="19"/>
  <c r="AG5" i="19" s="1"/>
  <c r="I6" i="6"/>
  <c r="I6" i="19"/>
  <c r="AG6" i="19" s="1"/>
  <c r="I6" i="25"/>
  <c r="W6" i="25" s="1"/>
  <c r="I9" i="6"/>
  <c r="W9" i="6" s="1"/>
  <c r="I9" i="25"/>
  <c r="W9" i="25" s="1"/>
  <c r="I9" i="19"/>
  <c r="AG9" i="19" s="1"/>
  <c r="I27" i="6"/>
  <c r="W27" i="6" s="1"/>
  <c r="I27" i="19"/>
  <c r="AG27" i="19" s="1"/>
  <c r="I27" i="25"/>
  <c r="W27" i="25" s="1"/>
  <c r="E5" i="6"/>
  <c r="S5" i="6" s="1"/>
  <c r="E5" i="19"/>
  <c r="AC5" i="19" s="1"/>
  <c r="E5" i="25"/>
  <c r="S5" i="25" s="1"/>
  <c r="E6" i="6"/>
  <c r="E6" i="25"/>
  <c r="S6" i="25" s="1"/>
  <c r="E6" i="19"/>
  <c r="AC6" i="19" s="1"/>
  <c r="E9" i="6"/>
  <c r="S9" i="6" s="1"/>
  <c r="E9" i="19"/>
  <c r="AC9" i="19" s="1"/>
  <c r="E9" i="25"/>
  <c r="S9" i="25" s="1"/>
  <c r="E27" i="6"/>
  <c r="S27" i="6" s="1"/>
  <c r="E27" i="19"/>
  <c r="AC27" i="19" s="1"/>
  <c r="E27" i="25"/>
  <c r="S27" i="25" s="1"/>
  <c r="P87" i="7"/>
  <c r="S87" i="7"/>
  <c r="T87" i="7"/>
  <c r="O118" i="7"/>
  <c r="O85" i="7" s="1"/>
  <c r="S119" i="7"/>
  <c r="S86" i="7" s="1"/>
  <c r="O119" i="7"/>
  <c r="O86" i="7" s="1"/>
  <c r="O122" i="7"/>
  <c r="M120" i="7"/>
  <c r="M84" i="7" s="1"/>
  <c r="M118" i="7"/>
  <c r="M85" i="7" s="1"/>
  <c r="T118" i="7"/>
  <c r="T85" i="7" s="1"/>
  <c r="M122" i="7"/>
  <c r="U100" i="7"/>
  <c r="U106" i="7"/>
  <c r="U108" i="7" s="1"/>
  <c r="U113" i="7" s="1"/>
  <c r="U117" i="7" s="1"/>
  <c r="K122" i="7"/>
  <c r="K120" i="7"/>
  <c r="K84" i="7" s="1"/>
  <c r="K118" i="7"/>
  <c r="K85" i="7" s="1"/>
  <c r="I32" i="1"/>
  <c r="H53" i="14" s="1"/>
  <c r="H32" i="1"/>
  <c r="G53" i="14" s="1"/>
  <c r="J30" i="1"/>
  <c r="J106" i="7"/>
  <c r="J108" i="7" s="1"/>
  <c r="J113" i="7" s="1"/>
  <c r="J117" i="7" s="1"/>
  <c r="J100" i="7"/>
  <c r="P120" i="7"/>
  <c r="P84" i="7" s="1"/>
  <c r="T119" i="7"/>
  <c r="T86" i="7" s="1"/>
  <c r="DF50" i="13"/>
  <c r="E11" i="6" s="1"/>
  <c r="S11" i="6" s="1"/>
  <c r="M41" i="1"/>
  <c r="J98" i="7"/>
  <c r="V120" i="7"/>
  <c r="V84" i="7" s="1"/>
  <c r="V122" i="7"/>
  <c r="M119" i="7"/>
  <c r="M86" i="7" s="1"/>
  <c r="T120" i="7"/>
  <c r="T84" i="7" s="1"/>
  <c r="O120" i="7"/>
  <c r="O84" i="7" s="1"/>
  <c r="F43" i="1"/>
  <c r="D41" i="1"/>
  <c r="Q15" i="2" s="1"/>
  <c r="E41" i="1"/>
  <c r="R15" i="2" s="1"/>
  <c r="E28" i="6"/>
  <c r="S28" i="6" s="1"/>
  <c r="BF7" i="13"/>
  <c r="E29" i="6"/>
  <c r="S29" i="6" s="1"/>
  <c r="DI7" i="13"/>
  <c r="E30" i="6"/>
  <c r="S30" i="6" s="1"/>
  <c r="DR7" i="13"/>
  <c r="E12" i="6"/>
  <c r="S12" i="6" s="1"/>
  <c r="DL7" i="13"/>
  <c r="E16" i="6"/>
  <c r="S16" i="6" s="1"/>
  <c r="DO7" i="13"/>
  <c r="E42" i="6"/>
  <c r="S42" i="6" s="1"/>
  <c r="DC7" i="13"/>
  <c r="K119" i="7"/>
  <c r="K86" i="7" s="1"/>
  <c r="D30" i="1"/>
  <c r="Q17" i="9"/>
  <c r="U29" i="9"/>
  <c r="U5" i="9" s="1"/>
  <c r="I10" i="6"/>
  <c r="W10" i="6" s="1"/>
  <c r="E40" i="6"/>
  <c r="G10" i="6"/>
  <c r="S17" i="9"/>
  <c r="S14" i="9"/>
  <c r="S18" i="9" s="1"/>
  <c r="T14" i="9"/>
  <c r="T18" i="9" s="1"/>
  <c r="W29" i="9"/>
  <c r="W5" i="9" s="1"/>
  <c r="P18" i="9"/>
  <c r="P23" i="9"/>
  <c r="Q18" i="9"/>
  <c r="E17" i="9"/>
  <c r="P17" i="9"/>
  <c r="Y29" i="9"/>
  <c r="Y5" i="9" s="1"/>
  <c r="X29" i="9"/>
  <c r="X5" i="9" s="1"/>
  <c r="V29" i="9"/>
  <c r="H18" i="9"/>
  <c r="I17" i="9"/>
  <c r="L17" i="9"/>
  <c r="H17" i="9"/>
  <c r="F18" i="9"/>
  <c r="N18" i="9"/>
  <c r="I18" i="9"/>
  <c r="O18" i="9"/>
  <c r="G17" i="9"/>
  <c r="M17" i="9"/>
  <c r="G18" i="9"/>
  <c r="F17" i="9"/>
  <c r="J24" i="9"/>
  <c r="K17" i="9"/>
  <c r="D18" i="9"/>
  <c r="D17" i="9"/>
  <c r="F23" i="9"/>
  <c r="L14" i="9"/>
  <c r="L18" i="9" s="1"/>
  <c r="O13" i="9"/>
  <c r="O17" i="9" s="1"/>
  <c r="M14" i="9"/>
  <c r="M18" i="9" s="1"/>
  <c r="N13" i="9"/>
  <c r="N17" i="9" s="1"/>
  <c r="J23" i="9"/>
  <c r="O23" i="9"/>
  <c r="E23" i="9"/>
  <c r="N23" i="9"/>
  <c r="K23" i="9"/>
  <c r="D23" i="9"/>
  <c r="M23" i="9"/>
  <c r="K14" i="9"/>
  <c r="K18" i="9" s="1"/>
  <c r="P42" i="6"/>
  <c r="P43" i="6"/>
  <c r="P41" i="6"/>
  <c r="R45" i="6"/>
  <c r="Z42" i="6"/>
  <c r="Y42" i="6"/>
  <c r="X42" i="6"/>
  <c r="V42" i="6"/>
  <c r="Z41" i="6"/>
  <c r="Y41" i="6"/>
  <c r="X41" i="6"/>
  <c r="V41" i="6"/>
  <c r="P29" i="6"/>
  <c r="P30" i="6"/>
  <c r="P28" i="6"/>
  <c r="P12" i="6"/>
  <c r="P11" i="6"/>
  <c r="Z30" i="6"/>
  <c r="Y30" i="6"/>
  <c r="X30" i="6"/>
  <c r="V30" i="6"/>
  <c r="T30" i="6"/>
  <c r="Z29" i="6"/>
  <c r="Y29" i="6"/>
  <c r="X29" i="6"/>
  <c r="V29" i="6"/>
  <c r="Z16" i="6"/>
  <c r="Y16" i="6"/>
  <c r="X16" i="6"/>
  <c r="V16" i="6"/>
  <c r="U16" i="6"/>
  <c r="L43" i="6"/>
  <c r="K43" i="6"/>
  <c r="Y43" i="6" s="1"/>
  <c r="J43" i="6"/>
  <c r="X43" i="6" s="1"/>
  <c r="H43" i="6"/>
  <c r="V43" i="6" s="1"/>
  <c r="T12" i="6"/>
  <c r="Z11" i="6"/>
  <c r="Y11" i="6"/>
  <c r="V11" i="6"/>
  <c r="T11" i="6"/>
  <c r="Q38" i="6"/>
  <c r="Q39" i="6"/>
  <c r="Q40" i="6"/>
  <c r="Q41" i="6"/>
  <c r="Q42" i="6"/>
  <c r="Q43" i="6"/>
  <c r="Q37" i="6"/>
  <c r="Q24" i="6"/>
  <c r="Q25" i="6"/>
  <c r="Q26" i="6"/>
  <c r="Q27" i="6"/>
  <c r="Q28" i="6"/>
  <c r="Q29" i="6"/>
  <c r="Q30" i="6"/>
  <c r="Q23" i="6"/>
  <c r="Q13" i="6"/>
  <c r="Q14" i="6"/>
  <c r="Q15" i="6"/>
  <c r="Q16" i="6"/>
  <c r="Q12" i="6"/>
  <c r="D45" i="6"/>
  <c r="X11" i="6"/>
  <c r="R32" i="6"/>
  <c r="R18" i="6"/>
  <c r="Z38" i="6"/>
  <c r="Y38" i="6"/>
  <c r="X38" i="6"/>
  <c r="V38" i="6"/>
  <c r="T38" i="6"/>
  <c r="Z37" i="6"/>
  <c r="X37" i="6"/>
  <c r="V37" i="6"/>
  <c r="T37" i="6"/>
  <c r="U37" i="6"/>
  <c r="W38" i="6"/>
  <c r="S38" i="6"/>
  <c r="Z39" i="6"/>
  <c r="Y39" i="6"/>
  <c r="X39" i="6"/>
  <c r="V39" i="6"/>
  <c r="T39" i="6"/>
  <c r="Z40" i="6"/>
  <c r="Y40" i="6"/>
  <c r="X40" i="6"/>
  <c r="V40" i="6"/>
  <c r="T40" i="6"/>
  <c r="Z28" i="6"/>
  <c r="Y28" i="6"/>
  <c r="X28" i="6"/>
  <c r="V28" i="6"/>
  <c r="T28" i="6"/>
  <c r="Z27" i="6"/>
  <c r="Y27" i="6"/>
  <c r="X27" i="6"/>
  <c r="V27" i="6"/>
  <c r="T27" i="6"/>
  <c r="Z26" i="6"/>
  <c r="Y26" i="6"/>
  <c r="X26" i="6"/>
  <c r="V26" i="6"/>
  <c r="T26" i="6"/>
  <c r="Z25" i="6"/>
  <c r="Y25" i="6"/>
  <c r="X25" i="6"/>
  <c r="V25" i="6"/>
  <c r="T25" i="6"/>
  <c r="S25" i="6"/>
  <c r="Z24" i="6"/>
  <c r="Y24" i="6"/>
  <c r="X24" i="6"/>
  <c r="V24" i="6"/>
  <c r="T24" i="6"/>
  <c r="Z4" i="6"/>
  <c r="Z5" i="6"/>
  <c r="Z23" i="6"/>
  <c r="X23" i="6"/>
  <c r="V23" i="6"/>
  <c r="T23" i="6"/>
  <c r="D32" i="6"/>
  <c r="Z15" i="6"/>
  <c r="Y15" i="6"/>
  <c r="X15" i="6"/>
  <c r="V15" i="6"/>
  <c r="T15" i="6"/>
  <c r="Z14" i="6"/>
  <c r="Y14" i="6"/>
  <c r="X14" i="6"/>
  <c r="V14" i="6"/>
  <c r="T14" i="6"/>
  <c r="Z13" i="6"/>
  <c r="Y13" i="6"/>
  <c r="X13" i="6"/>
  <c r="V13" i="6"/>
  <c r="T13" i="6"/>
  <c r="Z10" i="6"/>
  <c r="Y10" i="6"/>
  <c r="X10" i="6"/>
  <c r="V10" i="6"/>
  <c r="T10" i="6"/>
  <c r="Z9" i="6"/>
  <c r="Y9" i="6"/>
  <c r="X9" i="6"/>
  <c r="V9" i="6"/>
  <c r="T9" i="6"/>
  <c r="Y8" i="6"/>
  <c r="Z8" i="6"/>
  <c r="X8" i="6"/>
  <c r="V8" i="6"/>
  <c r="T8" i="6"/>
  <c r="Z7" i="6"/>
  <c r="Y7" i="6"/>
  <c r="X7" i="6"/>
  <c r="V7" i="6"/>
  <c r="T7" i="6"/>
  <c r="T6" i="6"/>
  <c r="V6" i="6"/>
  <c r="X6" i="6"/>
  <c r="Y6" i="6"/>
  <c r="Z6" i="6"/>
  <c r="Y5" i="6"/>
  <c r="X5" i="6"/>
  <c r="V5" i="6"/>
  <c r="T5" i="6"/>
  <c r="X4" i="6"/>
  <c r="V4" i="6"/>
  <c r="T4" i="6"/>
  <c r="D18" i="6"/>
  <c r="W6" i="6"/>
  <c r="W8" i="6"/>
  <c r="W14" i="6"/>
  <c r="W13" i="6"/>
  <c r="W15" i="6"/>
  <c r="W24" i="6"/>
  <c r="W41" i="6"/>
  <c r="W42" i="6"/>
  <c r="W29" i="6"/>
  <c r="W16" i="6"/>
  <c r="W30" i="6"/>
  <c r="U39" i="6"/>
  <c r="U25" i="6"/>
  <c r="U8" i="6"/>
  <c r="U13" i="6"/>
  <c r="U24" i="6"/>
  <c r="U41" i="6"/>
  <c r="U42" i="6"/>
  <c r="U11" i="6"/>
  <c r="U29" i="6"/>
  <c r="G43" i="6"/>
  <c r="U43" i="6" s="1"/>
  <c r="U30" i="6"/>
  <c r="S4" i="6"/>
  <c r="S6" i="6"/>
  <c r="S26" i="6"/>
  <c r="S14" i="6"/>
  <c r="S13" i="6"/>
  <c r="S15" i="6"/>
  <c r="S41" i="6"/>
  <c r="S39" i="6"/>
  <c r="AK28" i="19" l="1"/>
  <c r="AK32" i="19" s="1"/>
  <c r="M32" i="19"/>
  <c r="AO28" i="19"/>
  <c r="AO32" i="19" s="1"/>
  <c r="Q32" i="19"/>
  <c r="AM28" i="19"/>
  <c r="AM32" i="19" s="1"/>
  <c r="O32" i="19"/>
  <c r="AQ28" i="19"/>
  <c r="AQ32" i="19" s="1"/>
  <c r="S32" i="19"/>
  <c r="AI28" i="19"/>
  <c r="AI32" i="19" s="1"/>
  <c r="K32" i="19"/>
  <c r="V30" i="9"/>
  <c r="U6" i="9"/>
  <c r="X30" i="9"/>
  <c r="AB78" i="7"/>
  <c r="AB77" i="7"/>
  <c r="G15" i="27"/>
  <c r="G45" i="27" s="1"/>
  <c r="N78" i="7"/>
  <c r="N77" i="7"/>
  <c r="E15" i="27" s="1"/>
  <c r="E45" i="27" s="1"/>
  <c r="G15" i="21"/>
  <c r="G45" i="21" s="1"/>
  <c r="Y78" i="7"/>
  <c r="Y77" i="7"/>
  <c r="G22" i="27"/>
  <c r="G52" i="27" s="1"/>
  <c r="G85" i="27" s="1"/>
  <c r="O85" i="27" s="1"/>
  <c r="U77" i="7"/>
  <c r="E22" i="27" s="1"/>
  <c r="E52" i="27" s="1"/>
  <c r="E85" i="27" s="1"/>
  <c r="M85" i="27" s="1"/>
  <c r="G22" i="21"/>
  <c r="G52" i="21" s="1"/>
  <c r="G85" i="21" s="1"/>
  <c r="O85" i="21" s="1"/>
  <c r="U78" i="7"/>
  <c r="G16" i="27"/>
  <c r="G46" i="27" s="1"/>
  <c r="O78" i="7"/>
  <c r="O77" i="7"/>
  <c r="E16" i="27" s="1"/>
  <c r="E46" i="27" s="1"/>
  <c r="G16" i="21"/>
  <c r="G46" i="21" s="1"/>
  <c r="G20" i="27"/>
  <c r="G50" i="27" s="1"/>
  <c r="G83" i="27" s="1"/>
  <c r="O83" i="27" s="1"/>
  <c r="G20" i="21"/>
  <c r="G50" i="21" s="1"/>
  <c r="G83" i="21" s="1"/>
  <c r="O83" i="21" s="1"/>
  <c r="S77" i="7"/>
  <c r="E20" i="27" s="1"/>
  <c r="E50" i="27" s="1"/>
  <c r="E83" i="27" s="1"/>
  <c r="M83" i="27" s="1"/>
  <c r="S78" i="7"/>
  <c r="AC78" i="7"/>
  <c r="AC77" i="7"/>
  <c r="G7" i="27"/>
  <c r="G37" i="27" s="1"/>
  <c r="G80" i="27" s="1"/>
  <c r="O80" i="27" s="1"/>
  <c r="F77" i="7"/>
  <c r="E7" i="27" s="1"/>
  <c r="E37" i="27" s="1"/>
  <c r="E80" i="27" s="1"/>
  <c r="M80" i="27" s="1"/>
  <c r="F78" i="7"/>
  <c r="G7" i="21"/>
  <c r="G37" i="21" s="1"/>
  <c r="G80" i="21" s="1"/>
  <c r="O80" i="21" s="1"/>
  <c r="AE78" i="7"/>
  <c r="AE77" i="7"/>
  <c r="G14" i="27"/>
  <c r="G44" i="27" s="1"/>
  <c r="G82" i="27" s="1"/>
  <c r="O82" i="27" s="1"/>
  <c r="M78" i="7"/>
  <c r="M77" i="7"/>
  <c r="E14" i="27" s="1"/>
  <c r="E44" i="27" s="1"/>
  <c r="E82" i="27" s="1"/>
  <c r="M82" i="27" s="1"/>
  <c r="G14" i="21"/>
  <c r="G44" i="21" s="1"/>
  <c r="G82" i="21" s="1"/>
  <c r="O82" i="21" s="1"/>
  <c r="U30" i="9"/>
  <c r="G11" i="27"/>
  <c r="G41" i="27" s="1"/>
  <c r="J78" i="7"/>
  <c r="G11" i="21"/>
  <c r="G41" i="21" s="1"/>
  <c r="J77" i="7"/>
  <c r="E11" i="27" s="1"/>
  <c r="E41" i="27" s="1"/>
  <c r="G19" i="27"/>
  <c r="G49" i="27" s="1"/>
  <c r="R77" i="7"/>
  <c r="E19" i="27" s="1"/>
  <c r="E49" i="27" s="1"/>
  <c r="G19" i="21"/>
  <c r="G49" i="21" s="1"/>
  <c r="R78" i="7"/>
  <c r="G5" i="21"/>
  <c r="G5" i="27"/>
  <c r="D78" i="7"/>
  <c r="D77" i="7"/>
  <c r="E5" i="27" s="1"/>
  <c r="G25" i="27"/>
  <c r="G55" i="27" s="1"/>
  <c r="X78" i="7"/>
  <c r="X77" i="7"/>
  <c r="E25" i="27" s="1"/>
  <c r="E55" i="27" s="1"/>
  <c r="G25" i="21"/>
  <c r="G55" i="21" s="1"/>
  <c r="AA78" i="7"/>
  <c r="AA77" i="7"/>
  <c r="G10" i="27"/>
  <c r="G40" i="27" s="1"/>
  <c r="I78" i="7"/>
  <c r="I77" i="7"/>
  <c r="E10" i="27" s="1"/>
  <c r="E40" i="27" s="1"/>
  <c r="G10" i="21"/>
  <c r="G40" i="21" s="1"/>
  <c r="O26" i="27"/>
  <c r="O26" i="23"/>
  <c r="Q26" i="17"/>
  <c r="O26" i="21"/>
  <c r="G45" i="6"/>
  <c r="H17" i="1" s="1"/>
  <c r="G48" i="14" s="1"/>
  <c r="W30" i="9"/>
  <c r="Y30" i="9"/>
  <c r="AP78" i="7"/>
  <c r="AP77" i="7"/>
  <c r="G88" i="27"/>
  <c r="O88" i="27" s="1"/>
  <c r="AJ78" i="7"/>
  <c r="AJ77" i="7"/>
  <c r="G88" i="21"/>
  <c r="O88" i="21" s="1"/>
  <c r="G13" i="27"/>
  <c r="G43" i="27" s="1"/>
  <c r="G81" i="27" s="1"/>
  <c r="O81" i="27" s="1"/>
  <c r="L77" i="7"/>
  <c r="E13" i="27" s="1"/>
  <c r="E43" i="27" s="1"/>
  <c r="E81" i="27" s="1"/>
  <c r="M81" i="27" s="1"/>
  <c r="G13" i="21"/>
  <c r="G43" i="21" s="1"/>
  <c r="G81" i="21" s="1"/>
  <c r="O81" i="21" s="1"/>
  <c r="L78" i="7"/>
  <c r="G23" i="27"/>
  <c r="G53" i="27" s="1"/>
  <c r="V77" i="7"/>
  <c r="E23" i="27" s="1"/>
  <c r="E53" i="27" s="1"/>
  <c r="V78" i="7"/>
  <c r="G23" i="21"/>
  <c r="G53" i="21" s="1"/>
  <c r="AK78" i="7"/>
  <c r="AK77" i="7"/>
  <c r="AN78" i="7"/>
  <c r="AN77" i="7"/>
  <c r="P78" i="7"/>
  <c r="P77" i="7"/>
  <c r="AM78" i="7"/>
  <c r="AM77" i="7"/>
  <c r="G24" i="27"/>
  <c r="G54" i="27" s="1"/>
  <c r="G24" i="21"/>
  <c r="G54" i="21" s="1"/>
  <c r="W77" i="7"/>
  <c r="E24" i="27" s="1"/>
  <c r="E54" i="27" s="1"/>
  <c r="W78" i="7"/>
  <c r="G6" i="27"/>
  <c r="G36" i="27" s="1"/>
  <c r="E78" i="7"/>
  <c r="E77" i="7"/>
  <c r="E6" i="27" s="1"/>
  <c r="E36" i="27" s="1"/>
  <c r="G6" i="21"/>
  <c r="G36" i="21" s="1"/>
  <c r="AO78" i="7"/>
  <c r="AO77" i="7"/>
  <c r="G87" i="27"/>
  <c r="O87" i="27" s="1"/>
  <c r="AG78" i="7"/>
  <c r="AG77" i="7"/>
  <c r="G87" i="21"/>
  <c r="O87" i="21" s="1"/>
  <c r="G9" i="21"/>
  <c r="G39" i="21" s="1"/>
  <c r="H77" i="7"/>
  <c r="E9" i="27" s="1"/>
  <c r="E39" i="27" s="1"/>
  <c r="G9" i="27"/>
  <c r="G39" i="27" s="1"/>
  <c r="H78" i="7"/>
  <c r="AQ78" i="7"/>
  <c r="AQ77" i="7"/>
  <c r="AL78" i="7"/>
  <c r="AL77" i="7"/>
  <c r="AF78" i="7"/>
  <c r="AF77" i="7"/>
  <c r="AD78" i="7"/>
  <c r="AD77" i="7"/>
  <c r="G78" i="7"/>
  <c r="G77" i="7"/>
  <c r="E8" i="27" s="1"/>
  <c r="E38" i="27" s="1"/>
  <c r="G8" i="21"/>
  <c r="G38" i="21" s="1"/>
  <c r="G8" i="27"/>
  <c r="G38" i="27" s="1"/>
  <c r="G21" i="27"/>
  <c r="G51" i="27" s="1"/>
  <c r="G84" i="27" s="1"/>
  <c r="O84" i="27" s="1"/>
  <c r="T78" i="7"/>
  <c r="G21" i="21"/>
  <c r="G51" i="21" s="1"/>
  <c r="G84" i="21" s="1"/>
  <c r="O84" i="21" s="1"/>
  <c r="T77" i="7"/>
  <c r="E21" i="27" s="1"/>
  <c r="E51" i="27" s="1"/>
  <c r="E84" i="27" s="1"/>
  <c r="M84" i="27" s="1"/>
  <c r="Z78" i="7"/>
  <c r="Z77" i="7"/>
  <c r="AH78" i="7"/>
  <c r="AH77" i="7"/>
  <c r="G12" i="27"/>
  <c r="G42" i="27" s="1"/>
  <c r="K77" i="7"/>
  <c r="E12" i="27" s="1"/>
  <c r="E42" i="27" s="1"/>
  <c r="K78" i="7"/>
  <c r="G12" i="21"/>
  <c r="G42" i="21" s="1"/>
  <c r="G86" i="27"/>
  <c r="O86" i="27" s="1"/>
  <c r="AI78" i="7"/>
  <c r="G86" i="21"/>
  <c r="O86" i="21" s="1"/>
  <c r="AI77" i="7"/>
  <c r="G18" i="27"/>
  <c r="G48" i="27" s="1"/>
  <c r="Q77" i="7"/>
  <c r="E18" i="27" s="1"/>
  <c r="E48" i="27" s="1"/>
  <c r="Q78" i="7"/>
  <c r="G18" i="21"/>
  <c r="G48" i="21" s="1"/>
  <c r="E32" i="1"/>
  <c r="D53" i="14" s="1"/>
  <c r="C53" i="14"/>
  <c r="E30" i="1"/>
  <c r="D52" i="14" s="1"/>
  <c r="C52" i="14"/>
  <c r="K30" i="1"/>
  <c r="J52" i="14" s="1"/>
  <c r="I52" i="14"/>
  <c r="W32" i="28"/>
  <c r="L77" i="14" s="1"/>
  <c r="I41" i="28"/>
  <c r="CZ60" i="13"/>
  <c r="E41" i="28" s="1"/>
  <c r="S41" i="28" s="1"/>
  <c r="I43" i="28"/>
  <c r="W43" i="28" s="1"/>
  <c r="W12" i="28"/>
  <c r="CX59" i="13"/>
  <c r="CX58" i="13"/>
  <c r="CX60" i="13" s="1"/>
  <c r="I32" i="28"/>
  <c r="K77" i="14" s="1"/>
  <c r="I18" i="28"/>
  <c r="S12" i="28"/>
  <c r="E43" i="28"/>
  <c r="S43" i="28" s="1"/>
  <c r="E46" i="14"/>
  <c r="D129" i="7"/>
  <c r="M5" i="27" s="1"/>
  <c r="M35" i="27" s="1"/>
  <c r="D120" i="7"/>
  <c r="D84" i="7" s="1"/>
  <c r="D119" i="7"/>
  <c r="D86" i="7" s="1"/>
  <c r="D122" i="7"/>
  <c r="D118" i="7"/>
  <c r="D85" i="7" s="1"/>
  <c r="R21" i="17"/>
  <c r="R51" i="17" s="1"/>
  <c r="R67" i="17" s="1"/>
  <c r="E32" i="28"/>
  <c r="P21" i="23"/>
  <c r="P51" i="23" s="1"/>
  <c r="P67" i="23" s="1"/>
  <c r="R20" i="17"/>
  <c r="R50" i="17" s="1"/>
  <c r="R66" i="17" s="1"/>
  <c r="P20" i="27"/>
  <c r="P50" i="27" s="1"/>
  <c r="P66" i="27" s="1"/>
  <c r="U122" i="7"/>
  <c r="U87" i="7" s="1"/>
  <c r="U129" i="7"/>
  <c r="M22" i="27" s="1"/>
  <c r="M52" i="27" s="1"/>
  <c r="M68" i="27" s="1"/>
  <c r="E93" i="27" s="1"/>
  <c r="M93" i="27" s="1"/>
  <c r="J122" i="7"/>
  <c r="J87" i="7" s="1"/>
  <c r="J129" i="7"/>
  <c r="M11" i="27" s="1"/>
  <c r="P20" i="23"/>
  <c r="P50" i="23" s="1"/>
  <c r="P66" i="23" s="1"/>
  <c r="S23" i="28"/>
  <c r="S32" i="28" s="1"/>
  <c r="E92" i="27"/>
  <c r="M92" i="27" s="1"/>
  <c r="P20" i="21"/>
  <c r="P50" i="21" s="1"/>
  <c r="P66" i="21" s="1"/>
  <c r="P21" i="21"/>
  <c r="P51" i="21" s="1"/>
  <c r="P67" i="21" s="1"/>
  <c r="P21" i="27"/>
  <c r="P51" i="27" s="1"/>
  <c r="P67" i="27" s="1"/>
  <c r="E10" i="28"/>
  <c r="S10" i="28" s="1"/>
  <c r="E40" i="28"/>
  <c r="U4" i="28"/>
  <c r="U18" i="28" s="1"/>
  <c r="G18" i="28"/>
  <c r="G32" i="28"/>
  <c r="U26" i="28"/>
  <c r="U32" i="28" s="1"/>
  <c r="U45" i="28"/>
  <c r="W18" i="28"/>
  <c r="S4" i="28"/>
  <c r="G45" i="28"/>
  <c r="I18" i="19"/>
  <c r="AG4" i="19"/>
  <c r="AG18" i="19" s="1"/>
  <c r="W37" i="25"/>
  <c r="W45" i="25" s="1"/>
  <c r="I45" i="25"/>
  <c r="S23" i="25"/>
  <c r="S32" i="25" s="1"/>
  <c r="E32" i="25"/>
  <c r="S4" i="25"/>
  <c r="S18" i="25" s="1"/>
  <c r="E18" i="25"/>
  <c r="G45" i="19"/>
  <c r="H25" i="31" s="1"/>
  <c r="AE37" i="19"/>
  <c r="AE45" i="19" s="1"/>
  <c r="I25" i="31" s="1"/>
  <c r="AC37" i="19"/>
  <c r="E45" i="19"/>
  <c r="AE4" i="19"/>
  <c r="AE18" i="19" s="1"/>
  <c r="K23" i="31" s="1"/>
  <c r="K34" i="31" s="1"/>
  <c r="G18" i="19"/>
  <c r="G32" i="19"/>
  <c r="AE26" i="19"/>
  <c r="AE32" i="19" s="1"/>
  <c r="M22" i="31" s="1"/>
  <c r="AG23" i="19"/>
  <c r="L29" i="31"/>
  <c r="AG37" i="19"/>
  <c r="AG45" i="19" s="1"/>
  <c r="I30" i="31" s="1"/>
  <c r="I45" i="19"/>
  <c r="H30" i="31" s="1"/>
  <c r="G32" i="25"/>
  <c r="K66" i="14" s="1"/>
  <c r="U26" i="25"/>
  <c r="U32" i="25" s="1"/>
  <c r="L66" i="14" s="1"/>
  <c r="AC4" i="19"/>
  <c r="AC18" i="19" s="1"/>
  <c r="G45" i="25"/>
  <c r="G66" i="14" s="1"/>
  <c r="U37" i="25"/>
  <c r="U45" i="25" s="1"/>
  <c r="H66" i="14" s="1"/>
  <c r="I18" i="25"/>
  <c r="W4" i="25"/>
  <c r="W18" i="25" s="1"/>
  <c r="E32" i="19"/>
  <c r="AC23" i="19"/>
  <c r="AC32" i="19" s="1"/>
  <c r="W23" i="25"/>
  <c r="W32" i="25" s="1"/>
  <c r="I32" i="25"/>
  <c r="S37" i="25"/>
  <c r="S45" i="25" s="1"/>
  <c r="E45" i="25"/>
  <c r="U4" i="25"/>
  <c r="U18" i="25" s="1"/>
  <c r="G18" i="25"/>
  <c r="K87" i="7"/>
  <c r="P12" i="27" s="1"/>
  <c r="P42" i="27" s="1"/>
  <c r="P64" i="27" s="1"/>
  <c r="O87" i="7"/>
  <c r="D87" i="7"/>
  <c r="P5" i="27" s="1"/>
  <c r="V87" i="7"/>
  <c r="M87" i="7"/>
  <c r="J120" i="7"/>
  <c r="J84" i="7" s="1"/>
  <c r="P5" i="21"/>
  <c r="D47" i="14"/>
  <c r="J119" i="7"/>
  <c r="J86" i="7" s="1"/>
  <c r="J118" i="7"/>
  <c r="J85" i="7" s="1"/>
  <c r="U120" i="7"/>
  <c r="DF7" i="13"/>
  <c r="N30" i="1"/>
  <c r="O30" i="1" s="1"/>
  <c r="L30" i="1"/>
  <c r="V6" i="9"/>
  <c r="K32" i="1"/>
  <c r="J53" i="14" s="1"/>
  <c r="I13" i="1"/>
  <c r="H47" i="14" s="1"/>
  <c r="T24" i="9"/>
  <c r="S40" i="6"/>
  <c r="Z12" i="6"/>
  <c r="Z18" i="6" s="1"/>
  <c r="U10" i="6"/>
  <c r="K32" i="6"/>
  <c r="I43" i="6"/>
  <c r="W43" i="6" s="1"/>
  <c r="W45" i="6" s="1"/>
  <c r="I22" i="1" s="1"/>
  <c r="H50" i="14" s="1"/>
  <c r="W12" i="6"/>
  <c r="V12" i="6"/>
  <c r="X6" i="9"/>
  <c r="Q24" i="9"/>
  <c r="Q29" i="9" s="1"/>
  <c r="W6" i="9"/>
  <c r="S24" i="9"/>
  <c r="S29" i="9" s="1"/>
  <c r="Y6" i="9"/>
  <c r="D29" i="9"/>
  <c r="D30" i="9" s="1"/>
  <c r="P24" i="9"/>
  <c r="P29" i="9" s="1"/>
  <c r="E24" i="9"/>
  <c r="E29" i="9" s="1"/>
  <c r="E30" i="9" s="1"/>
  <c r="V5" i="9"/>
  <c r="F24" i="9"/>
  <c r="F29" i="9" s="1"/>
  <c r="F30" i="9" s="1"/>
  <c r="Y12" i="6"/>
  <c r="K18" i="6"/>
  <c r="W32" i="6"/>
  <c r="M21" i="1" s="1"/>
  <c r="L50" i="14" s="1"/>
  <c r="E43" i="6"/>
  <c r="S43" i="6" s="1"/>
  <c r="K45" i="6"/>
  <c r="I18" i="6"/>
  <c r="U12" i="6"/>
  <c r="W4" i="6"/>
  <c r="L18" i="6"/>
  <c r="G18" i="6"/>
  <c r="Z32" i="6"/>
  <c r="S32" i="6"/>
  <c r="U32" i="6"/>
  <c r="U45" i="6"/>
  <c r="I17" i="1" s="1"/>
  <c r="H48" i="14" s="1"/>
  <c r="L45" i="6"/>
  <c r="Z43" i="6"/>
  <c r="Z45" i="6" s="1"/>
  <c r="I32" i="6"/>
  <c r="S37" i="6"/>
  <c r="G32" i="6"/>
  <c r="L14" i="1" s="1"/>
  <c r="Y37" i="6"/>
  <c r="Y45" i="6" s="1"/>
  <c r="U4" i="6"/>
  <c r="X12" i="6"/>
  <c r="E32" i="6"/>
  <c r="F43" i="6"/>
  <c r="T43" i="6" s="1"/>
  <c r="Y23" i="6"/>
  <c r="Y32" i="6" s="1"/>
  <c r="Y4" i="6"/>
  <c r="L32" i="6"/>
  <c r="I24" i="9"/>
  <c r="I29" i="9" s="1"/>
  <c r="H32" i="31" s="1"/>
  <c r="M24" i="9"/>
  <c r="M29" i="9" s="1"/>
  <c r="M30" i="9" s="1"/>
  <c r="K24" i="9"/>
  <c r="K29" i="9" s="1"/>
  <c r="K30" i="9" s="1"/>
  <c r="G24" i="9"/>
  <c r="G29" i="9" s="1"/>
  <c r="L24" i="9"/>
  <c r="L29" i="9" s="1"/>
  <c r="H24" i="9"/>
  <c r="H29" i="9" s="1"/>
  <c r="H30" i="9" s="1"/>
  <c r="N24" i="9"/>
  <c r="N29" i="9" s="1"/>
  <c r="N30" i="9" s="1"/>
  <c r="J29" i="9"/>
  <c r="J30" i="9" s="1"/>
  <c r="O24" i="9"/>
  <c r="O29" i="9" s="1"/>
  <c r="E18" i="6"/>
  <c r="S18" i="6"/>
  <c r="W11" i="6"/>
  <c r="L32" i="31" l="1"/>
  <c r="J32" i="31"/>
  <c r="J23" i="31"/>
  <c r="J34" i="31" s="1"/>
  <c r="H40" i="31"/>
  <c r="H34" i="31"/>
  <c r="AC45" i="19"/>
  <c r="AC49" i="19"/>
  <c r="E86" i="27"/>
  <c r="M86" i="27" s="1"/>
  <c r="E86" i="21"/>
  <c r="M86" i="21" s="1"/>
  <c r="AH42" i="27"/>
  <c r="AH42" i="21"/>
  <c r="E21" i="21"/>
  <c r="E51" i="21" s="1"/>
  <c r="E84" i="21" s="1"/>
  <c r="M84" i="21" s="1"/>
  <c r="S42" i="27"/>
  <c r="E6" i="21"/>
  <c r="E36" i="21" s="1"/>
  <c r="S42" i="21"/>
  <c r="E88" i="27"/>
  <c r="M88" i="27" s="1"/>
  <c r="E88" i="21"/>
  <c r="M88" i="21" s="1"/>
  <c r="Q56" i="17"/>
  <c r="Q28" i="17"/>
  <c r="R42" i="27"/>
  <c r="R42" i="21"/>
  <c r="E5" i="21"/>
  <c r="T29" i="9"/>
  <c r="M32" i="31" s="1"/>
  <c r="AD42" i="27"/>
  <c r="AD42" i="21"/>
  <c r="AL42" i="27"/>
  <c r="AL42" i="21"/>
  <c r="E25" i="21"/>
  <c r="E55" i="21" s="1"/>
  <c r="X42" i="27"/>
  <c r="X42" i="21"/>
  <c r="E11" i="21"/>
  <c r="E41" i="21" s="1"/>
  <c r="C32" i="31"/>
  <c r="O30" i="9"/>
  <c r="B71" i="14" s="1"/>
  <c r="C24" i="1"/>
  <c r="B51" i="14" s="1"/>
  <c r="L30" i="9"/>
  <c r="K71" i="14" s="1"/>
  <c r="L24" i="1"/>
  <c r="K51" i="14" s="1"/>
  <c r="I30" i="9"/>
  <c r="G71" i="14" s="1"/>
  <c r="H24" i="1"/>
  <c r="G51" i="14" s="1"/>
  <c r="P5" i="9"/>
  <c r="P30" i="9"/>
  <c r="S5" i="9"/>
  <c r="S30" i="9"/>
  <c r="AK42" i="27"/>
  <c r="E24" i="21"/>
  <c r="E54" i="21" s="1"/>
  <c r="AK42" i="21"/>
  <c r="Z42" i="27"/>
  <c r="E13" i="21"/>
  <c r="E43" i="21" s="1"/>
  <c r="E81" i="21" s="1"/>
  <c r="M81" i="21" s="1"/>
  <c r="Z42" i="21"/>
  <c r="O56" i="27"/>
  <c r="O28" i="27"/>
  <c r="G35" i="21"/>
  <c r="G79" i="21" s="1"/>
  <c r="G28" i="21"/>
  <c r="AA42" i="27"/>
  <c r="AA42" i="21"/>
  <c r="E14" i="21"/>
  <c r="E44" i="21" s="1"/>
  <c r="E82" i="21" s="1"/>
  <c r="M82" i="21" s="1"/>
  <c r="AC42" i="27"/>
  <c r="E16" i="21"/>
  <c r="E46" i="21" s="1"/>
  <c r="AC42" i="21"/>
  <c r="Q6" i="9"/>
  <c r="Q30" i="9"/>
  <c r="R26" i="17"/>
  <c r="R56" i="17" s="1"/>
  <c r="P26" i="27"/>
  <c r="P56" i="27" s="1"/>
  <c r="H89" i="27" s="1"/>
  <c r="P89" i="27" s="1"/>
  <c r="P26" i="21"/>
  <c r="P56" i="21" s="1"/>
  <c r="H89" i="21" s="1"/>
  <c r="P89" i="21" s="1"/>
  <c r="P26" i="23"/>
  <c r="P56" i="23" s="1"/>
  <c r="H89" i="23" s="1"/>
  <c r="P89" i="23" s="1"/>
  <c r="AG42" i="27"/>
  <c r="AG42" i="21"/>
  <c r="E20" i="21"/>
  <c r="E50" i="21" s="1"/>
  <c r="E83" i="21" s="1"/>
  <c r="M83" i="21" s="1"/>
  <c r="AI42" i="27"/>
  <c r="E22" i="21"/>
  <c r="E52" i="21" s="1"/>
  <c r="E85" i="21" s="1"/>
  <c r="M85" i="21" s="1"/>
  <c r="AI42" i="21"/>
  <c r="AB42" i="27"/>
  <c r="AB42" i="21"/>
  <c r="E15" i="21"/>
  <c r="E45" i="21" s="1"/>
  <c r="U42" i="27"/>
  <c r="U42" i="21"/>
  <c r="E8" i="21"/>
  <c r="E38" i="21" s="1"/>
  <c r="E87" i="27"/>
  <c r="M87" i="27" s="1"/>
  <c r="E87" i="21"/>
  <c r="M87" i="21" s="1"/>
  <c r="O56" i="23"/>
  <c r="O28" i="23"/>
  <c r="G35" i="27"/>
  <c r="G79" i="27" s="1"/>
  <c r="G28" i="27"/>
  <c r="G57" i="27" s="1"/>
  <c r="G30" i="9"/>
  <c r="J24" i="1"/>
  <c r="I51" i="14" s="1"/>
  <c r="L29" i="1"/>
  <c r="K48" i="14"/>
  <c r="Q5" i="9"/>
  <c r="AE42" i="27"/>
  <c r="AE42" i="21"/>
  <c r="E18" i="21"/>
  <c r="E48" i="21" s="1"/>
  <c r="Y42" i="27"/>
  <c r="E12" i="21"/>
  <c r="E42" i="21" s="1"/>
  <c r="Y42" i="21"/>
  <c r="V42" i="27"/>
  <c r="E9" i="21"/>
  <c r="E39" i="21" s="1"/>
  <c r="V42" i="21"/>
  <c r="AJ42" i="27"/>
  <c r="AJ42" i="21"/>
  <c r="E23" i="21"/>
  <c r="E53" i="21" s="1"/>
  <c r="O56" i="21"/>
  <c r="O28" i="21"/>
  <c r="W42" i="27"/>
  <c r="W42" i="21"/>
  <c r="E10" i="21"/>
  <c r="E40" i="21" s="1"/>
  <c r="E35" i="27"/>
  <c r="E79" i="27" s="1"/>
  <c r="E28" i="27"/>
  <c r="E57" i="27" s="1"/>
  <c r="AF42" i="27"/>
  <c r="AF42" i="21"/>
  <c r="E19" i="21"/>
  <c r="E49" i="21" s="1"/>
  <c r="T42" i="27"/>
  <c r="E7" i="21"/>
  <c r="E37" i="21" s="1"/>
  <c r="E80" i="21" s="1"/>
  <c r="M80" i="21" s="1"/>
  <c r="T42" i="21"/>
  <c r="M30" i="1"/>
  <c r="L52" i="14" s="1"/>
  <c r="K52" i="14"/>
  <c r="N28" i="31"/>
  <c r="C28" i="31"/>
  <c r="J28" i="31"/>
  <c r="L22" i="31"/>
  <c r="L34" i="31" s="1"/>
  <c r="K57" i="14"/>
  <c r="Q5" i="36"/>
  <c r="E23" i="31"/>
  <c r="E34" i="31" s="1"/>
  <c r="G57" i="14"/>
  <c r="M34" i="31"/>
  <c r="L57" i="14"/>
  <c r="N23" i="31"/>
  <c r="N34" i="31" s="1"/>
  <c r="C23" i="31"/>
  <c r="C34" i="31" s="1"/>
  <c r="H57" i="14"/>
  <c r="I34" i="31"/>
  <c r="K28" i="31"/>
  <c r="E28" i="31"/>
  <c r="E18" i="28"/>
  <c r="D77" i="14"/>
  <c r="J77" i="14"/>
  <c r="W41" i="28"/>
  <c r="W45" i="28" s="1"/>
  <c r="H77" i="14" s="1"/>
  <c r="I45" i="28"/>
  <c r="G77" i="14" s="1"/>
  <c r="I77" i="14"/>
  <c r="B77" i="14"/>
  <c r="D57" i="14"/>
  <c r="J57" i="14"/>
  <c r="I57" i="14"/>
  <c r="B57" i="14"/>
  <c r="E68" i="14"/>
  <c r="F84" i="14" s="1"/>
  <c r="F94" i="14" s="1"/>
  <c r="E60" i="14"/>
  <c r="B66" i="14"/>
  <c r="I66" i="14"/>
  <c r="J66" i="14"/>
  <c r="D66" i="14"/>
  <c r="S18" i="28"/>
  <c r="M70" i="27"/>
  <c r="R5" i="17"/>
  <c r="R35" i="17" s="1"/>
  <c r="I92" i="17" s="1"/>
  <c r="R92" i="17" s="1"/>
  <c r="P22" i="27"/>
  <c r="P52" i="27" s="1"/>
  <c r="P68" i="27" s="1"/>
  <c r="H93" i="27" s="1"/>
  <c r="P93" i="27" s="1"/>
  <c r="R22" i="17"/>
  <c r="R52" i="17" s="1"/>
  <c r="R68" i="17" s="1"/>
  <c r="I93" i="17" s="1"/>
  <c r="R93" i="17" s="1"/>
  <c r="P22" i="21"/>
  <c r="P52" i="21" s="1"/>
  <c r="P68" i="21" s="1"/>
  <c r="H93" i="21" s="1"/>
  <c r="P93" i="21" s="1"/>
  <c r="P12" i="23"/>
  <c r="P42" i="23" s="1"/>
  <c r="P64" i="23" s="1"/>
  <c r="R11" i="17"/>
  <c r="R41" i="17" s="1"/>
  <c r="P11" i="23"/>
  <c r="P41" i="23" s="1"/>
  <c r="P11" i="21"/>
  <c r="P41" i="21" s="1"/>
  <c r="P22" i="23"/>
  <c r="P52" i="23" s="1"/>
  <c r="P68" i="23" s="1"/>
  <c r="H93" i="23" s="1"/>
  <c r="P93" i="23" s="1"/>
  <c r="P12" i="21"/>
  <c r="P42" i="21" s="1"/>
  <c r="P64" i="21" s="1"/>
  <c r="P14" i="21"/>
  <c r="P44" i="21" s="1"/>
  <c r="P65" i="21" s="1"/>
  <c r="P14" i="27"/>
  <c r="P44" i="27" s="1"/>
  <c r="P65" i="27" s="1"/>
  <c r="P16" i="23"/>
  <c r="P46" i="23" s="1"/>
  <c r="P16" i="27"/>
  <c r="P46" i="27" s="1"/>
  <c r="E45" i="28"/>
  <c r="S40" i="28"/>
  <c r="S45" i="28" s="1"/>
  <c r="R12" i="17"/>
  <c r="R42" i="17" s="1"/>
  <c r="R64" i="17" s="1"/>
  <c r="P5" i="23"/>
  <c r="P23" i="23"/>
  <c r="P53" i="23" s="1"/>
  <c r="P69" i="23" s="1"/>
  <c r="P23" i="27"/>
  <c r="P53" i="27" s="1"/>
  <c r="P69" i="27" s="1"/>
  <c r="M41" i="27"/>
  <c r="M57" i="27" s="1"/>
  <c r="M28" i="27"/>
  <c r="P11" i="27"/>
  <c r="P41" i="27" s="1"/>
  <c r="P35" i="27"/>
  <c r="I29" i="1"/>
  <c r="M14" i="1"/>
  <c r="R16" i="17"/>
  <c r="R46" i="17" s="1"/>
  <c r="P16" i="21"/>
  <c r="P46" i="21" s="1"/>
  <c r="R23" i="17"/>
  <c r="R53" i="17" s="1"/>
  <c r="R69" i="17" s="1"/>
  <c r="P23" i="21"/>
  <c r="P53" i="21" s="1"/>
  <c r="P69" i="21" s="1"/>
  <c r="P14" i="23"/>
  <c r="P44" i="23" s="1"/>
  <c r="P65" i="23" s="1"/>
  <c r="R14" i="17"/>
  <c r="R44" i="17" s="1"/>
  <c r="R65" i="17" s="1"/>
  <c r="P35" i="21"/>
  <c r="P35" i="23"/>
  <c r="I19" i="1"/>
  <c r="H49" i="14" s="1"/>
  <c r="U84" i="7"/>
  <c r="C15" i="1"/>
  <c r="N15" i="1"/>
  <c r="N29" i="1" s="1"/>
  <c r="J15" i="1"/>
  <c r="I48" i="14" s="1"/>
  <c r="N20" i="1"/>
  <c r="N35" i="1" s="1"/>
  <c r="J20" i="1"/>
  <c r="I50" i="14" s="1"/>
  <c r="D49" i="14"/>
  <c r="L32" i="1"/>
  <c r="M32" i="1"/>
  <c r="L53" i="14" s="1"/>
  <c r="G13" i="1"/>
  <c r="O13" i="1"/>
  <c r="O29" i="1" s="1"/>
  <c r="B49" i="14"/>
  <c r="J19" i="1"/>
  <c r="H19" i="1"/>
  <c r="G49" i="14" s="1"/>
  <c r="J13" i="1"/>
  <c r="I47" i="14" s="1"/>
  <c r="C20" i="1"/>
  <c r="B50" i="14" s="1"/>
  <c r="L21" i="1"/>
  <c r="K50" i="14" s="1"/>
  <c r="I45" i="6"/>
  <c r="H22" i="1" s="1"/>
  <c r="G50" i="14" s="1"/>
  <c r="U18" i="6"/>
  <c r="E15" i="1" s="1"/>
  <c r="D48" i="14" s="1"/>
  <c r="Y18" i="6"/>
  <c r="S6" i="9"/>
  <c r="F6" i="9"/>
  <c r="F5" i="9"/>
  <c r="E6" i="9"/>
  <c r="E5" i="9"/>
  <c r="N6" i="9"/>
  <c r="N5" i="9"/>
  <c r="H6" i="9"/>
  <c r="H5" i="9"/>
  <c r="K6" i="9"/>
  <c r="K5" i="9"/>
  <c r="I6" i="9"/>
  <c r="I5" i="9"/>
  <c r="L6" i="9"/>
  <c r="L5" i="9"/>
  <c r="G6" i="9"/>
  <c r="G5" i="9"/>
  <c r="O6" i="9"/>
  <c r="O5" i="9"/>
  <c r="M6" i="9"/>
  <c r="M5" i="9"/>
  <c r="J6" i="9"/>
  <c r="J5" i="9"/>
  <c r="S45" i="6"/>
  <c r="E45" i="6"/>
  <c r="W18" i="6"/>
  <c r="D5" i="9"/>
  <c r="D6" i="9"/>
  <c r="P6" i="38" l="1"/>
  <c r="P14" i="38" s="1"/>
  <c r="I89" i="17"/>
  <c r="R89" i="17" s="1"/>
  <c r="R105" i="17"/>
  <c r="R106" i="17" s="1"/>
  <c r="H89" i="17"/>
  <c r="Q89" i="17" s="1"/>
  <c r="Q105" i="17"/>
  <c r="S5" i="2"/>
  <c r="Q5" i="37"/>
  <c r="P5" i="36"/>
  <c r="P13" i="36" s="1"/>
  <c r="Q5" i="35"/>
  <c r="Q13" i="35" s="1"/>
  <c r="P5" i="2"/>
  <c r="R5" i="2" s="1"/>
  <c r="P5" i="37"/>
  <c r="P13" i="37" s="1"/>
  <c r="P5" i="38"/>
  <c r="P13" i="38" s="1"/>
  <c r="H44" i="31"/>
  <c r="D113" i="31" s="1"/>
  <c r="P6" i="36"/>
  <c r="Q13" i="36"/>
  <c r="P5" i="35"/>
  <c r="P13" i="35" s="1"/>
  <c r="P6" i="37"/>
  <c r="P14" i="37" s="1"/>
  <c r="D27" i="31"/>
  <c r="P6" i="2"/>
  <c r="T30" i="9"/>
  <c r="H71" i="14" s="1"/>
  <c r="I32" i="31"/>
  <c r="P6" i="35"/>
  <c r="L40" i="31"/>
  <c r="L44" i="31" s="1"/>
  <c r="D115" i="31" s="1"/>
  <c r="T5" i="9"/>
  <c r="J40" i="31"/>
  <c r="J44" i="31" s="1"/>
  <c r="D114" i="31" s="1"/>
  <c r="N40" i="31"/>
  <c r="N44" i="31" s="1"/>
  <c r="D116" i="31" s="1"/>
  <c r="O79" i="27"/>
  <c r="G94" i="27"/>
  <c r="I71" i="14"/>
  <c r="G89" i="27"/>
  <c r="O89" i="27" s="1"/>
  <c r="O57" i="27"/>
  <c r="B48" i="14"/>
  <c r="C29" i="1"/>
  <c r="R94" i="17"/>
  <c r="E94" i="27"/>
  <c r="M79" i="27"/>
  <c r="M94" i="27" s="1"/>
  <c r="C70" i="14"/>
  <c r="D70" i="14"/>
  <c r="H70" i="14"/>
  <c r="G89" i="23"/>
  <c r="O89" i="23" s="1"/>
  <c r="O94" i="23" s="1"/>
  <c r="F67" i="14" s="1"/>
  <c r="O57" i="23"/>
  <c r="G70" i="14"/>
  <c r="B70" i="14"/>
  <c r="I70" i="14"/>
  <c r="G57" i="21"/>
  <c r="E35" i="21"/>
  <c r="E79" i="21" s="1"/>
  <c r="E28" i="21"/>
  <c r="E57" i="21" s="1"/>
  <c r="Q57" i="17"/>
  <c r="E27" i="31" s="1"/>
  <c r="M29" i="1"/>
  <c r="L48" i="14"/>
  <c r="C67" i="14"/>
  <c r="H67" i="14"/>
  <c r="D67" i="14"/>
  <c r="C40" i="31"/>
  <c r="C44" i="31" s="1"/>
  <c r="D110" i="31" s="1"/>
  <c r="G89" i="21"/>
  <c r="O89" i="21" s="1"/>
  <c r="O57" i="21"/>
  <c r="O79" i="21"/>
  <c r="G94" i="21"/>
  <c r="E70" i="14" s="1"/>
  <c r="E72" i="14" s="1"/>
  <c r="H84" i="14" s="1"/>
  <c r="H94" i="14" s="1"/>
  <c r="K32" i="31"/>
  <c r="Q6" i="37"/>
  <c r="M24" i="1"/>
  <c r="K24" i="1"/>
  <c r="J51" i="14" s="1"/>
  <c r="I24" i="1"/>
  <c r="H51" i="14" s="1"/>
  <c r="T6" i="9"/>
  <c r="C58" i="14"/>
  <c r="H58" i="14"/>
  <c r="D58" i="14"/>
  <c r="K53" i="14"/>
  <c r="R70" i="17"/>
  <c r="B84" i="14"/>
  <c r="B94" i="14" s="1"/>
  <c r="E63" i="14"/>
  <c r="D84" i="14" s="1"/>
  <c r="D94" i="14" s="1"/>
  <c r="P70" i="23"/>
  <c r="P70" i="27"/>
  <c r="P28" i="23"/>
  <c r="P70" i="21"/>
  <c r="P28" i="27"/>
  <c r="P28" i="21"/>
  <c r="G29" i="1"/>
  <c r="F47" i="14"/>
  <c r="G47" i="14"/>
  <c r="H29" i="1"/>
  <c r="B47" i="14"/>
  <c r="J35" i="1"/>
  <c r="I49" i="14"/>
  <c r="D29" i="1"/>
  <c r="C47" i="14"/>
  <c r="D35" i="1"/>
  <c r="C49" i="14"/>
  <c r="H92" i="27"/>
  <c r="P92" i="27" s="1"/>
  <c r="P94" i="27" s="1"/>
  <c r="P57" i="27"/>
  <c r="J29" i="1"/>
  <c r="R57" i="17"/>
  <c r="R28" i="17"/>
  <c r="H92" i="23"/>
  <c r="P92" i="23" s="1"/>
  <c r="P94" i="23" s="1"/>
  <c r="P57" i="23"/>
  <c r="H92" i="21"/>
  <c r="P92" i="21" s="1"/>
  <c r="P94" i="21" s="1"/>
  <c r="P57" i="21"/>
  <c r="O19" i="1"/>
  <c r="O35" i="1" s="1"/>
  <c r="G19" i="1"/>
  <c r="E20" i="1"/>
  <c r="K20" i="1"/>
  <c r="H35" i="1"/>
  <c r="E29" i="1"/>
  <c r="K15" i="1"/>
  <c r="L35" i="1"/>
  <c r="N32" i="1"/>
  <c r="O32" i="1"/>
  <c r="C35" i="1"/>
  <c r="D111" i="31" l="1"/>
  <c r="D40" i="31"/>
  <c r="D44" i="31" s="1"/>
  <c r="E110" i="31" s="1"/>
  <c r="P14" i="36"/>
  <c r="P14" i="35"/>
  <c r="R5" i="37"/>
  <c r="Q13" i="37"/>
  <c r="R13" i="2"/>
  <c r="P8" i="37"/>
  <c r="P16" i="37" s="1"/>
  <c r="P13" i="2"/>
  <c r="P8" i="36"/>
  <c r="P16" i="36" s="1"/>
  <c r="P8" i="38"/>
  <c r="P16" i="38" s="1"/>
  <c r="T5" i="2"/>
  <c r="R5" i="36"/>
  <c r="Q14" i="37"/>
  <c r="R6" i="37"/>
  <c r="R5" i="35"/>
  <c r="P8" i="35"/>
  <c r="P16" i="35" s="1"/>
  <c r="Q6" i="2"/>
  <c r="Q6" i="35"/>
  <c r="P8" i="2"/>
  <c r="J71" i="14"/>
  <c r="P14" i="2"/>
  <c r="L71" i="14"/>
  <c r="K40" i="31"/>
  <c r="Q6" i="36"/>
  <c r="I35" i="1"/>
  <c r="I43" i="1" s="1"/>
  <c r="I40" i="31"/>
  <c r="M40" i="31"/>
  <c r="E40" i="31"/>
  <c r="E44" i="31" s="1"/>
  <c r="E111" i="31" s="1"/>
  <c r="S6" i="2"/>
  <c r="T6" i="2" s="1"/>
  <c r="O94" i="27"/>
  <c r="K29" i="1"/>
  <c r="J48" i="14"/>
  <c r="M79" i="21"/>
  <c r="E94" i="21"/>
  <c r="L51" i="14"/>
  <c r="M35" i="1"/>
  <c r="E74" i="14"/>
  <c r="J84" i="14" s="1"/>
  <c r="J94" i="14" s="1"/>
  <c r="K35" i="1"/>
  <c r="K43" i="1" s="1"/>
  <c r="J50" i="14"/>
  <c r="E35" i="1"/>
  <c r="D50" i="14"/>
  <c r="H43" i="1"/>
  <c r="G46" i="14" s="1"/>
  <c r="G60" i="14" s="1"/>
  <c r="Q13" i="2"/>
  <c r="D43" i="1"/>
  <c r="G35" i="1"/>
  <c r="F49" i="14"/>
  <c r="J43" i="1"/>
  <c r="O43" i="1"/>
  <c r="N43" i="1"/>
  <c r="L43" i="1"/>
  <c r="K46" i="14" s="1"/>
  <c r="C43" i="1"/>
  <c r="D10" i="9"/>
  <c r="S8" i="2" l="1"/>
  <c r="Q8" i="2"/>
  <c r="Q16" i="2" s="1"/>
  <c r="K44" i="31"/>
  <c r="E114" i="31" s="1"/>
  <c r="M44" i="31"/>
  <c r="E115" i="31" s="1"/>
  <c r="I44" i="31"/>
  <c r="E113" i="31" s="1"/>
  <c r="Q14" i="36"/>
  <c r="R6" i="36"/>
  <c r="Q14" i="35"/>
  <c r="R6" i="35"/>
  <c r="Q14" i="2"/>
  <c r="R6" i="2"/>
  <c r="R14" i="2"/>
  <c r="E78" i="14"/>
  <c r="L84" i="14" s="1"/>
  <c r="L94" i="14" s="1"/>
  <c r="M43" i="1"/>
  <c r="E43" i="1"/>
  <c r="D46" i="14" s="1"/>
  <c r="K60" i="14"/>
  <c r="K72" i="14" s="1"/>
  <c r="K68" i="14"/>
  <c r="F87" i="14" s="1"/>
  <c r="F97" i="14" s="1"/>
  <c r="G72" i="14"/>
  <c r="G68" i="14"/>
  <c r="F85" i="14" s="1"/>
  <c r="F95" i="14" s="1"/>
  <c r="G43" i="1"/>
  <c r="H46" i="14"/>
  <c r="C46" i="14"/>
  <c r="C60" i="14" s="1"/>
  <c r="J46" i="14"/>
  <c r="I46" i="14"/>
  <c r="B46" i="14"/>
  <c r="P16" i="2"/>
  <c r="J10" i="9"/>
  <c r="L10" i="9" s="1"/>
  <c r="S10" i="9"/>
  <c r="O10" i="9"/>
  <c r="Q8" i="37" l="1"/>
  <c r="R8" i="37" s="1"/>
  <c r="Q8" i="36"/>
  <c r="R8" i="36" s="1"/>
  <c r="R8" i="2"/>
  <c r="Q8" i="35"/>
  <c r="R8" i="35" s="1"/>
  <c r="R16" i="2"/>
  <c r="T8" i="2"/>
  <c r="N10" i="9"/>
  <c r="M10" i="9"/>
  <c r="K10" i="9"/>
  <c r="L46" i="14"/>
  <c r="B87" i="14"/>
  <c r="B97" i="14" s="1"/>
  <c r="J60" i="14"/>
  <c r="J72" i="14" s="1"/>
  <c r="J68" i="14"/>
  <c r="G86" i="14" s="1"/>
  <c r="G96" i="14" s="1"/>
  <c r="I60" i="14"/>
  <c r="I72" i="14" s="1"/>
  <c r="I68" i="14"/>
  <c r="F86" i="14" s="1"/>
  <c r="F96" i="14" s="1"/>
  <c r="D68" i="14"/>
  <c r="G83" i="14" s="1"/>
  <c r="G93" i="14" s="1"/>
  <c r="D60" i="14"/>
  <c r="D72" i="14" s="1"/>
  <c r="H68" i="14"/>
  <c r="G85" i="14" s="1"/>
  <c r="G95" i="14" s="1"/>
  <c r="H60" i="14"/>
  <c r="H72" i="14" s="1"/>
  <c r="B60" i="14"/>
  <c r="B68" i="14"/>
  <c r="C68" i="14"/>
  <c r="G82" i="14" s="1"/>
  <c r="G92" i="14" s="1"/>
  <c r="G63" i="14"/>
  <c r="D85" i="14" s="1"/>
  <c r="D95" i="14" s="1"/>
  <c r="B85" i="14"/>
  <c r="B95" i="14" s="1"/>
  <c r="F46" i="14"/>
  <c r="K63" i="14"/>
  <c r="D87" i="14" s="1"/>
  <c r="D97" i="14" s="1"/>
  <c r="T10" i="9"/>
  <c r="P10" i="9"/>
  <c r="V10" i="9" s="1"/>
  <c r="Q16" i="37" l="1"/>
  <c r="Q16" i="36"/>
  <c r="Q16" i="35"/>
  <c r="C86" i="14"/>
  <c r="C96" i="14" s="1"/>
  <c r="L60" i="14"/>
  <c r="L68" i="14"/>
  <c r="G87" i="14" s="1"/>
  <c r="G97" i="14" s="1"/>
  <c r="C83" i="14"/>
  <c r="C93" i="14" s="1"/>
  <c r="B72" i="14"/>
  <c r="B74" i="14" s="1"/>
  <c r="B78" i="14" s="1"/>
  <c r="L83" i="14" s="1"/>
  <c r="L93" i="14" s="1"/>
  <c r="B63" i="14"/>
  <c r="C72" i="14"/>
  <c r="C82" i="14"/>
  <c r="C92" i="14" s="1"/>
  <c r="B86" i="14"/>
  <c r="B96" i="14" s="1"/>
  <c r="F68" i="14"/>
  <c r="G84" i="14" s="1"/>
  <c r="G94" i="14" s="1"/>
  <c r="K74" i="14"/>
  <c r="H87" i="14"/>
  <c r="H97" i="14" s="1"/>
  <c r="C63" i="14"/>
  <c r="E82" i="14" s="1"/>
  <c r="E92" i="14" s="1"/>
  <c r="H85" i="14"/>
  <c r="H95" i="14" s="1"/>
  <c r="G74" i="14"/>
  <c r="B83" i="14"/>
  <c r="B93" i="14" s="1"/>
  <c r="B82" i="14"/>
  <c r="B92" i="14" s="1"/>
  <c r="H63" i="14"/>
  <c r="E85" i="14" s="1"/>
  <c r="E95" i="14" s="1"/>
  <c r="C85" i="14"/>
  <c r="C95" i="14" s="1"/>
  <c r="J63" i="14"/>
  <c r="E86" i="14" s="1"/>
  <c r="E96" i="14" s="1"/>
  <c r="I63" i="14"/>
  <c r="D86" i="14" s="1"/>
  <c r="D96" i="14" s="1"/>
  <c r="D63" i="14"/>
  <c r="E83" i="14" s="1"/>
  <c r="E93" i="14" s="1"/>
  <c r="L72" i="14" l="1"/>
  <c r="C87" i="14"/>
  <c r="C97" i="14" s="1"/>
  <c r="L63" i="14"/>
  <c r="E87" i="14" s="1"/>
  <c r="E97" i="14" s="1"/>
  <c r="L82" i="14"/>
  <c r="L92" i="14" s="1"/>
  <c r="J87" i="14"/>
  <c r="J97" i="14" s="1"/>
  <c r="K78" i="14"/>
  <c r="L87" i="14" s="1"/>
  <c r="L97" i="14" s="1"/>
  <c r="J85" i="14"/>
  <c r="J95" i="14" s="1"/>
  <c r="G78" i="14"/>
  <c r="L85" i="14" s="1"/>
  <c r="L95" i="14" s="1"/>
  <c r="I86" i="14"/>
  <c r="I96" i="14" s="1"/>
  <c r="J74" i="14"/>
  <c r="I85" i="14"/>
  <c r="I95" i="14" s="1"/>
  <c r="H74" i="14"/>
  <c r="D74" i="14"/>
  <c r="I83" i="14"/>
  <c r="I93" i="14" s="1"/>
  <c r="H86" i="14"/>
  <c r="H96" i="14" s="1"/>
  <c r="I74" i="14"/>
  <c r="I82" i="14"/>
  <c r="I92" i="14" s="1"/>
  <c r="C74" i="14"/>
  <c r="H83" i="14"/>
  <c r="H93" i="14" s="1"/>
  <c r="H82" i="14"/>
  <c r="H92" i="14" s="1"/>
  <c r="F82" i="14"/>
  <c r="F92" i="14" s="1"/>
  <c r="F83" i="14"/>
  <c r="F93" i="14" s="1"/>
  <c r="D83" i="14"/>
  <c r="D93" i="14" s="1"/>
  <c r="D82" i="14"/>
  <c r="D92" i="14" s="1"/>
  <c r="I87" i="14" l="1"/>
  <c r="I97" i="14" s="1"/>
  <c r="L74" i="14"/>
  <c r="K82" i="14"/>
  <c r="K92" i="14" s="1"/>
  <c r="C78" i="14"/>
  <c r="M82" i="14" s="1"/>
  <c r="M92" i="14" s="1"/>
  <c r="K83" i="14"/>
  <c r="K93" i="14" s="1"/>
  <c r="D78" i="14"/>
  <c r="M83" i="14" s="1"/>
  <c r="M93" i="14" s="1"/>
  <c r="K85" i="14"/>
  <c r="K95" i="14" s="1"/>
  <c r="H78" i="14"/>
  <c r="M85" i="14" s="1"/>
  <c r="M95" i="14" s="1"/>
  <c r="J86" i="14"/>
  <c r="J96" i="14" s="1"/>
  <c r="I78" i="14"/>
  <c r="L86" i="14" s="1"/>
  <c r="L96" i="14" s="1"/>
  <c r="K86" i="14"/>
  <c r="K96" i="14" s="1"/>
  <c r="J78" i="14"/>
  <c r="M86" i="14" s="1"/>
  <c r="M96" i="14" s="1"/>
  <c r="J82" i="14"/>
  <c r="J92" i="14" s="1"/>
  <c r="J83" i="14"/>
  <c r="J93" i="14" s="1"/>
  <c r="K87" i="14" l="1"/>
  <c r="K97" i="14" s="1"/>
  <c r="L78" i="14"/>
  <c r="M87" i="14" s="1"/>
  <c r="M97" i="14" s="1"/>
  <c r="O108" i="17" l="1"/>
  <c r="O21" i="31" s="1"/>
  <c r="O34" i="31" l="1"/>
  <c r="Q5" i="38" l="1"/>
  <c r="N108" i="17"/>
  <c r="AR118" i="16"/>
  <c r="AR83" i="16" s="1"/>
  <c r="AR117" i="16"/>
  <c r="AR82" i="16" s="1"/>
  <c r="Q13" i="38" l="1"/>
  <c r="R5" i="38"/>
  <c r="H91" i="17"/>
  <c r="Q91" i="17" s="1"/>
  <c r="Q103" i="17" s="1"/>
  <c r="G91" i="21"/>
  <c r="O91" i="21" s="1"/>
  <c r="AR121" i="16"/>
  <c r="AR84" i="16" s="1"/>
  <c r="AR119" i="16"/>
  <c r="AR81" i="16" s="1"/>
  <c r="E91" i="17" l="1"/>
  <c r="N91" i="17" s="1"/>
  <c r="N103" i="17" s="1"/>
  <c r="E91" i="21"/>
  <c r="M91" i="21" s="1"/>
  <c r="AI117" i="16"/>
  <c r="AI82" i="16" s="1"/>
  <c r="AI118" i="16"/>
  <c r="AI83" i="16" s="1"/>
  <c r="G90" i="21"/>
  <c r="O90" i="21"/>
  <c r="O94" i="21" s="1"/>
  <c r="F70" i="14" s="1"/>
  <c r="AI119" i="16"/>
  <c r="AI81" i="16" s="1"/>
  <c r="AI121" i="16"/>
  <c r="AI84" i="16" s="1"/>
  <c r="H90" i="17"/>
  <c r="Q90" i="17"/>
  <c r="Q104" i="17" s="1"/>
  <c r="Q106" i="17" s="1"/>
  <c r="O27" i="31" s="1"/>
  <c r="Q94" i="17"/>
  <c r="G27" i="31" s="1"/>
  <c r="E90" i="17" l="1"/>
  <c r="N90" i="17" s="1"/>
  <c r="E90" i="21"/>
  <c r="M90" i="21" s="1"/>
  <c r="M94" i="21" s="1"/>
  <c r="O40" i="31"/>
  <c r="O44" i="31" s="1"/>
  <c r="E116" i="31" s="1"/>
  <c r="Q6" i="38"/>
  <c r="G40" i="31"/>
  <c r="G44" i="31" s="1"/>
  <c r="E112" i="31" s="1"/>
  <c r="Q6" i="34"/>
  <c r="F58" i="14"/>
  <c r="F60" i="14" s="1"/>
  <c r="Q14" i="38" l="1"/>
  <c r="R6" i="38"/>
  <c r="Q8" i="38"/>
  <c r="Q8" i="34"/>
  <c r="Q16" i="34" s="1"/>
  <c r="F72" i="14"/>
  <c r="F63" i="14"/>
  <c r="E84" i="14" s="1"/>
  <c r="E94" i="14" s="1"/>
  <c r="C84" i="14"/>
  <c r="C94" i="14" s="1"/>
  <c r="R6" i="34"/>
  <c r="Q14" i="34"/>
  <c r="N104" i="17"/>
  <c r="N106" i="17" s="1"/>
  <c r="N94" i="17"/>
  <c r="Q16" i="38" l="1"/>
  <c r="R8" i="38"/>
  <c r="R8" i="34"/>
  <c r="F74" i="14"/>
  <c r="I84" i="14"/>
  <c r="I94" i="14" s="1"/>
  <c r="K84" i="14" l="1"/>
  <c r="K94" i="14" s="1"/>
  <c r="F78" i="14"/>
  <c r="M84" i="14" s="1"/>
  <c r="M94"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tc={EC27A19D-EB4A-4F1F-9DD3-82FF95E6FCDA}</author>
    <author>tc={69CD8A98-B91A-423D-85D1-A81690C0369A}</author>
  </authors>
  <commentList>
    <comment ref="AI18" authorId="0" shapeId="0" xr:uid="{EC27A19D-EB4A-4F1F-9DD3-82FF95E6FCDA}">
      <text>
        <t>[Threaded comment]
Your version of Excel allows you to read this threaded comment; however, any edits to it will get removed if the file is opened in a newer version of Excel. Learn more: https://go.microsoft.com/fwlink/?linkid=870924
Comment:
    @Charlie Russ I think we should consider dropping this to zero, with the assumption that all feed is provided by the herbal sward?</t>
      </text>
    </comment>
    <comment ref="AI55" authorId="1" shapeId="0" xr:uid="{69CD8A98-B91A-423D-85D1-A81690C0369A}">
      <text>
        <t>[Threaded comment]
Your version of Excel allows you to read this threaded comment; however, any edits to it will get removed if the file is opened in a newer version of Excel. Learn more: https://go.microsoft.com/fwlink/?linkid=870924
Comment:
    @Charlie Russ I think we should consider dropping this to zero, with the assumption that all feed is provided by the herbal sward?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tc={8E5E9940-4053-4284-9B00-8655280263A7}</author>
  </authors>
  <commentList>
    <comment ref="ED29" authorId="0" shapeId="0" xr:uid="{8E5E9940-4053-4284-9B00-8655280263A7}">
      <text>
        <t>[Threaded comment]
Your version of Excel allows you to read this threaded comment; however, any edits to it will get removed if the file is opened in a newer version of Excel. Learn more: https://go.microsoft.com/fwlink/?linkid=870924
Comment:
    @Charlie Russ I think this should be t/cow or something? Could you please check?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tc={943A6C27-2548-43C4-B96B-3111AD9A2353}</author>
  </authors>
  <commentList>
    <comment ref="T70" authorId="0" shapeId="0" xr:uid="{943A6C27-2548-43C4-B96B-3111AD9A2353}">
      <text>
        <t>[Threaded comment]
Your version of Excel allows you to read this threaded comment; however, any edits to it will get removed if the file is opened in a newer version of Excel. Learn more: https://go.microsoft.com/fwlink/?linkid=870924
Comment:
    @Charlie Russ would be good to discuss the logic of this at some point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<sst xmlns="http://schemas.openxmlformats.org/spreadsheetml/2006/main" count="5907" uniqueCount="990">
  <si>
    <t>Introduction</t>
  </si>
  <si>
    <t>Overview of the model</t>
  </si>
  <si>
    <t>This model sets out to explore and compare the economic performance of agroecological and conventional farm types; and to improve understanding of how policy support, conventional and environmental markets, and costs affect this economic performance. The findings feed into a wider report - The Economics of a Transition to Agroecological Farm Businesses.</t>
  </si>
  <si>
    <t>Aims</t>
  </si>
  <si>
    <t>1) Model the economic performance of agroecological farming for the different farm types across the UK and contrast these scenarios around agroecological whole farm   business transition with a “business as usual” approach, in order to demonstrate the counter-factual risks.
2) To model the impact public and private payments for ecosystem services and changing costs can have upon the economic performance of UK agroecological farming.</t>
  </si>
  <si>
    <t>What it shows</t>
  </si>
  <si>
    <t xml:space="preserve">The model demonstrates how the major management and land use changes for each of the agroecological farm types defined in the report impact the costs, outputs, and net incomes of the main farm types in the UK. This allows conclusions to be drawn about the current viability of and challenges to UK agroecology.  The model also shows how varying payments for ecosystem services, markets and costs would impact performance of the different farm types.
</t>
  </si>
  <si>
    <t xml:space="preserve">The modelling shows that at the point of development (2022) support, conventional markets and average costs are often inadequate to enable agroecological farms to generate profits comparable to or higher than conventional farms. However, conventional farms also rarely operate profitability without BPS support. 
</t>
  </si>
  <si>
    <t>Low performance is largely due to the failure of current policy and markets to pay land managers for the ecosystem services they provide. The Economics of a Transition to Agroecological Farm Businesses report explores in greater depth how modelling conservative and feasible changes that better reward farmers for the ecosystem services they provide lead the majority of agroeocological farm types to generate positive net incomes that are often higher than those of the conventional analogues. Furthermore, modelling more ambitious increases to the payments for ecosystem services leads the agroecological farm types to generate respectively high net incomes that can adequately provide for the farmers and their families without BPS support.</t>
  </si>
  <si>
    <t xml:space="preserve">The model enables the user to project changes to certain variables in order to explore how they impact the performance of the agroecological and conventional farm types. This enables insights to be drawn about which types of policies, private markets, and innovations are needed to effectively support viable agroecological farming in the UK, and the integrated ecosystem services that this form of land management can provide. </t>
  </si>
  <si>
    <t>The model is an exploratory tool that is not intended to provide definitive answers on this poorly researched form of land management. It is intended to inform and shape the discussion around the optimal and necessary support for UK agroecology. It is likely that additional application of and research into agroecology will lead to higher performance than the conservative estimates we model here. These estimated, due to inavailability of agroecology specific data, are often based on average performance data from organic farms.</t>
  </si>
  <si>
    <t>Model structure</t>
  </si>
  <si>
    <r>
      <t xml:space="preserve">The workbook contains a number of sheets that provide varying levels of information about the performance of agroecological and conventional farm types. You can navigate through these tabs by selecting them from the bar along the bottom of the page, or by selecting the scenario you are interested in by clicking the title of the farm type in the the main table of the </t>
    </r>
    <r>
      <rPr>
        <b/>
        <u/>
        <sz val="11"/>
        <color theme="1"/>
        <rFont val="Calibri"/>
        <family val="2"/>
        <scheme val="minor"/>
      </rPr>
      <t>Dashboard</t>
    </r>
    <r>
      <rPr>
        <sz val="11"/>
        <color theme="1"/>
        <rFont val="Calibri"/>
        <family val="2"/>
        <scheme val="minor"/>
      </rPr>
      <t xml:space="preserve"> tab. A description of each tab is provided below.</t>
    </r>
  </si>
  <si>
    <t>Interpreting the results</t>
  </si>
  <si>
    <t>This user guide provides a detailed overview of how to use and interpret the model.</t>
  </si>
  <si>
    <t>Customisability</t>
  </si>
  <si>
    <t>This user guide provides a detailed overview of how to vary and customise the model in order to draw novel and context specific insights about the economic performance of UK agroecological and conventional farms.</t>
  </si>
  <si>
    <t>Overview and dashboard</t>
  </si>
  <si>
    <r>
      <t xml:space="preserve">Summarises the economic performance of each of the agroecological farm types compared to the conventiaonal analogue. The economic performance is presented in a bar chart showing the net farm incomes for each of the farm types and in the main table (green). Performance in this table is broken down into fixed costs, farm business outputs, agricultural variable costs, and agricultural outputs. These performance variables are proportional to the areas of the farm types dedicated to the different crops, livestock and land uses. These areas are provided under the farm assets section at the top of the table.
This tab also provides the </t>
    </r>
    <r>
      <rPr>
        <u/>
        <sz val="11"/>
        <color theme="1"/>
        <rFont val="Calibri"/>
        <family val="2"/>
        <scheme val="minor"/>
      </rPr>
      <t>Customisability tab</t>
    </r>
    <r>
      <rPr>
        <sz val="11"/>
        <color theme="1"/>
        <rFont val="Calibri"/>
        <family val="2"/>
        <scheme val="minor"/>
      </rPr>
      <t xml:space="preserve"> from which the variables in the model can be adjusted (blue table).</t>
    </r>
  </si>
  <si>
    <t>Results - cereals</t>
  </si>
  <si>
    <t>Tab visually presenting the comparative performance of the agroecological and conventional cereal farm types and the areas dedicated to the different land uses and enterprises.</t>
  </si>
  <si>
    <t>Results - horticulture</t>
  </si>
  <si>
    <t>Tab visually presenting the comparative performance of the agroecological and conventional horticulture farm types and the areas dedicated to the different land uses and enterprises.</t>
  </si>
  <si>
    <t>Results - lowland dairy</t>
  </si>
  <si>
    <t>Tab visually presenting the comparative performance of the agroecological and conventional lowland dairy farm types and the areas dedicated to the different land uses and enterprises.</t>
  </si>
  <si>
    <t>Results - lowland grazing</t>
  </si>
  <si>
    <t>Tab visually presenting the comparative performance of the agroecological and conventional lowland grazing farm types and the areas dedicated to the different land uses and enterprises.</t>
  </si>
  <si>
    <t>Results - LFA grazing</t>
  </si>
  <si>
    <t>Tab visually presenting the comparative performance of the agroecological and conventional LFA grazing farm types and the areas dedicated to the different land uses and enterprises.</t>
  </si>
  <si>
    <t>Results - mixed</t>
  </si>
  <si>
    <t>Tab visually presenting the comparative performance of the agroecological and conventional mixed farm types and the areas dedicated to the different land uses and enterprises.</t>
  </si>
  <si>
    <t>Developers and acknowledgments</t>
  </si>
  <si>
    <t>The development of the model  was commissioned by the Soil Association and developed by Cumulus Consultants Ltd. Support and advice was provided by representatives from a steering group from the Soil Association.</t>
  </si>
  <si>
    <t>User Guide</t>
  </si>
  <si>
    <t>Dashboard</t>
  </si>
  <si>
    <r>
      <t xml:space="preserve">At the top of the tab a table allows the user to customise certain variables in the model to explore how these impact the economic performance of the farm types. Details on how to customise these variables are presented in the </t>
    </r>
    <r>
      <rPr>
        <u/>
        <sz val="11"/>
        <color theme="1"/>
        <rFont val="Calibri"/>
        <family val="2"/>
        <scheme val="minor"/>
      </rPr>
      <t>Customisability</t>
    </r>
    <r>
      <rPr>
        <sz val="11"/>
        <color theme="1"/>
        <rFont val="Calibri"/>
        <family val="2"/>
        <scheme val="minor"/>
      </rPr>
      <t xml:space="preserve"> tab. Within this table, descriptions and evidence is provided to explain each of the drop down options and additional information about how these variables are modelled is provided in Section 2.4 of The Economics of a Transition to Agroecological Farming Businesses report.</t>
    </r>
  </si>
  <si>
    <r>
      <t xml:space="preserve">To the right of the tab a bar chart summarises the net incomes of the farm types. The units are presented in </t>
    </r>
    <r>
      <rPr>
        <sz val="11"/>
        <color theme="1"/>
        <rFont val="Calibri"/>
        <family val="2"/>
      </rPr>
      <t>£</t>
    </r>
    <r>
      <rPr>
        <sz val="11"/>
        <color theme="1"/>
        <rFont val="Calibri"/>
        <family val="2"/>
        <scheme val="minor"/>
      </rPr>
      <t>1,000's and the net incomes of the conventional farm types are presented in blue and the agroecological net incomes in green.</t>
    </r>
  </si>
  <si>
    <t xml:space="preserve">The main results table in the dashboard tab is divided into sections from left to right with the collumn headings in the top row indicating which farm type the economic performance data and land uses refer to. The row below the farm type headings divied the farm types into collumns showing the performance of the conventional and agroecological farm types. </t>
  </si>
  <si>
    <t xml:space="preserve">For each of these sections, information is shown about the economic performance and composition of the different farm types. This information includes: </t>
  </si>
  <si>
    <r>
      <rPr>
        <sz val="11"/>
        <color theme="1"/>
        <rFont val="Calibri"/>
        <family val="2"/>
      </rPr>
      <t xml:space="preserve"> • </t>
    </r>
    <r>
      <rPr>
        <sz val="11"/>
        <color theme="1"/>
        <rFont val="Calibri"/>
        <family val="2"/>
        <scheme val="minor"/>
      </rPr>
      <t xml:space="preserve">the average area of the farm type in the UK;
 • the area that would be dedicated to the various land uses that comprise the farm type; described in greater detail in The Economics of a Transition to Agroecological Farming 
    Businesses report;
 • the economic outputs produced by the farm types;
 • the variable and fixed costs of the farm types;
 • the net income of the farm types (negative net incomes shown in red).
The final collumn in the table provides the sources, evidence and logic informing the modelled economic performance in the table. </t>
    </r>
  </si>
  <si>
    <t>Results - tabs</t>
  </si>
  <si>
    <t xml:space="preserve">The remainder of the tabs in the excel model present the economic performance of the different farm types in a standardised format. </t>
  </si>
  <si>
    <t>The blue table in the top left shows the custom variables that are currently selected and are therefore being incorporated into the scenario being modelled. Below this, the green button allows you to click to return to the dashboard where the variables can be customised.</t>
  </si>
  <si>
    <t>The tab then shows a series of bar charts. The upper most graph shows the gross outputs, variable costs, fixed costs and income across the whole farm. Below, a series of graphs show the same information on a per ha basis. Pie charts below this visually depict the areas of each agroecological farm type that are dedicated to different land uses and enterprises and the livestock units that are grazed across the farms.</t>
  </si>
  <si>
    <t>To the right of the graphs, three tables summarise the key performance data for the farm type. This corresponds to the information depicted in the graphs in a self explanatory way. Additionally, the first table shows the difference in gross farm output, variable costs, fixed costs, and net farm incomes between the conventional and agroecological farm types. If the agroecological farm is performing worse than the conventional, then the difference is shown in red; if it is performing better, the difference is shown in green.</t>
  </si>
  <si>
    <t>Dashboard - custom variable table</t>
  </si>
  <si>
    <r>
      <t xml:space="preserve">The table at the top of the </t>
    </r>
    <r>
      <rPr>
        <u/>
        <sz val="11"/>
        <color theme="1"/>
        <rFont val="Calibri"/>
        <family val="2"/>
        <scheme val="minor"/>
      </rPr>
      <t>Customisability tab</t>
    </r>
    <r>
      <rPr>
        <sz val="11"/>
        <color theme="1"/>
        <rFont val="Calibri"/>
        <family val="2"/>
        <scheme val="minor"/>
      </rPr>
      <t xml:space="preserve"> (shown in the screenshot below) allows you to edit each of the variables in the first collum of the table. The drop down options allow you to select from a list of predefined variables or set your own level of percentage change for the variable by selecting </t>
    </r>
    <r>
      <rPr>
        <u/>
        <sz val="11"/>
        <color theme="1"/>
        <rFont val="Calibri"/>
        <family val="2"/>
        <scheme val="minor"/>
      </rPr>
      <t>Custom variable</t>
    </r>
    <r>
      <rPr>
        <sz val="11"/>
        <color theme="1"/>
        <rFont val="Calibri"/>
        <family val="2"/>
        <scheme val="minor"/>
      </rPr>
      <t xml:space="preserve">. Once you have selected a variable, the </t>
    </r>
    <r>
      <rPr>
        <u/>
        <sz val="11"/>
        <color theme="1"/>
        <rFont val="Calibri"/>
        <family val="2"/>
        <scheme val="minor"/>
      </rPr>
      <t>Description</t>
    </r>
    <r>
      <rPr>
        <sz val="11"/>
        <color theme="1"/>
        <rFont val="Calibri"/>
        <family val="2"/>
        <scheme val="minor"/>
      </rPr>
      <t xml:space="preserve"> collumn explains what the selection means. Additional information is provided in the corresponding report. </t>
    </r>
  </si>
  <si>
    <r>
      <t xml:space="preserve">Selecting </t>
    </r>
    <r>
      <rPr>
        <u/>
        <sz val="11"/>
        <color theme="1"/>
        <rFont val="Calibri"/>
        <family val="2"/>
        <scheme val="minor"/>
      </rPr>
      <t>Custom variable</t>
    </r>
    <r>
      <rPr>
        <sz val="11"/>
        <color theme="1"/>
        <rFont val="Calibri"/>
        <family val="2"/>
        <scheme val="minor"/>
      </rPr>
      <t xml:space="preserve">, as is shown below in the </t>
    </r>
    <r>
      <rPr>
        <u/>
        <sz val="11"/>
        <color theme="1"/>
        <rFont val="Calibri"/>
        <family val="2"/>
        <scheme val="minor"/>
      </rPr>
      <t>Public payment for ecosystem services</t>
    </r>
    <r>
      <rPr>
        <sz val="11"/>
        <color theme="1"/>
        <rFont val="Calibri"/>
        <family val="2"/>
        <scheme val="minor"/>
      </rPr>
      <t xml:space="preserve"> row, allows you to type into the </t>
    </r>
    <r>
      <rPr>
        <u/>
        <sz val="11"/>
        <color theme="1"/>
        <rFont val="Calibri"/>
        <family val="2"/>
        <scheme val="minor"/>
      </rPr>
      <t>Custom variable</t>
    </r>
    <r>
      <rPr>
        <sz val="11"/>
        <color theme="1"/>
        <rFont val="Calibri"/>
        <family val="2"/>
        <scheme val="minor"/>
      </rPr>
      <t xml:space="preserve"> collumn a custom percentage change that will be applied to that variable. In the screenshot below, 30% has been typed into the </t>
    </r>
    <r>
      <rPr>
        <u/>
        <sz val="11"/>
        <color theme="1"/>
        <rFont val="Calibri"/>
        <family val="2"/>
        <scheme val="minor"/>
      </rPr>
      <t>Custom variable</t>
    </r>
    <r>
      <rPr>
        <sz val="11"/>
        <color theme="1"/>
        <rFont val="Calibri"/>
        <family val="2"/>
        <scheme val="minor"/>
      </rPr>
      <t xml:space="preserve"> collumn. Therefore, a 30% higher public payment for ecosystem services will be modelled across the farm types. </t>
    </r>
  </si>
  <si>
    <r>
      <t xml:space="preserve">The final row in the table allows you to apply a payment rate for the carbon sequestered across the farm types. By clicking the relevant box in the </t>
    </r>
    <r>
      <rPr>
        <u/>
        <sz val="11"/>
        <color theme="1"/>
        <rFont val="Calibri"/>
        <family val="2"/>
        <scheme val="minor"/>
      </rPr>
      <t>Custom variable</t>
    </r>
    <r>
      <rPr>
        <sz val="11"/>
        <color theme="1"/>
        <rFont val="Calibri"/>
        <family val="2"/>
        <scheme val="minor"/>
      </rPr>
      <t xml:space="preserve"> collumn you can select the payment rate from the drop down menu that you want to integrate into the model. Alternatively, you can type a number between 0 and 100 directly into the cell. The screenshot below shows us selecting a carbon payment rate of </t>
    </r>
    <r>
      <rPr>
        <sz val="11"/>
        <color theme="1"/>
        <rFont val="Calibri"/>
        <family val="2"/>
      </rPr>
      <t>£</t>
    </r>
    <r>
      <rPr>
        <sz val="11"/>
        <color theme="1"/>
        <rFont val="Calibri"/>
        <family val="2"/>
        <scheme val="minor"/>
      </rPr>
      <t>25 per tonne CO</t>
    </r>
    <r>
      <rPr>
        <vertAlign val="subscript"/>
        <sz val="11"/>
        <color theme="1"/>
        <rFont val="Calibri"/>
        <family val="2"/>
        <scheme val="minor"/>
      </rPr>
      <t>2</t>
    </r>
    <r>
      <rPr>
        <sz val="11"/>
        <color theme="1"/>
        <rFont val="Calibri"/>
        <family val="2"/>
        <scheme val="minor"/>
      </rPr>
      <t>e that will be paid to the farmer for the estimated carbon sequestered in the vegetation and soil. These payment rates are based on basic assumptions using average and studied sequestration rates for different habitats and land uses. They are based on validated data and studies, but are only indicative of the kind of sequestration rates and corresponding payments that may, in certain contexts, be possible. They should not be assumed to be attainable across the UK. Higher and lower rates will be feasible and the impact of agroecology upon the carbon footprints of farm types across the UK and the differrent UK geographies needs additional research and validation.</t>
    </r>
  </si>
  <si>
    <t>Variable</t>
  </si>
  <si>
    <t>Drop down options</t>
  </si>
  <si>
    <t>Custom variable</t>
  </si>
  <si>
    <t>Description</t>
  </si>
  <si>
    <t>Public payment for ecosystem services</t>
  </si>
  <si>
    <t>Current payment rate</t>
  </si>
  <si>
    <t>Farm gate price</t>
  </si>
  <si>
    <t>Conventional pricing</t>
  </si>
  <si>
    <t>Fixed cost</t>
  </si>
  <si>
    <t>Organic fixed costs</t>
  </si>
  <si>
    <t>Nitrogen pricing</t>
  </si>
  <si>
    <t>Historic pricing</t>
  </si>
  <si>
    <t>Carbon pricing</t>
  </si>
  <si>
    <t>Select a custom payment rate for carbon sequestered in the woodland and trees</t>
  </si>
  <si>
    <t>Cereals</t>
  </si>
  <si>
    <t>Horticulture</t>
  </si>
  <si>
    <t>Lowland dairy</t>
  </si>
  <si>
    <t>Lowland grazing</t>
  </si>
  <si>
    <t>LFA grazing</t>
  </si>
  <si>
    <t>Mixed</t>
  </si>
  <si>
    <t>Sources / Evidence / Logic</t>
  </si>
  <si>
    <t xml:space="preserve">Farm type and size distribution </t>
  </si>
  <si>
    <t>Conventional</t>
  </si>
  <si>
    <t>Agroecological (with grazier)</t>
  </si>
  <si>
    <t>Agroecological (with integrated livestock)</t>
  </si>
  <si>
    <t>AGROECOLOGICAL</t>
  </si>
  <si>
    <t>Agroecological</t>
  </si>
  <si>
    <t>Average size (hectares)</t>
  </si>
  <si>
    <t>FBS data on average holding size</t>
  </si>
  <si>
    <t>Farm assets 
(FBS data)</t>
  </si>
  <si>
    <t>Grassland (permanent and temporary pasture)</t>
  </si>
  <si>
    <t xml:space="preserve">Assets based on FBS data for conventional farms for each farm type. Agroecological assets based on literature review </t>
  </si>
  <si>
    <t>Rough grazing (sole occupation)</t>
  </si>
  <si>
    <t>Rough grazing (common land)</t>
  </si>
  <si>
    <t>Crops</t>
  </si>
  <si>
    <t>Orchards</t>
  </si>
  <si>
    <t>Uncropped / fallow / non-provisioning habitat</t>
  </si>
  <si>
    <t>Agricultural outputs</t>
  </si>
  <si>
    <t xml:space="preserve">Crops   </t>
  </si>
  <si>
    <t>(Area of farm cropland) x (gross output per ha from representative cropping system)</t>
  </si>
  <si>
    <t xml:space="preserve">LFA mixed grazing livestock </t>
  </si>
  <si>
    <t>(Area of farm grassland permanent, temporary, rough grazing and commons) x (gross output per ha from representative LFA grazing system)</t>
  </si>
  <si>
    <t>Lowland mixed grazing livestock (excl. dairy)</t>
  </si>
  <si>
    <t>(Area of permanent and temporary pasture) x (gross output per ha from representative lowland grazing system)</t>
  </si>
  <si>
    <t>Egg production</t>
  </si>
  <si>
    <t>(Area of permanent and temporary pasture) x (gross output per ha from representative lowland dairy system)</t>
  </si>
  <si>
    <t>Agricultural variable costs</t>
  </si>
  <si>
    <t>(Area of farm cropland) x (variable costs per ha from representative cropping system)</t>
  </si>
  <si>
    <t>(Area of grassland) x (variable costs per ha from representative lowland grazing system)</t>
  </si>
  <si>
    <t>(Area of farm grassland permanent, temporary, rough grazing and commons) x (variable costs per ha from representative LFA grazing system)</t>
  </si>
  <si>
    <t>(Area of permanent and temporary pasture) x (variable costs per ha from representative lowland dairy system)</t>
  </si>
  <si>
    <t>Forage costs</t>
  </si>
  <si>
    <t>Costs of producing on-farm forage, drawn from Forage tab</t>
  </si>
  <si>
    <t xml:space="preserve">Farm business outputs </t>
  </si>
  <si>
    <t xml:space="preserve">Agricultural output </t>
  </si>
  <si>
    <t>Sum of agricultural outputs from each farm enterprise</t>
  </si>
  <si>
    <t>Agri-environment payments</t>
  </si>
  <si>
    <t>Conventional agri-environment payment based on latest available FBS data. Agroecological payment based on ratio reported in Moakes, Lampkin &amp; Gerrard (2015) ORGANIC FARM INCOMES IN ENGLAND AND WALES 2013/14</t>
  </si>
  <si>
    <t>Grass keep / rent / contracting</t>
  </si>
  <si>
    <t>(Area of available grassland) x (£150 per ha for grass keep)</t>
  </si>
  <si>
    <t>Basic payment scheme</t>
  </si>
  <si>
    <t>(Farm area) x (BPS payment per ha, based on latest FBS data)</t>
  </si>
  <si>
    <t>Carbon payment</t>
  </si>
  <si>
    <t>Farm business inputs</t>
  </si>
  <si>
    <t>Sum of agricultural variable costs from each farm enterprise</t>
  </si>
  <si>
    <t>Fixed costs (FBS data)</t>
  </si>
  <si>
    <t>Overall fixed costs</t>
  </si>
  <si>
    <t>(Farm area) x (fixed costs per ha based on latest available FBS data, with agroecological fixed costs at the ratio reported in Moakes, Lampkin &amp; Gerrard (2015) ORGANIC FARM INCOMES IN ENGLAND AND WALES 2013/14)</t>
  </si>
  <si>
    <t>Net</t>
  </si>
  <si>
    <t>Farm buisness outputs less BPS less agricultural variable costs less overall fixed costs</t>
  </si>
  <si>
    <t>Cereals with grazier</t>
  </si>
  <si>
    <t>Cereals with integrated livestock</t>
  </si>
  <si>
    <t>Dairy</t>
  </si>
  <si>
    <t xml:space="preserve">LFA grazing </t>
  </si>
  <si>
    <t>Your current scenario</t>
  </si>
  <si>
    <t>Cereals - whole farm performance</t>
  </si>
  <si>
    <t>Selection</t>
  </si>
  <si>
    <t>Performance variable</t>
  </si>
  <si>
    <t>Agri-environment payment</t>
  </si>
  <si>
    <t>Change in performance compared to conventional</t>
  </si>
  <si>
    <t>Gross farm output</t>
  </si>
  <si>
    <t>Gross farm variable costs</t>
  </si>
  <si>
    <t>Fixed costs</t>
  </si>
  <si>
    <t>Net farm income</t>
  </si>
  <si>
    <t>Cereals - performance per ha</t>
  </si>
  <si>
    <t>Gross farm output / ha</t>
  </si>
  <si>
    <t>Gross farm variable costs / ha</t>
  </si>
  <si>
    <t>Fixed costs / ha</t>
  </si>
  <si>
    <t>Net farm income / ha</t>
  </si>
  <si>
    <t>Cereal with grazier - crop rotation</t>
  </si>
  <si>
    <t>Cereal with integrated livestock - crop rotation</t>
  </si>
  <si>
    <t>Land use</t>
  </si>
  <si>
    <t>Area</t>
  </si>
  <si>
    <t>52 ha grazed mixed legume and grass herbal ley</t>
  </si>
  <si>
    <t>79 ha grazed mixed legume and grass herbal ley</t>
  </si>
  <si>
    <t>52 ha selectively bred population cereal</t>
  </si>
  <si>
    <t>26 ha intercropped legumes</t>
  </si>
  <si>
    <t xml:space="preserve">26 ha traditional lower nitrogen dependent cereal such as rye or barley </t>
  </si>
  <si>
    <t>18 ha flower margins and hedgerows</t>
  </si>
  <si>
    <t>Horticulture - whole farm performance</t>
  </si>
  <si>
    <t>Horticulture - performance per ha</t>
  </si>
  <si>
    <t>Horticulture - crop rotation</t>
  </si>
  <si>
    <t>10.5 ha grazed mixed legume and grass herbal ley</t>
  </si>
  <si>
    <t>3.5 ha potatoes or brassicas</t>
  </si>
  <si>
    <t>3.5 ha carrots, leeks, or onions</t>
  </si>
  <si>
    <t>3.5 ha intercropped legumes</t>
  </si>
  <si>
    <t xml:space="preserve">3.5 ha lower nitrogen dependent cereal such as rye or barley </t>
  </si>
  <si>
    <t>3 ha flower margins and hedgerows</t>
  </si>
  <si>
    <t>Lowland dairy - whole farm performance</t>
  </si>
  <si>
    <t>Lowland dairy - performance per ha</t>
  </si>
  <si>
    <t>Lowland dairy - crop rotation</t>
  </si>
  <si>
    <t>80 ha diverse permanent pasture</t>
  </si>
  <si>
    <t>26 ha diverse hebal sward</t>
  </si>
  <si>
    <t>13 ha feed barley</t>
  </si>
  <si>
    <t>13 ha intercropped legumes</t>
  </si>
  <si>
    <t>13 ha shelterbelts and hedgerows</t>
  </si>
  <si>
    <t>Lowland grazing - whole farm performance</t>
  </si>
  <si>
    <t>Lowland grazing - performance per ha</t>
  </si>
  <si>
    <t>Lowland grazing - crop rotation</t>
  </si>
  <si>
    <t>57 ha diverse permanent pasture</t>
  </si>
  <si>
    <t>19 ha diverse herbal sward</t>
  </si>
  <si>
    <t>LFA grazing - whole farm performance</t>
  </si>
  <si>
    <t>LFA grazing - performance per ha</t>
  </si>
  <si>
    <t>LFA grazing - crop rotation</t>
  </si>
  <si>
    <t>115 ha diverse permanent pasture</t>
  </si>
  <si>
    <t>38 ha diverse herbal sward</t>
  </si>
  <si>
    <t>17 ha mixed woodland and shelterbelts</t>
  </si>
  <si>
    <t>Mixed - whole farm performance</t>
  </si>
  <si>
    <t>Mixed - performance per ha</t>
  </si>
  <si>
    <t>Mixed - crop rotation</t>
  </si>
  <si>
    <t>30 ha grazed mixed legume and grass herbal ley</t>
  </si>
  <si>
    <t>21 ha selectively bred population cereal</t>
  </si>
  <si>
    <t>13  ha intercropped legumes</t>
  </si>
  <si>
    <t xml:space="preserve">13 ha lower nitrogen dependent cereal such as rye or barley </t>
  </si>
  <si>
    <t>3 ha potatoes or brassicas</t>
  </si>
  <si>
    <t>3 ha carrots, leeks, or onions</t>
  </si>
  <si>
    <t>2 ha strips of apple trees</t>
  </si>
  <si>
    <t>7 ha floristic margins and hedgerows</t>
  </si>
  <si>
    <t>Cereal rotation</t>
  </si>
  <si>
    <t>Horticulture rotation</t>
  </si>
  <si>
    <t>21.5 ha grazed mixed legume and grass herbal ley</t>
  </si>
  <si>
    <t>9 ha grazed mixed legume and grass herbal ley</t>
  </si>
  <si>
    <t>21.5 ha selectively bred population cereal</t>
  </si>
  <si>
    <t>10.5 ha intercropped legumes</t>
  </si>
  <si>
    <t>10.5 ha lower nitrogen dependent cereal such as rye or barley</t>
  </si>
  <si>
    <t>3 ha intercropped legumes</t>
  </si>
  <si>
    <t xml:space="preserve">3 ha lower nitrogen dependent cereal such as rye or barley </t>
  </si>
  <si>
    <t>CONVENTIONAL</t>
  </si>
  <si>
    <t>Lowland mixed grazing livestock (no Dairy)</t>
  </si>
  <si>
    <t>Proportion of Farm</t>
  </si>
  <si>
    <t>Gross Margin £/ha</t>
  </si>
  <si>
    <t>Gross Margin £/head</t>
  </si>
  <si>
    <t>Gross output £ / ha</t>
  </si>
  <si>
    <t>Gross output £ / head</t>
  </si>
  <si>
    <t>Variable costs £ / ha</t>
  </si>
  <si>
    <t>Variable costs £ / head</t>
  </si>
  <si>
    <t>Concentrates
£ / ha</t>
  </si>
  <si>
    <t>Concentrates
£ / head</t>
  </si>
  <si>
    <t>other bulk feed
£ / ha</t>
  </si>
  <si>
    <t>other bulk feed
£ / head</t>
  </si>
  <si>
    <t>Vet &amp; Med
£ / ha</t>
  </si>
  <si>
    <t>Vet &amp; Med
£ / head</t>
  </si>
  <si>
    <t>bedding
£ / ha</t>
  </si>
  <si>
    <t>bedding
£ / head</t>
  </si>
  <si>
    <t>Others
£ / ha</t>
  </si>
  <si>
    <t>Others
£ / head</t>
  </si>
  <si>
    <t>Stocking Rate GLU/Ha</t>
  </si>
  <si>
    <t>IOWC</t>
  </si>
  <si>
    <t>Y</t>
  </si>
  <si>
    <t>Lowland autumn calving suckler cows</t>
  </si>
  <si>
    <t>Percentage  of Lowland</t>
  </si>
  <si>
    <t>J</t>
  </si>
  <si>
    <t>Lowland spring calving suckler cows</t>
  </si>
  <si>
    <t>sheep</t>
  </si>
  <si>
    <t>AD</t>
  </si>
  <si>
    <t>Winter finishing of autumn born suckled calves</t>
  </si>
  <si>
    <t>Beef</t>
  </si>
  <si>
    <t>T</t>
  </si>
  <si>
    <t>Grass finished spring born suckled calves</t>
  </si>
  <si>
    <t>AS</t>
  </si>
  <si>
    <t>Spring finishing of strong stores</t>
  </si>
  <si>
    <t>AX</t>
  </si>
  <si>
    <t>Winter finishing of strong stores</t>
  </si>
  <si>
    <t>O</t>
  </si>
  <si>
    <t>18 to 20 month beef from dairy bred calves</t>
  </si>
  <si>
    <t>DF</t>
  </si>
  <si>
    <t>Agroecological lowland suckler cows</t>
  </si>
  <si>
    <t>DL</t>
  </si>
  <si>
    <t>Agroecological beef finishers</t>
  </si>
  <si>
    <t>BO</t>
  </si>
  <si>
    <t>Lowland Spring Lamb Production</t>
  </si>
  <si>
    <t>BJ</t>
  </si>
  <si>
    <t>Lowland Rearing Ewe-lambs</t>
  </si>
  <si>
    <t>BT</t>
  </si>
  <si>
    <t>Store Lamb finishing in the lowlands</t>
  </si>
  <si>
    <t>DO</t>
  </si>
  <si>
    <t>Agroecological lowland ewes - spring lamb production</t>
  </si>
  <si>
    <t>Total</t>
  </si>
  <si>
    <t>Evidence: About 31% of lowland grass is used for sheep, 69 for beef (exc dairy etc)</t>
  </si>
  <si>
    <t>Percentage  of LFA</t>
  </si>
  <si>
    <t>BY</t>
  </si>
  <si>
    <t>Upland breeding ewe</t>
  </si>
  <si>
    <t>CD</t>
  </si>
  <si>
    <t>Hill store lamb production from self-contained flock</t>
  </si>
  <si>
    <t>AN</t>
  </si>
  <si>
    <t>LFA Autumn Calving Suckler Cows</t>
  </si>
  <si>
    <t>AI</t>
  </si>
  <si>
    <t>LFA Spring Calving Suckler Cows</t>
  </si>
  <si>
    <t>BB</t>
  </si>
  <si>
    <t>Hardy native breeds on the hill producing stores. Spring calving. Long horn, Shorthorn, Highland cattle.</t>
  </si>
  <si>
    <t>BE</t>
  </si>
  <si>
    <t>Finishing progeny (stores) from hardy native breeds</t>
  </si>
  <si>
    <t>DI</t>
  </si>
  <si>
    <t>Agroecological LFA suckler cows</t>
  </si>
  <si>
    <t>DR</t>
  </si>
  <si>
    <t>Agroecological LFA ewes</t>
  </si>
  <si>
    <t>Lowland Dairy</t>
  </si>
  <si>
    <t>Logic</t>
  </si>
  <si>
    <t>DY</t>
  </si>
  <si>
    <t>Dairy Cows - Holstein</t>
  </si>
  <si>
    <t>90% of dairy space</t>
  </si>
  <si>
    <t>ED</t>
  </si>
  <si>
    <t>Dairy Cows - Channel Island</t>
  </si>
  <si>
    <t>10% of dairy space</t>
  </si>
  <si>
    <t>E</t>
  </si>
  <si>
    <t>Dairy replacements – Holstein</t>
  </si>
  <si>
    <t>1/4 of dairy/DYS space</t>
  </si>
  <si>
    <t>CZ</t>
  </si>
  <si>
    <t>Agroecological dairy cows</t>
  </si>
  <si>
    <t>DC</t>
  </si>
  <si>
    <t>Agroecological dairy replacements</t>
  </si>
  <si>
    <t xml:space="preserve">Evidence: cows:DYS 3:1 P 59 Nix51, 10% of cows = Channel Islands (or at least Seasonal Calvers which are smaller). </t>
  </si>
  <si>
    <t>Evidence: small amount of dairy beef finishers included, as is normal in lowland dairy herds. See FBS dairy Report</t>
  </si>
  <si>
    <t>(Plus agroecological egg production)</t>
  </si>
  <si>
    <t>Conventional Livestock Gross Margins</t>
  </si>
  <si>
    <t>Organic and Agroecological livestock gross margins</t>
  </si>
  <si>
    <t>Conventional Dairy Gross Margins</t>
  </si>
  <si>
    <t>Notes on Each Gross Margin</t>
  </si>
  <si>
    <t>Key Source Nix-51 p57, All-Year-Round calving dairy herd</t>
  </si>
  <si>
    <t>Key Source Nix-51 p61 Single Suckling per cow: Lowland</t>
  </si>
  <si>
    <t>Key Source Nix-51 p66, Summer Finishing Dairy-Bred Store Cattle</t>
  </si>
  <si>
    <t xml:space="preserve">Key Source ABC91 P 97, Grass Finished Suckled Calves Also  Nix-51 p67, </t>
  </si>
  <si>
    <t>Key Source Nix-51 p61, Autumn calving lowland sucklers</t>
  </si>
  <si>
    <t>Key Source Nix-51 p67, winter finishing Suckler stores</t>
  </si>
  <si>
    <t>Key Source Nix-51 p63, Spring Calving Sucklers</t>
  </si>
  <si>
    <t>Key Source Nix-51 p63, Autumn Calving Sucklers</t>
  </si>
  <si>
    <t>Key Source Nix-51 p67, Summer Finishing of Suckler bred store cattle PB</t>
  </si>
  <si>
    <t>Key Source Nix-51 p67, Winter Finishing of Suckler bred store cattle</t>
  </si>
  <si>
    <t>Limited evidence</t>
  </si>
  <si>
    <t>Key Source Nix-51 p74, Rearing Ewe lambs</t>
  </si>
  <si>
    <t>Key Source Nix-51 p70, Lowland Spring Lamb Production per Ewe</t>
  </si>
  <si>
    <t>Key Source Nix-51 p75, Finishing store lambs - Late Autumn &amp; Winter</t>
  </si>
  <si>
    <t xml:space="preserve">Primary Source; ABC-91 p 102 Upland Breeding Stock
</t>
  </si>
  <si>
    <t>Key Source ABC-91 p103, Hill Store amb Production - Self Contained Flock</t>
  </si>
  <si>
    <t xml:space="preserve">Key Source Nix-51. PP 95 &amp; 98 </t>
  </si>
  <si>
    <t>Key Source Nix-51. PP 96-7 Finishing pigs outdoor from 27 days to finishing (baconer)</t>
  </si>
  <si>
    <t>Key Source Nix-51.  Combined breeding, rearing, finishing. Previous 2 GMs brought together for baconers</t>
  </si>
  <si>
    <t>Key Source Nix-51.  p.99</t>
  </si>
  <si>
    <t>Key Source Nix-51.  p.99 . Very dependant on Food Conversion Ratio and Bird Sale price</t>
  </si>
  <si>
    <t>These Gross margins are a combination of ABC-91, FBS Organic-farming-in-England-2018-19 and Organic Farm Management Handbook 2017</t>
  </si>
  <si>
    <t>Livestock Gross Margins</t>
  </si>
  <si>
    <t>LFA spring calving suckler cows</t>
  </si>
  <si>
    <t>LFA autumn calving suckler cows</t>
  </si>
  <si>
    <t>Lowland spring lamb production</t>
  </si>
  <si>
    <t>Store lamb finishing in the lowlands</t>
  </si>
  <si>
    <t>Breeding and rearing pigs (outdoor) per sow</t>
  </si>
  <si>
    <t>Feeding pigs (outdoor) per pig</t>
  </si>
  <si>
    <t>Mixed pigs (outdoor) per pig</t>
  </si>
  <si>
    <t>Egg production (free range)</t>
  </si>
  <si>
    <t>Broilers</t>
  </si>
  <si>
    <t>Dairy Cows</t>
  </si>
  <si>
    <t>Dairy Youngstock</t>
  </si>
  <si>
    <t>Lowland Sucklers</t>
  </si>
  <si>
    <t>LFA Beef Sucklers</t>
  </si>
  <si>
    <t>Beef Finishers</t>
  </si>
  <si>
    <t>Lowland Ewes</t>
  </si>
  <si>
    <t>LFA Ewes</t>
  </si>
  <si>
    <t>Dairy Gross Margins</t>
  </si>
  <si>
    <t>Dairy cows – Holstein</t>
  </si>
  <si>
    <t xml:space="preserve">Dairy cows - Channel Island </t>
  </si>
  <si>
    <t>Comments for each performance</t>
  </si>
  <si>
    <t>1% more mortaility, 5% more feed, o.1 lower stocking rate</t>
  </si>
  <si>
    <t>5% more concentrates. Heifer value 5% less than Avg</t>
  </si>
  <si>
    <t>this is the average performance</t>
  </si>
  <si>
    <t>5% less concentrates</t>
  </si>
  <si>
    <t>0.1 higher stocking rate, 5% less feed</t>
  </si>
  <si>
    <t>0.15 less stocking rate, 4kg lighter calves, 15kg more feed, 1kg more bulk feed, 6month shorter Dam Life</t>
  </si>
  <si>
    <t>0.15 less stocking rate, 6kg lighter calves, 0.02 fewer calves per cow, 20kg more feed, 2kg more bulk feed</t>
  </si>
  <si>
    <t>0.15 less stocking rate, 6heavier calves, 0.02 fewer calves per cow, 20kg more feed, 2kg more bulk feed</t>
  </si>
  <si>
    <t>0.1 more stocking rate, 31 kg heavier calves, 15kg less feed, 1kg less bulk feed, 6month longer Dam Life</t>
  </si>
  <si>
    <t>lower SR, lighter finishing weight, 14kg more concentrate feed, more vet &amp; med</t>
  </si>
  <si>
    <t>.25head/ha less SR, lighter finished weight, higher mortaility, 21kg more concentrate, higher vet &amp; med</t>
  </si>
  <si>
    <t>higher stocking rate, higher finished weight of calves, lower mortality,less concentrates fed, lower veyt&amp; Med &amp; Other costs</t>
  </si>
  <si>
    <t>finished weight goes up, stocking rate higher, less concentratee feed, less vet &amp; med, `</t>
  </si>
  <si>
    <t>lower stocking rate by o.4, lower finished weight of calves, more concentrate fed, variable costs also go up per head.</t>
  </si>
  <si>
    <t>stocking rate 0.1head lower, finished weight goes down, calf mortaility higher, greater concentrate feed consumption, more bulk feed, and vet and med</t>
  </si>
  <si>
    <t>0.05 more heads per hectare, finished weight goes up by 36kg, mortality down to 1%, less concentrate and other variable costs</t>
  </si>
  <si>
    <t>higher stocking rate, higher finished weight, less concentrate fed and other variable costs.</t>
  </si>
  <si>
    <t>0.1 head lower SR, 8kg lower calf weight, 5p/kg lower value calf, 0.01 fewer calves per cow per year, 20kg more concentrate, and bulk feed</t>
  </si>
  <si>
    <t xml:space="preserve">0.15 head lower SR, lower calf weight, 0.02 fewer calves per cow per year, 30kg more concentrate, </t>
  </si>
  <si>
    <t>stocking rate up o.35head/ha, higher finished weight, 0.02 more animals per cow per year, 30kg less concentrate and less bulk feed and other overheads</t>
  </si>
  <si>
    <t>stocking rate up o.1head/ha, 10kg higher finished weight, 0.01 more animals per cow per year, 10kg less concentrate and less bulk feed and other overheads</t>
  </si>
  <si>
    <t>0.45head lower SR, 23kg lower finished weight of calves, 20kg more concentrate at slightly higher price, and higher overheads</t>
  </si>
  <si>
    <t>0.5head lower SR lower finished weight of calves, 1% higher mortaility, 20kg more concentrate at slightly higher price, and higher overheads</t>
  </si>
  <si>
    <t>0.5head higher SR, 21kg higher finished weight of calves, 1% lower mortaility, 90kg less concentrate at slightly lower price, and lower overheads</t>
  </si>
  <si>
    <t>0.15head higher SR, 19kg higher finished weight of calves, 20kg less concentrate at slightly lower price, and lower vet&amp;med&amp; other costs</t>
  </si>
  <si>
    <t xml:space="preserve">o.2cows/ha lower SR, 7kg lower calf weight, 5p/kg less sale value/kg,15kg more conc. £1 more bulk and others </t>
  </si>
  <si>
    <t>o.3cows/ha lower SR, 6kg lower calf weight, 0.02 less calf per cow per year, 30kg more conc., 2kg more bulk feed</t>
  </si>
  <si>
    <t>0.3head/ha higher SR, 7kg higher calf weight, 5p/kg higher value, 0.02 more calves per cow per year, 30kg less conc. £2 less bulk feed and £1 less other</t>
  </si>
  <si>
    <t>0.13head/ha higher SR, 10kg higher calf weight, 5p/kg higher value, 0.02 more calves per cow per year, 20kg less conc. £1 less bulk feed and £1 less other</t>
  </si>
  <si>
    <t xml:space="preserve">o.1cows/ha lower SR, 11kg lower calf weight, 5p/kg less sale value/kg, .02cales fewer per cow per year 15kg more conc. £1 more bulk and others </t>
  </si>
  <si>
    <t>o.25cows/ha lower SR, 8kg lower calf weight, 0.02 less calf per cow per year, 30kg more conc., 2kg more bulk feed</t>
  </si>
  <si>
    <t>0.25head/ha higher SR, 6kg higher calf weight, 6p/kg higher value, 0.02 more calves per cow per year, 30kg less conc. £2 less bulk feed and £1 less other</t>
  </si>
  <si>
    <t>0.1head/ha higher SR, 10kg higher calf weight, 5p/kg higher value, 0.02 more calves per cow per year, 10kg less conc. £1 less bulk feed and £1 less other</t>
  </si>
  <si>
    <t xml:space="preserve">o.15 less stores/ha lower SR, 11kg lower finish weight, 14kg more conc. £1 more others </t>
  </si>
  <si>
    <t xml:space="preserve">o.25 less stores/ha lower SR, 9kg lower finish weight, 1% more Mortality £2 more others </t>
  </si>
  <si>
    <t xml:space="preserve">o.25 more stores/ha SR, 12kg higher finish weight, 1% less Mortality £3 less others </t>
  </si>
  <si>
    <t xml:space="preserve">o.25 more stores/ha SR, 13kg lower finish weight, 18kg more conc. £1 less others </t>
  </si>
  <si>
    <t>o.45 less stores/ha lower SR, 10kg lower finish weight, 20kg more conc. £3 more bedding £1more vetmed</t>
  </si>
  <si>
    <t>o.61 less stores/ha lower SR,  6kg lower finish weight, 1% more Mortality, £5.t more conc cost, more vetmed, bedding a&amp; others</t>
  </si>
  <si>
    <t>o.54 more stores/ha SR, 13.4kg higher finish weight, 1% less Mortality, 60kg less onc, £10/t cheaper conc. Cheaper veted &amp; Bedding</t>
  </si>
  <si>
    <t>o.4 more stores/ha SR, 16kg lower finish weight, lower vetmed &amp; Bedding</t>
  </si>
  <si>
    <t xml:space="preserve">0.1 lower SR, 4kglower finish wt, 5kg more conc, £4/t dearer conc. </t>
  </si>
  <si>
    <t>0.1 higher SR heads/ha, 8kg higher finish wt, 5p/kg higher finish price/kglwt</t>
  </si>
  <si>
    <t>0.5 lower SR head/ha, 15kg lower finish wt, 5p/kg lower finish price, £5/t higher conc. Price,, £1 more bedding £1 more other costs</t>
  </si>
  <si>
    <t>0.5head/ha higher SR, 36kg higher finish wt, 5p/kg higher finish value £/kg, £1 less bedding, £1 less others</t>
  </si>
  <si>
    <t xml:space="preserve">3 fewer ewes/ha SR, £7 less sale price £/hd, £3/head lower cull value,  2kg more conc/head, </t>
  </si>
  <si>
    <t xml:space="preserve">£7 less sale price £/hd, 1kg more conc/head, </t>
  </si>
  <si>
    <t xml:space="preserve">5% more sale value, 1kg/head less conc feed, </t>
  </si>
  <si>
    <t xml:space="preserve">3 ewelambs /ha higher SR, 5% more sale value of ewelamb, £2 more cull ewe value, </t>
  </si>
  <si>
    <t>1 ewe less per ha SR, 5p/kg lower lamb price, .12 fewer lambs per ewe, 2kg comc more per ewe</t>
  </si>
  <si>
    <t xml:space="preserve">2 ewes less /ha SR, 10p lower meat value/kg, fewer lambs per ewe, 3% higher mortality,3kg more conc. </t>
  </si>
  <si>
    <t xml:space="preserve">1 ewe per ha more SR, 1p/kg more per lamb, more lambs per ewe, lower lamb mortaility, 3kg less conc per ewe, </t>
  </si>
  <si>
    <t>2 ewes per ha more SR, 1.95 lambs per ewe, 1% lower mortality, 2kg less conc per ewe</t>
  </si>
  <si>
    <t>2 lambs less per hs SR, 1kg less finishing weight, 1kg more conc feed</t>
  </si>
  <si>
    <t xml:space="preserve">2 lambs less per ha, 2kg less weight per lamb, 1kg more conc </t>
  </si>
  <si>
    <t>2 more lambs sr, 2kg more weight per lamb1kg less conc feed</t>
  </si>
  <si>
    <t>2 more lambs per ha, lambs 1kg heavier, 1kg conc less fed</t>
  </si>
  <si>
    <t>lower SR, lower finishe lamb weight, higher mortaility</t>
  </si>
  <si>
    <t>higher stocking rate, higher finished lamb weight, higher lambing rate per ewe</t>
  </si>
  <si>
    <t xml:space="preserve">lower lamb sale value, lower lamb sales per year, </t>
  </si>
  <si>
    <t>greater animal sale value, greater amount of lamb sales per year</t>
  </si>
  <si>
    <t>fewer pigles per sow per year, higher mortality rate, more conentrate fed</t>
  </si>
  <si>
    <t>more piglets per sow per year, lower mortaility, less concentrate</t>
  </si>
  <si>
    <t>lower stocking rates, lower finished rates, higher mortaility, less concentrate</t>
  </si>
  <si>
    <t>more piglets per hectare, lower finished weight, lower mortality, less concentrate per pig</t>
  </si>
  <si>
    <t xml:space="preserve">lower SR, </t>
  </si>
  <si>
    <t>highier SR, less other costs</t>
  </si>
  <si>
    <t>lower output per bird, higher mortality, more conentrate</t>
  </si>
  <si>
    <t>Higher output per bird, lower mortality, less conentrate</t>
  </si>
  <si>
    <t>sale price of burd and conc fed</t>
  </si>
  <si>
    <t>SR, milk price, conc fed, bulk feed, vetandmed, bedding &amp; other costs</t>
  </si>
  <si>
    <t>stocking rate, sale values, conc costs higher,</t>
  </si>
  <si>
    <t>stocking rate, sale values, conc costs lower</t>
  </si>
  <si>
    <t xml:space="preserve">lower sale prices and higher replacement costs, higher conces, </t>
  </si>
  <si>
    <t>higher sales prices and lower replacement costs, lower conenctrate, higher other bulk feed, V&amp;M and other costs</t>
  </si>
  <si>
    <t>lower output, higher replacement higher feed costs</t>
  </si>
  <si>
    <t>higher sales, lower replacement, some costs higher</t>
  </si>
  <si>
    <t>higher sr, higher sales per hectare, higher conc costs</t>
  </si>
  <si>
    <t>Output = OFMH17, costs are similar to OFMH</t>
  </si>
  <si>
    <t xml:space="preserve">higher sr, higher conces </t>
  </si>
  <si>
    <t>higher sr, lower replacement, more output per ewe</t>
  </si>
  <si>
    <t>Very Low</t>
  </si>
  <si>
    <t>Low</t>
  </si>
  <si>
    <t>Average</t>
  </si>
  <si>
    <t>High</t>
  </si>
  <si>
    <t>Very High</t>
  </si>
  <si>
    <t>Performance</t>
  </si>
  <si>
    <t>Organic - Low</t>
  </si>
  <si>
    <t>Organic - Average</t>
  </si>
  <si>
    <t>Detailed Notes</t>
  </si>
  <si>
    <t>Milk  price reduced slightly as lower quality, lower calf value as shown in row 9, calving interval goes up, and cow replacement rates also increase. These are big levers to performance. Cow mortality increases, and the concentrate usage per litre of milk is shown rising. Based on small changes to all variables, not 1 big change, as evidenced by https://ahdb.org.uk/knowledge-library/preparing-for-change-the-characteristics-of-top-performing-farms.</t>
  </si>
  <si>
    <t>This is based on the John Nix-51 costings for 2021, it uses AYR data on page 48</t>
  </si>
  <si>
    <t>milk price goinf up because better quality, yield also higher on VH categorylow calving interval, ans lower mortaility. Costs also go down per litre.</t>
  </si>
  <si>
    <t>milk price goin down because poorer quality, yield also lower on VL category higher calving interval, and higher mortaility. Costs also go up marginally per litre.</t>
  </si>
  <si>
    <t>Gross Margin for 2021</t>
  </si>
  <si>
    <t>£/Ha</t>
  </si>
  <si>
    <t>Yield Per Cow</t>
  </si>
  <si>
    <t>litres</t>
  </si>
  <si>
    <t>GLU Stocking Rate</t>
  </si>
  <si>
    <t>GLU/Ha</t>
  </si>
  <si>
    <t>Milk Price</t>
  </si>
  <si>
    <t>p/l</t>
  </si>
  <si>
    <t>£/Head/Year</t>
  </si>
  <si>
    <t>calf value</t>
  </si>
  <si>
    <t>£/cow</t>
  </si>
  <si>
    <t>Stocking Rate</t>
  </si>
  <si>
    <t>Head/Ha</t>
  </si>
  <si>
    <t>Calving Interval</t>
  </si>
  <si>
    <t>days</t>
  </si>
  <si>
    <t>GLU per Head</t>
  </si>
  <si>
    <t>GLU/head</t>
  </si>
  <si>
    <t>Value of new heifers</t>
  </si>
  <si>
    <t>£</t>
  </si>
  <si>
    <t>Assumptions</t>
  </si>
  <si>
    <t>Units</t>
  </si>
  <si>
    <t>DLWG etc from PB</t>
  </si>
  <si>
    <t>Shorter &amp; Housed</t>
  </si>
  <si>
    <t>not even in SAC book</t>
  </si>
  <si>
    <t>Replacement Rate (b)</t>
  </si>
  <si>
    <t>%</t>
  </si>
  <si>
    <t>finished animal age at sale</t>
  </si>
  <si>
    <t>months</t>
  </si>
  <si>
    <t>18-20 months</t>
  </si>
  <si>
    <t>11-12 weeks</t>
  </si>
  <si>
    <t>Bull Depreciation per cow (c.)</t>
  </si>
  <si>
    <t>Finished weight</t>
  </si>
  <si>
    <t>kg</t>
  </si>
  <si>
    <t>Cull Cow Value</t>
  </si>
  <si>
    <t>£/Head</t>
  </si>
  <si>
    <t>Sale beast value</t>
  </si>
  <si>
    <t>£/kg lwt</t>
  </si>
  <si>
    <t>Values £/Hd</t>
  </si>
  <si>
    <t>Cow/Bull Mortality</t>
  </si>
  <si>
    <t>Animal Sale value</t>
  </si>
  <si>
    <t>£/head</t>
  </si>
  <si>
    <t>Finished Lambs</t>
  </si>
  <si>
    <t>Output of animals</t>
  </si>
  <si>
    <t>Calves/cow/yr; lambs/ewe/yr</t>
  </si>
  <si>
    <t>Store Lambs</t>
  </si>
  <si>
    <t>Cow/Ewe Mortality</t>
  </si>
  <si>
    <t>Cull Ewes</t>
  </si>
  <si>
    <t>Milk Output</t>
  </si>
  <si>
    <t>£/Cow</t>
  </si>
  <si>
    <t>Cull Value</t>
  </si>
  <si>
    <t>Calf Value</t>
  </si>
  <si>
    <t>Calf Weight at Purchase</t>
  </si>
  <si>
    <t>Kg</t>
  </si>
  <si>
    <t>Numbers Hd/Ewe</t>
  </si>
  <si>
    <t>Calf/lamb Value when Transferred in</t>
  </si>
  <si>
    <t>Less, Replacement Cost</t>
  </si>
  <si>
    <t>Calf/lamb Mortality</t>
  </si>
  <si>
    <t>Total Output</t>
  </si>
  <si>
    <t>Dam Replacement</t>
  </si>
  <si>
    <t>Cull Dam</t>
  </si>
  <si>
    <t>Productive Dam Life</t>
  </si>
  <si>
    <t>Years</t>
  </si>
  <si>
    <t>Totals £/ewe</t>
  </si>
  <si>
    <t>Variable Costs:</t>
  </si>
  <si>
    <t>Bull/Ram Depreciation</t>
  </si>
  <si>
    <t>£/dam head/year</t>
  </si>
  <si>
    <t>Concentrate - Feed rate</t>
  </si>
  <si>
    <t>kg/l</t>
  </si>
  <si>
    <t>Bull/Ram Maintenance</t>
  </si>
  <si>
    <t>Milk (L)</t>
  </si>
  <si>
    <t>Concentrate Costs</t>
  </si>
  <si>
    <t>£/t</t>
  </si>
  <si>
    <t>Wool sale</t>
  </si>
  <si>
    <t>Milk p/L</t>
  </si>
  <si>
    <t>Concentrates Feed</t>
  </si>
  <si>
    <t>Concentrate feed</t>
  </si>
  <si>
    <t>Replacement</t>
  </si>
  <si>
    <t>Concentrate price</t>
  </si>
  <si>
    <t>£/tonne</t>
  </si>
  <si>
    <t>Wool</t>
  </si>
  <si>
    <t>Gross Output</t>
  </si>
  <si>
    <t>Vet &amp; Med</t>
  </si>
  <si>
    <t>Store/lamb Sales</t>
  </si>
  <si>
    <t>£/head/year</t>
  </si>
  <si>
    <t>Bedding</t>
  </si>
  <si>
    <t>Herd Depreciation &amp; Sire maintenance</t>
  </si>
  <si>
    <t>Additional Calf/Lamb purchases; Store Purchase; wool sale</t>
  </si>
  <si>
    <t>Recording, Parlour Consumables, Sundries</t>
  </si>
  <si>
    <t>Total Variable Costs</t>
  </si>
  <si>
    <t>Variable Costs</t>
  </si>
  <si>
    <t>Gross Margin per Cow</t>
  </si>
  <si>
    <t>Concentrates</t>
  </si>
  <si>
    <t>Gross Margin £/Ha</t>
  </si>
  <si>
    <t>other bulk feed</t>
  </si>
  <si>
    <t>Forage Costs £/cow</t>
  </si>
  <si>
    <t>Cows/Ha</t>
  </si>
  <si>
    <t>bedding</t>
  </si>
  <si>
    <t>GLU Per head</t>
  </si>
  <si>
    <t>Others</t>
  </si>
  <si>
    <t>Output</t>
  </si>
  <si>
    <t>Feed</t>
  </si>
  <si>
    <t>Gross Margin</t>
  </si>
  <si>
    <t>Costs less Forage</t>
  </si>
  <si>
    <t>THIS IS PRE-FORAGE: NEED TO ADD IN FORAGE COSTS</t>
  </si>
  <si>
    <t xml:space="preserve">Combinable Rotation 100% yield </t>
  </si>
  <si>
    <t>Agroecological with grazier</t>
  </si>
  <si>
    <t>Enterprise</t>
  </si>
  <si>
    <t>Ha</t>
  </si>
  <si>
    <t>Average Rotation</t>
  </si>
  <si>
    <t>Gross margin</t>
  </si>
  <si>
    <t>Gross output</t>
  </si>
  <si>
    <t>Average yield</t>
  </si>
  <si>
    <t>Gross variable costs</t>
  </si>
  <si>
    <t>Conventional cropping allocation: all the English Combinable Crops Listed in the DEFRA June Census Data</t>
  </si>
  <si>
    <t>£/ha</t>
  </si>
  <si>
    <t>t/ha</t>
  </si>
  <si>
    <t>YEAR</t>
  </si>
  <si>
    <t>First Feed Wheat</t>
  </si>
  <si>
    <t>2 year red clover/grass fertility builder</t>
  </si>
  <si>
    <t>Second Feed Wheat</t>
  </si>
  <si>
    <t>First Bread Wheat</t>
  </si>
  <si>
    <t>Wheat</t>
  </si>
  <si>
    <t>Second Bread Wheat</t>
  </si>
  <si>
    <t>Beans / peas</t>
  </si>
  <si>
    <t>First Biscuit Wheat</t>
  </si>
  <si>
    <t>Second Biscuit Wheat</t>
  </si>
  <si>
    <t>Barley</t>
  </si>
  <si>
    <t>Spring Wheat</t>
  </si>
  <si>
    <t>Winter Feed Barley</t>
  </si>
  <si>
    <t>of wheat</t>
  </si>
  <si>
    <t>Winter Malting Barley</t>
  </si>
  <si>
    <t>Spring Feed Barley</t>
  </si>
  <si>
    <t>of Barley</t>
  </si>
  <si>
    <t>Spring Malting Barley</t>
  </si>
  <si>
    <t>Winter Oats</t>
  </si>
  <si>
    <t>Winter Oats (milling &amp; Feed)</t>
  </si>
  <si>
    <t>of Oats</t>
  </si>
  <si>
    <t>Spring Feed Oats</t>
  </si>
  <si>
    <t>Winter OSR</t>
  </si>
  <si>
    <t>Winter Feed Beans</t>
  </si>
  <si>
    <t>of Beans</t>
  </si>
  <si>
    <t>Spring OSR</t>
  </si>
  <si>
    <t>Spring HC Beans</t>
  </si>
  <si>
    <t>Spring FEED Beans</t>
  </si>
  <si>
    <t>Spring FEED Peas</t>
  </si>
  <si>
    <t>Spring Feed Beans</t>
  </si>
  <si>
    <t>Undersown Spring Barley</t>
  </si>
  <si>
    <t>Spring HC Peas</t>
  </si>
  <si>
    <t>Triticale</t>
  </si>
  <si>
    <t>Of other Cereals</t>
  </si>
  <si>
    <t>Spring Linseed</t>
  </si>
  <si>
    <t>Winter Linseed</t>
  </si>
  <si>
    <t>Mixed legume and grass herbal ley</t>
  </si>
  <si>
    <t xml:space="preserve">Agroecological with integrated livestock </t>
  </si>
  <si>
    <t>Agroecological rotation on agroecological lowland dairy</t>
  </si>
  <si>
    <t>3.6 is the average tonnage produced across the rotation and is used to generate the average output/ton of the rotation. This is then costed into the concentrate purchase for the dairy system.</t>
  </si>
  <si>
    <t>Typical Field Scale Vegetable Rotation</t>
  </si>
  <si>
    <t xml:space="preserve">CONVENTIONAL </t>
  </si>
  <si>
    <t>%Rotation</t>
  </si>
  <si>
    <t xml:space="preserve">Enterprise </t>
  </si>
  <si>
    <t>'000Ha</t>
  </si>
  <si>
    <t>Potatoes</t>
  </si>
  <si>
    <t>Sugar beet</t>
  </si>
  <si>
    <t>FieldScale Vegetables</t>
  </si>
  <si>
    <t>Agroecological herbal ley</t>
  </si>
  <si>
    <t>Agroecological potatoes</t>
  </si>
  <si>
    <t>Agroecological carrots</t>
  </si>
  <si>
    <t>Agroecological wheat</t>
  </si>
  <si>
    <t>Agroecological beans</t>
  </si>
  <si>
    <t>Mixed rotation</t>
  </si>
  <si>
    <t>Agroecological barley</t>
  </si>
  <si>
    <t>(Plus 2 ha orchard)</t>
  </si>
  <si>
    <t>Conventional Gross Margins</t>
  </si>
  <si>
    <t>Spring Oats Feed</t>
  </si>
  <si>
    <t>Rye</t>
  </si>
  <si>
    <t>Grain Maize</t>
  </si>
  <si>
    <t>Lupins</t>
  </si>
  <si>
    <t>Hemp</t>
  </si>
  <si>
    <t>Borage</t>
  </si>
  <si>
    <t>Herbage Seed</t>
  </si>
  <si>
    <t>Sugar Beet</t>
  </si>
  <si>
    <t>Hops</t>
  </si>
  <si>
    <t>Fieldscale Vegetables</t>
  </si>
  <si>
    <t>Top Fruit- Apples</t>
  </si>
  <si>
    <t>Vineyards</t>
  </si>
  <si>
    <t>Strawberries</t>
  </si>
  <si>
    <t>Nursery Stock</t>
  </si>
  <si>
    <t>Ornamental Plants (greenhouse)</t>
  </si>
  <si>
    <t>Onions</t>
  </si>
  <si>
    <t>calabrese</t>
  </si>
  <si>
    <t>Conventional Gross Margin</t>
  </si>
  <si>
    <t>Interest on Working Capital</t>
  </si>
  <si>
    <t>Crop Price for 2021</t>
  </si>
  <si>
    <t>Premium over base</t>
  </si>
  <si>
    <t>£/kg</t>
  </si>
  <si>
    <t>Crop Yield t/ha</t>
  </si>
  <si>
    <t>Average Yield</t>
  </si>
  <si>
    <t>Variation Low</t>
  </si>
  <si>
    <t>Variation High</t>
  </si>
  <si>
    <t>Variation Headlands</t>
  </si>
  <si>
    <t xml:space="preserve">Very Low </t>
  </si>
  <si>
    <t>Straw Yield</t>
  </si>
  <si>
    <t>Straw Price</t>
  </si>
  <si>
    <t>percent baled</t>
  </si>
  <si>
    <t>Low Output</t>
  </si>
  <si>
    <t>High Output</t>
  </si>
  <si>
    <t>Average Output</t>
  </si>
  <si>
    <t>Physical Input Data</t>
  </si>
  <si>
    <t>Home Saved Seed 2021 £/t</t>
  </si>
  <si>
    <t>Clean and Dress</t>
  </si>
  <si>
    <t>Labour, Sacks, Test</t>
  </si>
  <si>
    <t>Royalty</t>
  </si>
  <si>
    <t>Seed 2021</t>
  </si>
  <si>
    <t>rate per Ha</t>
  </si>
  <si>
    <t>Rate</t>
  </si>
  <si>
    <t>kg/Ha</t>
  </si>
  <si>
    <t>Cost of C2 (2021)</t>
  </si>
  <si>
    <t>% Home Saved</t>
  </si>
  <si>
    <t>HSS Grain</t>
  </si>
  <si>
    <t>Fertilisers - Kg/ha 2021</t>
  </si>
  <si>
    <t>N kg/Ha</t>
  </si>
  <si>
    <t>Kg/Ha</t>
  </si>
  <si>
    <t>P</t>
  </si>
  <si>
    <t>kg/t crop</t>
  </si>
  <si>
    <t>K</t>
  </si>
  <si>
    <t>Lime</t>
  </si>
  <si>
    <t>Agrochemicals - 2021</t>
  </si>
  <si>
    <t>Herbicides</t>
  </si>
  <si>
    <t>Fungicides</t>
  </si>
  <si>
    <t>Insecticides</t>
  </si>
  <si>
    <t>PGR</t>
  </si>
  <si>
    <t>Other</t>
  </si>
  <si>
    <t>Sundries</t>
  </si>
  <si>
    <t>Casual Labour</t>
  </si>
  <si>
    <t>Contracting</t>
  </si>
  <si>
    <t>Variables</t>
  </si>
  <si>
    <t>Fertiliser 2021</t>
  </si>
  <si>
    <t>Sprays 2021</t>
  </si>
  <si>
    <t>Sundries 2021</t>
  </si>
  <si>
    <t>Casual Labour 2021</t>
  </si>
  <si>
    <t>Contracting 2021</t>
  </si>
  <si>
    <t>Total Variables 2021</t>
  </si>
  <si>
    <t>Average Gross Margin 2021</t>
  </si>
  <si>
    <t>Crop (w/s)</t>
  </si>
  <si>
    <t>Winter</t>
  </si>
  <si>
    <t>Spring</t>
  </si>
  <si>
    <t>Baseline N cost</t>
  </si>
  <si>
    <t>N cost variation</t>
  </si>
  <si>
    <t>N cost per ha</t>
  </si>
  <si>
    <t>Gross variable costs with N price increase</t>
  </si>
  <si>
    <t>Baseline crop price</t>
  </si>
  <si>
    <t>Crop price increase</t>
  </si>
  <si>
    <t>Adjusted crop price</t>
  </si>
  <si>
    <t>Average Output with crop price increase</t>
  </si>
  <si>
    <t>Average Gross Margin with N price and crop price increase</t>
  </si>
  <si>
    <t>Average Gross Margin with N price increase</t>
  </si>
  <si>
    <t>Agroecological Gross Margin</t>
  </si>
  <si>
    <t>Maincrop Potatoes</t>
  </si>
  <si>
    <t>Carrots</t>
  </si>
  <si>
    <t>Organic Apples</t>
  </si>
  <si>
    <t>Organic Average GM</t>
  </si>
  <si>
    <t>Farm Gate Price</t>
  </si>
  <si>
    <t>Farm Gate Price %</t>
  </si>
  <si>
    <t>Seed price increase %</t>
  </si>
  <si>
    <t>Grain Yield t/ha</t>
  </si>
  <si>
    <t>Organic data average Yield</t>
  </si>
  <si>
    <t>Evidenced in literature</t>
  </si>
  <si>
    <t>Predicted agroecological yield</t>
  </si>
  <si>
    <t>Pruning</t>
  </si>
  <si>
    <t>Rate Kg/Ha</t>
  </si>
  <si>
    <t>picking</t>
  </si>
  <si>
    <t>Cost per Tonne</t>
  </si>
  <si>
    <t>Grade &amp; Pack</t>
  </si>
  <si>
    <t>Bin Hire</t>
  </si>
  <si>
    <t>Grain Cost pre-planting</t>
  </si>
  <si>
    <t>Market Commission</t>
  </si>
  <si>
    <t>Additional HSS Costs</t>
  </si>
  <si>
    <t>Transport</t>
  </si>
  <si>
    <t>Seed</t>
  </si>
  <si>
    <t>Fertilisers</t>
  </si>
  <si>
    <t>Agrochemicals</t>
  </si>
  <si>
    <t>Other Inputs</t>
  </si>
  <si>
    <t>Fertiliser</t>
  </si>
  <si>
    <t>Sprays</t>
  </si>
  <si>
    <t>Contractor fees</t>
  </si>
  <si>
    <t>Total Variables</t>
  </si>
  <si>
    <t>Low Gross margin</t>
  </si>
  <si>
    <t>High Gross margin</t>
  </si>
  <si>
    <t>Average Gross Margin</t>
  </si>
  <si>
    <t>Finance</t>
  </si>
  <si>
    <t>Value</t>
  </si>
  <si>
    <t>Farm gate price increase for agroecological %</t>
  </si>
  <si>
    <t>Temporary Grass Leys</t>
  </si>
  <si>
    <t>Permanent Pasture</t>
  </si>
  <si>
    <t>2- yearRed Clover Ryegrass</t>
  </si>
  <si>
    <t>Maize</t>
  </si>
  <si>
    <t>Organic Pasture</t>
  </si>
  <si>
    <t>1 year green manure - vetch</t>
  </si>
  <si>
    <t>2 year white clover / grass ley</t>
  </si>
  <si>
    <t>2 year red clover grass ley</t>
  </si>
  <si>
    <t>3 year white clover grass ley</t>
  </si>
  <si>
    <t>Forage Code</t>
  </si>
  <si>
    <t>TP-0</t>
  </si>
  <si>
    <t>TP-50</t>
  </si>
  <si>
    <t>TP-100</t>
  </si>
  <si>
    <t>TP-150</t>
  </si>
  <si>
    <t>TP-200</t>
  </si>
  <si>
    <t>TP-250</t>
  </si>
  <si>
    <t>PP-0</t>
  </si>
  <si>
    <t>PP-50</t>
  </si>
  <si>
    <t>PP-100</t>
  </si>
  <si>
    <t>PP-150</t>
  </si>
  <si>
    <t>PP-200</t>
  </si>
  <si>
    <t>PP-250</t>
  </si>
  <si>
    <t>CCR-2</t>
  </si>
  <si>
    <t>M-50</t>
  </si>
  <si>
    <t>OTP-0</t>
  </si>
  <si>
    <t>OPP-0</t>
  </si>
  <si>
    <t>O-V1</t>
  </si>
  <si>
    <t>O-C2</t>
  </si>
  <si>
    <t>O-C3</t>
  </si>
  <si>
    <t>O-C4</t>
  </si>
  <si>
    <t xml:space="preserve">Total </t>
  </si>
  <si>
    <t xml:space="preserve">Nitrogen Intensity </t>
  </si>
  <si>
    <t>Years Ley</t>
  </si>
  <si>
    <t>Yrs</t>
  </si>
  <si>
    <t>Nix-51 page 91, TP ley is by definition 5-yrs Max, Most intensive grass leys are shorter than 5 years</t>
  </si>
  <si>
    <t>Yield freshweight</t>
  </si>
  <si>
    <t xml:space="preserve">t/ha </t>
  </si>
  <si>
    <t>(https://edepot.wur.nl/577) (Page 7)
The comparison between temporary and permanent grassland Reheul D.1 , De Vliegher A.2, Bommelé L.1 and Carlier L.2 (Page 7)</t>
  </si>
  <si>
    <t xml:space="preserve">Stocking Rate </t>
  </si>
  <si>
    <t>GLU's for high input grass is 2 and for average TG is 0.58 (less than 100% efficient) NERRO30 (see Word Doc)</t>
  </si>
  <si>
    <t>N</t>
  </si>
  <si>
    <t>RB209 - see below</t>
  </si>
  <si>
    <t>Fertiliser £/ha</t>
  </si>
  <si>
    <t>Seed Establishment</t>
  </si>
  <si>
    <t>ABC 91 p 274 (organics are FBS)</t>
  </si>
  <si>
    <t>Sprays - Herbicides</t>
  </si>
  <si>
    <t>https://secure.fera.defra.gov.uk/pusstats/surveys/documents/grasslandFodder17.pdf p38</t>
  </si>
  <si>
    <t>Miscellaneous</t>
  </si>
  <si>
    <t xml:space="preserve">Summary </t>
  </si>
  <si>
    <t>Contract Precision Drilling</t>
  </si>
  <si>
    <t>John nix PB 51st page 187 maize precision drilling</t>
  </si>
  <si>
    <t>Contract Harvest &amp; Cart</t>
  </si>
  <si>
    <t>John nix PB 51st page 188 forage harvesting</t>
  </si>
  <si>
    <t>Total with N price increase</t>
  </si>
  <si>
    <t>Phosphate and Potash in crop material (mineral fertilisers)</t>
  </si>
  <si>
    <t>This table shows how much Phosphate and Potash is removed from the field when certain amounts of fresh matter are taken from it</t>
  </si>
  <si>
    <t>kg mineral /t fresh material</t>
  </si>
  <si>
    <t>Grass</t>
  </si>
  <si>
    <t xml:space="preserve">It comes from the RB209 Recommendations which is a DEFRA publication. </t>
  </si>
  <si>
    <t>Phosphate</t>
  </si>
  <si>
    <t>p</t>
  </si>
  <si>
    <t>refer to Table 3.2 section 3, p 10</t>
  </si>
  <si>
    <t>Potash</t>
  </si>
  <si>
    <t>Grass kg mineral/t divided by 2 to allows to egestion of nutrients by livestock on field</t>
  </si>
  <si>
    <t>Fertiliser Costings</t>
  </si>
  <si>
    <t>Percentage</t>
  </si>
  <si>
    <t>£/Kg Fert</t>
  </si>
  <si>
    <t>ABC Key Farm Facts Dec 2020 Spot</t>
  </si>
  <si>
    <t>N price increase</t>
  </si>
  <si>
    <t>LFA Grazing</t>
  </si>
  <si>
    <t>Agroecological (integrated livestock)</t>
  </si>
  <si>
    <t>Assumptions / evidence</t>
  </si>
  <si>
    <t>Total area non provisioning habitat</t>
  </si>
  <si>
    <t>Hedgerows</t>
  </si>
  <si>
    <t>Hedgerows take up 200,000 ha of UK agricultural land. This is approximately 1.5% of the 13 million ha of UK agricultural area. Hence, we assume each farm has 1.5% dedicated to hedgerows.</t>
  </si>
  <si>
    <t>Coniferous woodland</t>
  </si>
  <si>
    <t xml:space="preserve">We use data on average farm woodland cover for the various farm types gathered for the Woodland and trees in the farmed landscape report. </t>
  </si>
  <si>
    <t>30-year mixed broadleaved woodland</t>
  </si>
  <si>
    <t>100-year mixed broadleaved woodland</t>
  </si>
  <si>
    <t>Floristic margins</t>
  </si>
  <si>
    <t>Sequestration woodland habitat (tCO2e per ha per yr)</t>
  </si>
  <si>
    <t>Sequestration other non-provisioing habitat (tCO2e per ha per yr)</t>
  </si>
  <si>
    <t>Sequestration agricultural land (tCO2e per ha per yr)</t>
  </si>
  <si>
    <t>Total sequestration (tCO2e per ha per yr)</t>
  </si>
  <si>
    <r>
      <t>Carbon flux values 
(tCO</t>
    </r>
    <r>
      <rPr>
        <b/>
        <vertAlign val="subscript"/>
        <sz val="8"/>
        <color theme="0"/>
        <rFont val="Calibri"/>
        <family val="2"/>
        <scheme val="minor"/>
      </rPr>
      <t>2</t>
    </r>
    <r>
      <rPr>
        <b/>
        <sz val="8"/>
        <color theme="0"/>
        <rFont val="Calibri"/>
        <family val="2"/>
        <scheme val="minor"/>
      </rPr>
      <t>e per ha per yr)</t>
    </r>
  </si>
  <si>
    <t>Rationale</t>
  </si>
  <si>
    <t>Evidence (link)</t>
  </si>
  <si>
    <t>http://publications.naturalengland.org.uk/publication/5419124441481216</t>
  </si>
  <si>
    <t>Sequestration rates averaged across all cited papers.</t>
  </si>
  <si>
    <t>https://www.forestresearch.gov.uk/documents/284/fcrp018_8ATkMhd.pdf, (Magnani et al., 2007; Clement, Moncrieff and Jarvis, 2003; Jarvis et al., 2009; Black et al. (2009); Fenn et al., 2010; Thomas et al., 2010)</t>
  </si>
  <si>
    <t>Traditional orchard
with low intensity
management</t>
  </si>
  <si>
    <t>Intensive orchards</t>
  </si>
  <si>
    <t>Modified grassland</t>
  </si>
  <si>
    <t>Semi-natural grassland</t>
  </si>
  <si>
    <t>Mob grazed pasture</t>
  </si>
  <si>
    <t>Herbal sward in rotation</t>
  </si>
  <si>
    <t>Reported sequestration of 0.18 tonnnes carbon per hectare - converting to CO2e means multiplying by 3.75 to give 0.675 tonnes co2e per ha per yr</t>
  </si>
  <si>
    <t xml:space="preserve">https://www.nature.com/articles/s41467-019-12622-7 </t>
  </si>
  <si>
    <t>Cover cropping</t>
  </si>
  <si>
    <t xml:space="preserve">Reported sequestration of 0.32 tonnnes carbon per hectare - converting to CO2e means multiplying by 3.75 to give 1.2 tonnes co2e per ha per yr  </t>
  </si>
  <si>
    <t>https://www.sciencedirect.com/science/article/pii/S0167880914004873?casa_token=2253E5yk-uUAAAAA:2rmR7wuANdyOiluuuK2siAsCkfeXhawGCgUW5tyfOaI-GnMmytmesHY7q1iCUDiu_eZM0qc-4Q</t>
  </si>
  <si>
    <t>Assumed to be similar to semi-natural grasslands.</t>
  </si>
  <si>
    <t>CEREALS</t>
  </si>
  <si>
    <t>HORTICULTURE</t>
  </si>
  <si>
    <t>LOWLAND DAIRY</t>
  </si>
  <si>
    <t>LOWLAND GRAZING</t>
  </si>
  <si>
    <t xml:space="preserve">LFA GRAZING </t>
  </si>
  <si>
    <t>MIXED</t>
  </si>
  <si>
    <t>Agri-environment (Conventional) £/Ha</t>
  </si>
  <si>
    <t>Farm Business Survey Reports</t>
  </si>
  <si>
    <t>Other output £/Ha</t>
  </si>
  <si>
    <t>BPS £/ha</t>
  </si>
  <si>
    <t>Agri-environment £/Ha</t>
  </si>
  <si>
    <t>Agri-environment payment rates are based on the average difference in agri-environment support between organic and conventional across all farm types 3.4x greater for organic.</t>
  </si>
  <si>
    <t>Fixed Costs £/ha</t>
  </si>
  <si>
    <t>Total area farm type</t>
  </si>
  <si>
    <t>% area organic</t>
  </si>
  <si>
    <t>Total area conventional</t>
  </si>
  <si>
    <t>Total area organic</t>
  </si>
  <si>
    <t>Total payment organic per ha (100% BPS reallocation)</t>
  </si>
  <si>
    <t>Total payment conventional per ha (100% BPS reallocation)</t>
  </si>
  <si>
    <t>Total payment organic per ha (50% BPS reallocation)</t>
  </si>
  <si>
    <t>Total payment conventional per ha (50% BPS reallocation)</t>
  </si>
  <si>
    <t>LFA GRAZING</t>
  </si>
  <si>
    <t>Organic</t>
  </si>
  <si>
    <t>Agri-environment</t>
  </si>
  <si>
    <t>Fixed Costs</t>
  </si>
  <si>
    <t>..</t>
  </si>
  <si>
    <t>236 =  0.972*2X + 0.028*7X</t>
  </si>
  <si>
    <t>236 = 1.944X + 0.196X</t>
  </si>
  <si>
    <t>236 = 2.14X</t>
  </si>
  <si>
    <t>organic</t>
  </si>
  <si>
    <t>conventional</t>
  </si>
  <si>
    <t>Total ha cereal</t>
  </si>
  <si>
    <t xml:space="preserve">Payment rate </t>
  </si>
  <si>
    <t>3Bn = 485000*7X + 17962962*2X</t>
  </si>
  <si>
    <t xml:space="preserve">Total subsidy paid to cereal </t>
  </si>
  <si>
    <t>Total ha conventional</t>
  </si>
  <si>
    <t>Total ha organic</t>
  </si>
  <si>
    <t>Total payment at new rates</t>
  </si>
  <si>
    <t>Total subsidy payment UK ag</t>
  </si>
  <si>
    <t>Environmental Schemes</t>
  </si>
  <si>
    <t>Average size</t>
  </si>
  <si>
    <t>Source</t>
  </si>
  <si>
    <t>19/20</t>
  </si>
  <si>
    <t>20/21</t>
  </si>
  <si>
    <t>1789 / ha</t>
  </si>
  <si>
    <t>1865 / ha</t>
  </si>
  <si>
    <t>1366 / ha</t>
  </si>
  <si>
    <t>1358 / ha</t>
  </si>
  <si>
    <t>150-165 ha</t>
  </si>
  <si>
    <t>file:///C:/Users/Charlie/Downloads/Dairy-Farming-in-England-2020-21%20(1).pdf</t>
  </si>
  <si>
    <t>No data available</t>
  </si>
  <si>
    <t>86 - 77 ha</t>
  </si>
  <si>
    <t>88.7 - 78.3</t>
  </si>
  <si>
    <t>file:///C:/Users/Charlie/Downloads/Lowland-Report-2020-21.pdf</t>
  </si>
  <si>
    <t>file:///C:/Users/Charlie/Downloads/Lowland-Report-2019-20%20(2).pdf</t>
  </si>
  <si>
    <t>169.9 - 186.2</t>
  </si>
  <si>
    <t>698 / ha</t>
  </si>
  <si>
    <t>26 / ha</t>
  </si>
  <si>
    <t>file:///C:/Users/Charlie/Downloads/Crop-Production-in-England-2019-20%20(2).pdf</t>
  </si>
  <si>
    <t>General Cropping</t>
  </si>
  <si>
    <t>862 / ha</t>
  </si>
  <si>
    <t>32 / ha</t>
  </si>
  <si>
    <t>Per Ha</t>
  </si>
  <si>
    <t>Conventional: organic</t>
  </si>
  <si>
    <t>Ratio</t>
  </si>
  <si>
    <t>13/14</t>
  </si>
  <si>
    <t>"Occasionally the two samples may show conflicting results, but the full sample is the best indicator of organic vs. conventional comparisons, the identical sample the best indicator of between year changes within each sector".</t>
  </si>
  <si>
    <t>Cropping</t>
  </si>
  <si>
    <t>Table 5</t>
  </si>
  <si>
    <t>https://orgprints.org/id/eprint/29475/1/organic_farm_incomes_E%2BW_2013-14_Final.pdf</t>
  </si>
  <si>
    <t>Table 6</t>
  </si>
  <si>
    <t>Table 7</t>
  </si>
  <si>
    <t>Table 8</t>
  </si>
  <si>
    <t>Table 9</t>
  </si>
  <si>
    <t>Table 10</t>
  </si>
  <si>
    <t>Applying ORC ratios to latest available FBS data:</t>
  </si>
  <si>
    <t>FBS data not available</t>
  </si>
  <si>
    <t>Payment rate</t>
  </si>
  <si>
    <t>The average proportional agri-environment payment rates provided to conventional and organic farms base on data from Moakes et al. (2015).</t>
  </si>
  <si>
    <t>Outputs from the agroecological and conventional farms sold at current conventional market price.</t>
  </si>
  <si>
    <t>Based on the difference in fixed costs between conventional and organic farms reported by Moakes et al. (2015).</t>
  </si>
  <si>
    <t>Nitrogen pricing based on rates reported in the FBS which are normalised over the last 5 years.</t>
  </si>
  <si>
    <t>No payment</t>
  </si>
  <si>
    <t>No payment is provided to the farm types for any carbon sequestered.</t>
  </si>
  <si>
    <t>100% reallocation of BPS</t>
  </si>
  <si>
    <t>Payment rates based on a reallocation of current BPS payments into payments for ecosystem services. Reallocation is based on the difference in agri-environment support paid to conventional and oragnic farms as reported by Moakes et al. (2015)</t>
  </si>
  <si>
    <t>Organic pricing</t>
  </si>
  <si>
    <t>Organic pricing is either based on normalised average organic farm gate pricing or is set at 180% of current conventional pricing.</t>
  </si>
  <si>
    <t>Conventional fixed costs</t>
  </si>
  <si>
    <t>The fixed costs reported for conventional farms in the FBS are applied to both the conventional and agroecological farm types.</t>
  </si>
  <si>
    <t>Nitrogen price modelled at 50% higher than the rates reported in the FBS.</t>
  </si>
  <si>
    <t>The selected payment rate will be provided to the farm types based on the estimated carbon stored in the woodlands and trees across all farm types.</t>
  </si>
  <si>
    <t>50% reallocation of BPS</t>
  </si>
  <si>
    <t>Payment rates based on a reallocation of 50% of all current BPS payments into payments for ecosystem services. Reallocation is based on the difference in agri-environment support paid to conventional and oragnic farms as reported by Moakes et al. (2015)</t>
  </si>
  <si>
    <t>Enter a custom percentage farm gate price increase; this will be applied to the agroecological farm systems on top of the baseline conventional farm gate pricing.</t>
  </si>
  <si>
    <t>10% below conventional fixed costs</t>
  </si>
  <si>
    <t>Fixed costs for the agroecological farm types are set at 10% lower than those reported for conventional farms in the FBS.</t>
  </si>
  <si>
    <t>Nitrogen price modelled at 100% higher than the rates reported in the FBS.</t>
  </si>
  <si>
    <t>Select a custom payment rate for all sequestration (vegetation and soil)</t>
  </si>
  <si>
    <t>The selected payment rate will be provided to the farm types based on the estimated carbon stored in all vegetation and soils across all farm types.</t>
  </si>
  <si>
    <t>Enter a custom percentage payment rate increase this will be applied to the agroecological farm systems on top of the baseline agri-environment payment.</t>
  </si>
  <si>
    <t>Enter a custom percentage change in fixed costs; this will be applied to the reported average organic fixed costs for each farm type. For reduced fixed costs enter a negative percentage and for an increase enter a positive.</t>
  </si>
  <si>
    <t>Enter a custom percentage change in nitrogen fertiliser pricing; this will be applied to the historic nitrigen pricing. For reduced fixed costs enter a negative percentage and for an increase enter a positive.</t>
  </si>
  <si>
    <t>Agri env</t>
  </si>
  <si>
    <t>Farm Type</t>
  </si>
  <si>
    <t>Lowland Grazing</t>
  </si>
  <si>
    <t>AGROECOLOGICAL (with grazier)</t>
  </si>
  <si>
    <t>AGROECOLOGICAL (with integrated livestock)</t>
  </si>
  <si>
    <t>Total area grasses</t>
  </si>
  <si>
    <t>Total area crops</t>
  </si>
  <si>
    <t>Base net income</t>
  </si>
  <si>
    <t>Base crop outputs</t>
  </si>
  <si>
    <t>Base livestock outputs</t>
  </si>
  <si>
    <t>Base crop variable cost</t>
  </si>
  <si>
    <t>Base livestock variable cost</t>
  </si>
  <si>
    <t>Base forage cost</t>
  </si>
  <si>
    <t>No agri-env and conventional pricing variation</t>
  </si>
  <si>
    <t>Crop output with conventional prices (£/ha)</t>
  </si>
  <si>
    <t>Livestock output with conventional prices (£/ha)</t>
  </si>
  <si>
    <t>Crop variable costs with conventional prices (£/ha)</t>
  </si>
  <si>
    <t>Livestock variable costs with conventional prices (£/ha)</t>
  </si>
  <si>
    <t>Net income with conventional pricing</t>
  </si>
  <si>
    <t>Agri-env variation</t>
  </si>
  <si>
    <t>Agri-env payment rate (£/ha)</t>
  </si>
  <si>
    <t>Net income with conventional pricing and agri-env pay</t>
  </si>
  <si>
    <t>Increased farm gate price variation</t>
  </si>
  <si>
    <t>Crop output with increased farm gate prices</t>
  </si>
  <si>
    <t>Livestock output with increased farm gate prices</t>
  </si>
  <si>
    <t>Crop variable costs with increased farm gate prices (£/ha)</t>
  </si>
  <si>
    <t>Net income with farm gate price variation</t>
  </si>
  <si>
    <t>N cost increase variation</t>
  </si>
  <si>
    <t>Crop variable cost with increase N cost (£/ha)</t>
  </si>
  <si>
    <t>Forage variable cost with increase N cost (£/ha)</t>
  </si>
  <si>
    <t>N income with N cost increase</t>
  </si>
  <si>
    <t>Farm net income with agri-env, increased farm gate price, and high N cost</t>
  </si>
  <si>
    <t>Net income with stacked variables</t>
  </si>
  <si>
    <t>Farm net income with agri-env, increased crop price, and high N cost</t>
  </si>
  <si>
    <t>Crop output with increased crop price (£/ha)</t>
  </si>
  <si>
    <t>Livestock variable costs with increased concentrate price (£/ha)</t>
  </si>
  <si>
    <t>Net income with stacked variables and inceased crop price</t>
  </si>
  <si>
    <t>Farm net income with conventional farm gate prices and without agri-environmental payment</t>
  </si>
  <si>
    <t>Farm net income with agri-environment payment</t>
  </si>
  <si>
    <t>With increased farm gate price</t>
  </si>
  <si>
    <t>With N cost increase</t>
  </si>
  <si>
    <t>Farm net income with agri-env, increased farm gate price, high N cost and increased crop price</t>
  </si>
  <si>
    <t>Cereals with livestock integrated</t>
  </si>
  <si>
    <t>Crops (inc forage)</t>
  </si>
  <si>
    <t>Ag contract costs</t>
  </si>
  <si>
    <t>Ag casual labour</t>
  </si>
  <si>
    <t>Ag no other category</t>
  </si>
  <si>
    <t>ELM payments</t>
  </si>
  <si>
    <t>Agri-environment variable costs</t>
  </si>
  <si>
    <t>Diversified variable costs</t>
  </si>
  <si>
    <t>Basic payment scheme variable costs</t>
  </si>
  <si>
    <t>ELM variable costs</t>
  </si>
  <si>
    <t>Agroecological LFA sucker cows</t>
  </si>
  <si>
    <t>Baseline concentrate cost</t>
  </si>
  <si>
    <t>Increase to concentrate cost</t>
  </si>
  <si>
    <t>Adjusted concentrate cost</t>
  </si>
  <si>
    <t>Variable costs with increased concentrate cost</t>
  </si>
  <si>
    <t>Gross Margin with concentrate cost increase</t>
  </si>
  <si>
    <t>% increase</t>
  </si>
  <si>
    <t>Farm gate price for livetsock</t>
  </si>
  <si>
    <t>Grain Price</t>
  </si>
  <si>
    <t>Grain Price Increase %</t>
  </si>
  <si>
    <t>Grain Price Increase Variation %</t>
  </si>
  <si>
    <t>Average Gross Margin with crop price increase</t>
  </si>
  <si>
    <t>N cost</t>
  </si>
  <si>
    <t>Farm Gate Price Increase %</t>
  </si>
  <si>
    <t>Farm gate price increase for agroecological crops %</t>
  </si>
  <si>
    <t>Market price increase</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</si>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</sst>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 ###\ ##0"/>
    <numFmt numFmtId="165" formatCode="[&gt;=4.4999]0;[&lt;=0]0;[Black]0"/>
    <numFmt numFmtId="166" formatCode="_-* #,##0_-;\-* #,##0_-;_-* &quot;-&quot;??_-;_-@_-"/>
    <numFmt numFmtId="167" formatCode="0.0"/>
    <numFmt numFmtId="168" formatCode="&quot;£&quot;#,##0"/>
    <numFmt numFmtId="169" formatCode="0.0%"/>
    <numFmt numFmtId="170" formatCode="#,##0_ ;\-#,##0\ "/>
    <numFmt numFmtId="171" formatCode="_-* #,##0.0_-;\-* #,##0.0_-;_-* &quot;-&quot;??_-;_-@_-"/>
    <numFmt numFmtId="172" formatCode="_-* #,##0.000_-;\-* #,##0.000_-;_-* &quot;-&quot;??_-;_-@_-"/>
    <numFmt numFmtId="173" formatCode="_-&quot;£&quot;* #,##0_-;\-&quot;£&quot;* #,##0_-;_-&quot;£&quot;* &quot;-&quot;??_-;_-@_-"/>
    <numFmt numFmtId="174" formatCode="_-* #,##0.0_-;\-* #,##0.0_-;_-* &quot;-&quot;?_-;_-@_-"/>
    <numFmt numFmtId="175" formatCode="&quot;£&quot;#,##0.00"/>
    <numFmt numFmtId="176" formatCode="0.000"/>
    <numFmt numFmtId="177" formatCode="_-&quot;£&quot;* #,##0.0_-;\-&quot;£&quot;* #,##0.0_-;_-&quot;£&quot;* &quot;-&quot;??_-;_-@_-"/>
  </numFmts>
  <fonts count="57" x14ac:knownFonts="1">
    <font>
      <sz val="11"/>
      <color theme="1"/>
      <name val="Calibri"/>
      <family val="2"/>
      <scheme val="minor"/>
    </font>
    <font>
      <sz val="11"/>
      <color theme="1"/>
      <name val="Calibri"/>
      <family val="2"/>
      <scheme val="minor"/>
    </font>
    <font>
      <sz val="10"/>
      <name val="Courier"/>
      <family val="3"/>
    </font>
    <font>
      <sz val="10"/>
      <name val="Arial"/>
      <family val="2"/>
    </font>
    <font>
      <sz val="10"/>
      <color theme="1"/>
      <name val="Segoe UI"/>
      <family val="2"/>
    </font>
    <font>
      <u/>
      <sz val="10"/>
      <color theme="10"/>
      <name val="Segoe UI"/>
      <family val="2"/>
    </font>
    <font>
      <u/>
      <sz val="10"/>
      <color theme="10"/>
      <name val="Arial"/>
      <family val="2"/>
    </font>
    <font>
      <sz val="10"/>
      <name val="Times New Roman"/>
      <family val="1"/>
    </font>
    <font>
      <u/>
      <sz val="10"/>
      <color theme="10"/>
      <name val="Times New Roman"/>
      <family val="1"/>
    </font>
    <font>
      <b/>
      <i/>
      <sz val="11"/>
      <color rgb="FF000000"/>
      <name val="Calibri"/>
      <family val="2"/>
      <scheme val="minor"/>
    </font>
    <font>
      <sz val="8"/>
      <name val="Calibri"/>
      <family val="2"/>
      <scheme val="minor"/>
    </font>
    <font>
      <u/>
      <sz val="10"/>
      <color indexed="12"/>
      <name val="Tahoma"/>
      <family val="2"/>
    </font>
    <font>
      <sz val="11"/>
      <color theme="1"/>
      <name val="Arial"/>
      <family val="2"/>
    </font>
    <font>
      <u/>
      <sz val="11"/>
      <color theme="10"/>
      <name val="Calibri"/>
      <family val="2"/>
      <scheme val="minor"/>
    </font>
    <font>
      <sz val="8"/>
      <color theme="1"/>
      <name val="Roboto"/>
    </font>
    <font>
      <b/>
      <sz val="8"/>
      <color theme="1"/>
      <name val="Roboto"/>
    </font>
    <font>
      <i/>
      <sz val="8"/>
      <color theme="1"/>
      <name val="Roboto"/>
    </font>
    <font>
      <i/>
      <sz val="8"/>
      <name val="Roboto"/>
    </font>
    <font>
      <sz val="8"/>
      <color theme="4"/>
      <name val="Roboto"/>
    </font>
    <font>
      <i/>
      <sz val="8"/>
      <color theme="4"/>
      <name val="Roboto"/>
    </font>
    <font>
      <b/>
      <i/>
      <sz val="8"/>
      <name val="Roboto"/>
    </font>
    <font>
      <b/>
      <sz val="8"/>
      <name val="Roboto"/>
    </font>
    <font>
      <sz val="8"/>
      <name val="Roboto"/>
    </font>
    <font>
      <sz val="8"/>
      <color rgb="FF0070C0"/>
      <name val="Roboto"/>
    </font>
    <font>
      <b/>
      <sz val="8"/>
      <color theme="0"/>
      <name val="Roboto"/>
    </font>
    <font>
      <sz val="8"/>
      <color theme="0"/>
      <name val="Roboto"/>
    </font>
    <font>
      <u/>
      <sz val="8"/>
      <color theme="0"/>
      <name val="Roboto"/>
    </font>
    <font>
      <i/>
      <sz val="8"/>
      <color theme="0" tint="-0.499984740745262"/>
      <name val="Roboto"/>
    </font>
    <font>
      <b/>
      <sz val="8"/>
      <color indexed="10"/>
      <name val="Roboto"/>
    </font>
    <font>
      <i/>
      <sz val="8"/>
      <color theme="2" tint="-0.89999084444715716"/>
      <name val="Roboto"/>
    </font>
    <font>
      <sz val="8"/>
      <color theme="0" tint="-0.34998626667073579"/>
      <name val="Roboto"/>
    </font>
    <font>
      <b/>
      <sz val="8"/>
      <color theme="0" tint="-0.34998626667073579"/>
      <name val="Roboto"/>
    </font>
    <font>
      <sz val="8"/>
      <color theme="8" tint="-0.249977111117893"/>
      <name val="Roboto"/>
    </font>
    <font>
      <i/>
      <sz val="8"/>
      <color theme="8" tint="-0.249977111117893"/>
      <name val="Roboto"/>
    </font>
    <font>
      <b/>
      <sz val="8"/>
      <color theme="8" tint="-0.249977111117893"/>
      <name val="Roboto"/>
    </font>
    <font>
      <i/>
      <sz val="8"/>
      <color theme="0" tint="-0.34998626667073579"/>
      <name val="Roboto"/>
    </font>
    <font>
      <b/>
      <sz val="8"/>
      <color theme="2" tint="-0.249977111117893"/>
      <name val="Roboto"/>
    </font>
    <font>
      <sz val="8"/>
      <color rgb="FFFF0000"/>
      <name val="Roboto"/>
    </font>
    <font>
      <b/>
      <i/>
      <sz val="8"/>
      <name val="Tahoma"/>
      <family val="2"/>
    </font>
    <font>
      <b/>
      <sz val="8"/>
      <color rgb="FFFF0000"/>
      <name val="Roboto"/>
    </font>
    <font>
      <b/>
      <sz val="11"/>
      <color theme="1"/>
      <name val="Calibri"/>
      <family val="2"/>
      <scheme val="minor"/>
    </font>
    <font>
      <sz val="11"/>
      <name val="Calibri"/>
      <family val="2"/>
      <scheme val="minor"/>
    </font>
    <font>
      <b/>
      <sz val="11"/>
      <color theme="1"/>
      <name val="Arial"/>
      <family val="2"/>
    </font>
    <font>
      <u/>
      <sz val="11"/>
      <color theme="10"/>
      <name val="Arial"/>
      <family val="2"/>
    </font>
    <font>
      <sz val="11"/>
      <name val="Arial"/>
      <family val="2"/>
    </font>
    <font>
      <b/>
      <sz val="8"/>
      <color rgb="FF3B444D"/>
      <name val="Roboto"/>
    </font>
    <font>
      <b/>
      <vertAlign val="subscript"/>
      <sz val="8"/>
      <color theme="0"/>
      <name val="Calibri"/>
      <family val="2"/>
      <scheme val="minor"/>
    </font>
    <font>
      <b/>
      <sz val="8"/>
      <color theme="0"/>
      <name val="Calibri"/>
      <family val="2"/>
      <scheme val="minor"/>
    </font>
    <font>
      <sz val="10"/>
      <name val="Segoe UI"/>
      <family val="2"/>
    </font>
    <font>
      <sz val="10"/>
      <color rgb="FF2A393E"/>
      <name val="Roboto"/>
    </font>
    <font>
      <sz val="8"/>
      <color rgb="FF3B444D"/>
      <name val="Roboto"/>
    </font>
    <font>
      <b/>
      <sz val="16"/>
      <color theme="1"/>
      <name val="Calibri"/>
      <family val="2"/>
      <scheme val="minor"/>
    </font>
    <font>
      <b/>
      <u/>
      <sz val="11"/>
      <color theme="1"/>
      <name val="Calibri"/>
      <family val="2"/>
      <scheme val="minor"/>
    </font>
    <font>
      <sz val="11"/>
      <color theme="1"/>
      <name val="Calibri"/>
      <family val="2"/>
    </font>
    <font>
      <vertAlign val="subscript"/>
      <sz val="11"/>
      <color theme="1"/>
      <name val="Calibri"/>
      <family val="2"/>
      <scheme val="minor"/>
    </font>
    <font>
      <u/>
      <sz val="10"/>
      <color theme="0"/>
      <name val="Segoe UI"/>
      <family val="2"/>
    </font>
    <font>
      <u/>
      <sz val="11"/>
      <color theme="1"/>
      <name val="Calibri"/>
      <family val="2"/>
      <scheme val="minor"/>
    </font>
  </fonts>
  <fills count="19">
    <fill>
      <patternFill patternType="none"/>
    </fill>
    <fill>
      <patternFill patternType="gray125"/>
    </fill>
    <fill>
      <patternFill patternType="solid">
        <fgColor theme="9"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0"/>
        <bgColor indexed="64"/>
      </patternFill>
    </fill>
    <fill>
      <patternFill patternType="solid">
        <fgColor theme="9" tint="0.59999389629810485"/>
        <bgColor indexed="64"/>
      </patternFill>
    </fill>
    <fill>
      <patternFill patternType="solid">
        <fgColor rgb="FFFF00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38572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3F6FC"/>
        <bgColor indexed="64"/>
      </patternFill>
    </fill>
    <fill>
      <patternFill patternType="solid">
        <fgColor rgb="FFF2F5FC"/>
        <bgColor indexed="64"/>
      </patternFill>
    </fill>
    <fill>
      <patternFill patternType="solid">
        <fgColor rgb="FFF6FAF4"/>
        <bgColor indexed="64"/>
      </patternFill>
    </fill>
  </fills>
  <borders count="75">
    <border>
      <left/>
      <right/>
      <top/>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right/>
      <top style="thin">
        <color auto="1"/>
      </top>
      <bottom/>
      <diagonal/>
    </border>
    <border>
      <left/>
      <right style="medium">
        <color auto="1"/>
      </right>
      <top/>
      <bottom/>
      <diagonal/>
    </border>
    <border>
      <left/>
      <right/>
      <top/>
      <bottom style="thin">
        <color auto="1"/>
      </bottom>
      <diagonal/>
    </border>
    <border>
      <left style="medium">
        <color auto="1"/>
      </left>
      <right/>
      <top style="thin">
        <color indexed="64"/>
      </top>
      <bottom style="medium">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medium">
        <color auto="1"/>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auto="1"/>
      </top>
      <bottom style="thin">
        <color auto="1"/>
      </bottom>
      <diagonal/>
    </border>
    <border>
      <left style="thin">
        <color indexed="64"/>
      </left>
      <right style="thin">
        <color indexed="64"/>
      </right>
      <top style="thin">
        <color auto="1"/>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auto="1"/>
      </top>
      <bottom style="thin">
        <color auto="1"/>
      </bottom>
      <diagonal/>
    </border>
    <border>
      <left style="thin">
        <color indexed="64"/>
      </left>
      <right style="medium">
        <color indexed="64"/>
      </right>
      <top style="thin">
        <color auto="1"/>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auto="1"/>
      </bottom>
      <diagonal/>
    </border>
    <border>
      <left style="medium">
        <color auto="1"/>
      </left>
      <right/>
      <top style="thin">
        <color auto="1"/>
      </top>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auto="1"/>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auto="1"/>
      </right>
      <top style="medium">
        <color auto="1"/>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auto="1"/>
      </bottom>
      <diagonal/>
    </border>
    <border>
      <left/>
      <right style="thin">
        <color indexed="64"/>
      </right>
      <top/>
      <bottom style="thin">
        <color indexed="64"/>
      </bottom>
      <diagonal/>
    </border>
    <border>
      <left style="thin">
        <color indexed="64"/>
      </left>
      <right style="thin">
        <color indexed="64"/>
      </right>
      <top style="medium">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indexed="64"/>
      </left>
      <right style="thin">
        <color indexed="64"/>
      </right>
      <top/>
      <bottom style="medium">
        <color auto="1"/>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5">
    <xf numFmtId="0" fontId="0" fillId="0" borderId="0"/>
    <xf numFmtId="43" fontId="1" fillId="0" borderId="0" applyFont="0" applyFill="0" applyBorder="0" applyAlignment="0" applyProtection="0"/>
    <xf numFmtId="0" fontId="2" fillId="0" borderId="0"/>
    <xf numFmtId="0" fontId="3" fillId="0" borderId="0"/>
    <xf numFmtId="44" fontId="1"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3" fillId="0" borderId="0"/>
    <xf numFmtId="0" fontId="8" fillId="0" borderId="0" applyNumberFormat="0" applyFill="0" applyBorder="0" applyAlignment="0" applyProtection="0"/>
    <xf numFmtId="0" fontId="4" fillId="0" borderId="0"/>
    <xf numFmtId="43" fontId="4" fillId="0" borderId="0" applyFont="0" applyFill="0" applyBorder="0" applyAlignment="0" applyProtection="0"/>
    <xf numFmtId="0" fontId="1" fillId="0" borderId="0"/>
    <xf numFmtId="43" fontId="3"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9" fillId="0" borderId="5" applyNumberFormat="0">
      <alignment horizontal="left" vertical="top" wrapText="1"/>
    </xf>
    <xf numFmtId="0" fontId="9" fillId="0" borderId="5" applyNumberFormat="0" applyFont="0">
      <alignment horizontal="left" vertical="top" wrapText="1"/>
    </xf>
    <xf numFmtId="0" fontId="1" fillId="0" borderId="0"/>
    <xf numFmtId="0" fontId="1" fillId="0" borderId="0"/>
    <xf numFmtId="0" fontId="11" fillId="0" borderId="0" applyNumberFormat="0" applyFill="0" applyBorder="0" applyAlignment="0" applyProtection="0">
      <alignment vertical="top"/>
      <protection locked="0"/>
    </xf>
    <xf numFmtId="0" fontId="12" fillId="0" borderId="0"/>
    <xf numFmtId="43" fontId="3" fillId="0" borderId="0" applyFont="0" applyFill="0" applyBorder="0" applyAlignment="0" applyProtection="0"/>
    <xf numFmtId="0" fontId="1" fillId="0" borderId="0"/>
    <xf numFmtId="0" fontId="13" fillId="0" borderId="0" applyNumberFormat="0" applyFill="0" applyBorder="0" applyAlignment="0" applyProtection="0"/>
    <xf numFmtId="0" fontId="1" fillId="0" borderId="0"/>
    <xf numFmtId="9" fontId="1" fillId="0" borderId="0" applyFont="0" applyFill="0" applyBorder="0" applyAlignment="0" applyProtection="0"/>
    <xf numFmtId="0" fontId="38" fillId="0" borderId="0" applyProtection="0">
      <alignment horizontal="left" vertical="center"/>
    </xf>
    <xf numFmtId="0" fontId="20" fillId="0" borderId="0">
      <alignment horizontal="left" vertical="center"/>
      <protection locked="0"/>
    </xf>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1" fillId="0" borderId="0" applyFont="0" applyFill="0" applyBorder="0" applyAlignment="0" applyProtection="0"/>
  </cellStyleXfs>
  <cellXfs count="1525">
    <xf numFmtId="0" fontId="0" fillId="0" borderId="0" xfId="0"/>
    <xf numFmtId="0" fontId="14" fillId="0" borderId="0" xfId="19" applyFont="1"/>
    <xf numFmtId="0" fontId="14" fillId="0" borderId="0" xfId="0" applyFont="1"/>
    <xf numFmtId="0" fontId="15" fillId="0" borderId="0" xfId="19" applyFont="1" applyAlignment="1">
      <alignment horizontal="center" vertical="center" wrapText="1"/>
    </xf>
    <xf numFmtId="0" fontId="14" fillId="0" borderId="0" xfId="19" applyFont="1" applyAlignment="1">
      <alignment horizontal="center" vertical="center" wrapText="1"/>
    </xf>
    <xf numFmtId="0" fontId="14" fillId="0" borderId="4" xfId="19" applyFont="1" applyBorder="1"/>
    <xf numFmtId="0" fontId="14" fillId="0" borderId="6" xfId="19" applyFont="1" applyBorder="1"/>
    <xf numFmtId="1" fontId="22" fillId="0" borderId="6" xfId="7" applyNumberFormat="1" applyFont="1" applyBorder="1" applyAlignment="1">
      <alignment horizontal="justify" vertical="top" wrapText="1"/>
    </xf>
    <xf numFmtId="0" fontId="14" fillId="4" borderId="0" xfId="0" applyFont="1" applyFill="1"/>
    <xf numFmtId="0" fontId="18" fillId="0" borderId="4" xfId="7" applyFont="1" applyBorder="1" applyAlignment="1">
      <alignment horizontal="center"/>
    </xf>
    <xf numFmtId="0" fontId="18" fillId="0" borderId="6" xfId="7" applyFont="1" applyBorder="1" applyAlignment="1">
      <alignment horizontal="center"/>
    </xf>
    <xf numFmtId="1" fontId="22" fillId="0" borderId="4" xfId="7" applyNumberFormat="1" applyFont="1" applyBorder="1" applyAlignment="1">
      <alignment horizontal="center" vertical="top" wrapText="1"/>
    </xf>
    <xf numFmtId="1" fontId="22" fillId="0" borderId="0" xfId="7" applyNumberFormat="1" applyFont="1" applyAlignment="1">
      <alignment horizontal="center" vertical="top" wrapText="1"/>
    </xf>
    <xf numFmtId="1" fontId="22" fillId="0" borderId="6" xfId="7" applyNumberFormat="1" applyFont="1" applyBorder="1" applyAlignment="1">
      <alignment horizontal="center" vertical="top" wrapText="1"/>
    </xf>
    <xf numFmtId="1" fontId="18" fillId="0" borderId="6" xfId="7" applyNumberFormat="1" applyFont="1" applyBorder="1" applyAlignment="1">
      <alignment horizontal="center"/>
    </xf>
    <xf numFmtId="1" fontId="18" fillId="0" borderId="4" xfId="7" applyNumberFormat="1" applyFont="1" applyBorder="1" applyAlignment="1">
      <alignment horizontal="center"/>
    </xf>
    <xf numFmtId="1" fontId="22" fillId="0" borderId="6" xfId="19" applyNumberFormat="1" applyFont="1" applyBorder="1" applyAlignment="1">
      <alignment horizontal="center"/>
    </xf>
    <xf numFmtId="167" fontId="22" fillId="0" borderId="0" xfId="7" applyNumberFormat="1" applyFont="1" applyAlignment="1">
      <alignment horizontal="center"/>
    </xf>
    <xf numFmtId="0" fontId="22" fillId="0" borderId="0" xfId="7" applyFont="1" applyAlignment="1">
      <alignment horizontal="center"/>
    </xf>
    <xf numFmtId="0" fontId="22" fillId="0" borderId="6" xfId="7" applyFont="1" applyBorder="1" applyAlignment="1">
      <alignment horizontal="center"/>
    </xf>
    <xf numFmtId="1" fontId="22" fillId="0" borderId="4" xfId="7" applyNumberFormat="1" applyFont="1" applyBorder="1" applyAlignment="1">
      <alignment horizontal="center"/>
    </xf>
    <xf numFmtId="1" fontId="22" fillId="0" borderId="0" xfId="7" applyNumberFormat="1" applyFont="1" applyAlignment="1">
      <alignment horizontal="center"/>
    </xf>
    <xf numFmtId="1" fontId="22" fillId="0" borderId="6" xfId="7" applyNumberFormat="1" applyFont="1" applyBorder="1" applyAlignment="1">
      <alignment horizontal="center"/>
    </xf>
    <xf numFmtId="2" fontId="22" fillId="0" borderId="0" xfId="7" applyNumberFormat="1" applyFont="1" applyAlignment="1">
      <alignment horizontal="center"/>
    </xf>
    <xf numFmtId="2" fontId="22" fillId="0" borderId="4" xfId="7" applyNumberFormat="1" applyFont="1" applyBorder="1" applyAlignment="1">
      <alignment horizontal="center"/>
    </xf>
    <xf numFmtId="2" fontId="22" fillId="0" borderId="6" xfId="7" applyNumberFormat="1" applyFont="1" applyBorder="1" applyAlignment="1">
      <alignment horizontal="center"/>
    </xf>
    <xf numFmtId="0" fontId="22" fillId="0" borderId="4" xfId="7" applyFont="1" applyBorder="1" applyAlignment="1">
      <alignment horizontal="center" vertical="top" wrapText="1"/>
    </xf>
    <xf numFmtId="0" fontId="22" fillId="0" borderId="0" xfId="7" applyFont="1" applyAlignment="1">
      <alignment horizontal="center" vertical="top" wrapText="1"/>
    </xf>
    <xf numFmtId="0" fontId="22" fillId="0" borderId="6" xfId="7" applyFont="1" applyBorder="1" applyAlignment="1">
      <alignment horizontal="center" vertical="top" wrapText="1"/>
    </xf>
    <xf numFmtId="0" fontId="22" fillId="0" borderId="4" xfId="7" applyFont="1" applyBorder="1" applyAlignment="1">
      <alignment horizontal="center"/>
    </xf>
    <xf numFmtId="167" fontId="22" fillId="0" borderId="6" xfId="7" applyNumberFormat="1" applyFont="1" applyBorder="1" applyAlignment="1">
      <alignment horizontal="center"/>
    </xf>
    <xf numFmtId="9" fontId="22" fillId="0" borderId="6" xfId="6" applyFont="1" applyBorder="1" applyAlignment="1">
      <alignment horizontal="center"/>
    </xf>
    <xf numFmtId="2" fontId="22" fillId="0" borderId="4" xfId="7" applyNumberFormat="1" applyFont="1" applyBorder="1" applyAlignment="1">
      <alignment horizontal="center" vertical="top" wrapText="1"/>
    </xf>
    <xf numFmtId="2" fontId="22" fillId="0" borderId="0" xfId="7" applyNumberFormat="1" applyFont="1" applyAlignment="1">
      <alignment horizontal="center" vertical="top" wrapText="1"/>
    </xf>
    <xf numFmtId="2" fontId="22" fillId="0" borderId="6" xfId="7" applyNumberFormat="1" applyFont="1" applyBorder="1" applyAlignment="1">
      <alignment horizontal="center" vertical="top" wrapText="1"/>
    </xf>
    <xf numFmtId="167" fontId="22" fillId="0" borderId="4" xfId="7" applyNumberFormat="1" applyFont="1" applyBorder="1" applyAlignment="1">
      <alignment horizontal="center"/>
    </xf>
    <xf numFmtId="0" fontId="22" fillId="0" borderId="6" xfId="19" applyFont="1" applyBorder="1" applyAlignment="1">
      <alignment horizontal="center"/>
    </xf>
    <xf numFmtId="3" fontId="22" fillId="0" borderId="4" xfId="19" applyNumberFormat="1" applyFont="1" applyBorder="1"/>
    <xf numFmtId="3" fontId="22" fillId="0" borderId="0" xfId="19" applyNumberFormat="1" applyFont="1"/>
    <xf numFmtId="3" fontId="22" fillId="0" borderId="6" xfId="19" applyNumberFormat="1" applyFont="1" applyBorder="1"/>
    <xf numFmtId="0" fontId="22" fillId="0" borderId="0" xfId="19" applyFont="1"/>
    <xf numFmtId="0" fontId="22" fillId="0" borderId="6" xfId="19" applyFont="1" applyBorder="1"/>
    <xf numFmtId="0" fontId="22" fillId="0" borderId="4" xfId="19" applyFont="1" applyBorder="1" applyAlignment="1">
      <alignment horizontal="center"/>
    </xf>
    <xf numFmtId="0" fontId="22" fillId="0" borderId="0" xfId="19" applyFont="1" applyAlignment="1">
      <alignment horizontal="center"/>
    </xf>
    <xf numFmtId="1" fontId="22" fillId="0" borderId="6" xfId="19" applyNumberFormat="1" applyFont="1" applyBorder="1"/>
    <xf numFmtId="0" fontId="22" fillId="0" borderId="0" xfId="0" applyFont="1"/>
    <xf numFmtId="0" fontId="22" fillId="0" borderId="4" xfId="7" applyFont="1" applyBorder="1"/>
    <xf numFmtId="2" fontId="22" fillId="0" borderId="6" xfId="19" applyNumberFormat="1" applyFont="1" applyBorder="1"/>
    <xf numFmtId="0" fontId="21" fillId="0" borderId="4" xfId="7" applyFont="1" applyBorder="1"/>
    <xf numFmtId="1" fontId="22" fillId="0" borderId="6" xfId="7" quotePrefix="1" applyNumberFormat="1" applyFont="1" applyBorder="1" applyAlignment="1">
      <alignment horizontal="center" vertical="top" wrapText="1"/>
    </xf>
    <xf numFmtId="9" fontId="22" fillId="0" borderId="4" xfId="6" applyFont="1" applyBorder="1" applyAlignment="1">
      <alignment horizontal="center" vertical="top" wrapText="1"/>
    </xf>
    <xf numFmtId="9" fontId="22" fillId="0" borderId="0" xfId="6" applyFont="1" applyBorder="1" applyAlignment="1">
      <alignment horizontal="center" vertical="top" wrapText="1"/>
    </xf>
    <xf numFmtId="9" fontId="22" fillId="0" borderId="6" xfId="6" applyFont="1" applyBorder="1" applyAlignment="1">
      <alignment horizontal="center" vertical="top" wrapText="1"/>
    </xf>
    <xf numFmtId="9" fontId="22" fillId="0" borderId="4" xfId="6" applyFont="1" applyFill="1" applyBorder="1" applyAlignment="1">
      <alignment horizontal="center" vertical="top" wrapText="1"/>
    </xf>
    <xf numFmtId="9" fontId="22" fillId="0" borderId="0" xfId="6" applyFont="1" applyFill="1" applyBorder="1" applyAlignment="1">
      <alignment horizontal="center" vertical="top" wrapText="1"/>
    </xf>
    <xf numFmtId="9" fontId="22" fillId="0" borderId="6" xfId="6" applyFont="1" applyFill="1" applyBorder="1" applyAlignment="1">
      <alignment horizontal="center" vertical="top" wrapText="1"/>
    </xf>
    <xf numFmtId="169" fontId="22" fillId="0" borderId="4" xfId="6" applyNumberFormat="1" applyFont="1" applyBorder="1" applyAlignment="1">
      <alignment horizontal="center" vertical="top" wrapText="1"/>
    </xf>
    <xf numFmtId="169" fontId="22" fillId="0" borderId="0" xfId="6" applyNumberFormat="1" applyFont="1" applyBorder="1" applyAlignment="1">
      <alignment horizontal="center" vertical="top" wrapText="1"/>
    </xf>
    <xf numFmtId="169" fontId="22" fillId="0" borderId="6" xfId="6" applyNumberFormat="1" applyFont="1" applyBorder="1" applyAlignment="1">
      <alignment horizontal="center" vertical="top" wrapText="1"/>
    </xf>
    <xf numFmtId="6" fontId="22" fillId="0" borderId="4" xfId="6" applyNumberFormat="1" applyFont="1" applyBorder="1" applyAlignment="1">
      <alignment horizontal="center" vertical="top" wrapText="1"/>
    </xf>
    <xf numFmtId="6" fontId="22" fillId="0" borderId="0" xfId="6" applyNumberFormat="1" applyFont="1" applyBorder="1" applyAlignment="1">
      <alignment horizontal="center" vertical="top" wrapText="1"/>
    </xf>
    <xf numFmtId="6" fontId="22" fillId="0" borderId="6" xfId="6" applyNumberFormat="1" applyFont="1" applyBorder="1" applyAlignment="1">
      <alignment horizontal="center" vertical="top" wrapText="1"/>
    </xf>
    <xf numFmtId="6" fontId="22" fillId="0" borderId="4" xfId="6" applyNumberFormat="1" applyFont="1" applyFill="1" applyBorder="1" applyAlignment="1">
      <alignment horizontal="center" vertical="top" wrapText="1"/>
    </xf>
    <xf numFmtId="6" fontId="22" fillId="0" borderId="0" xfId="6" applyNumberFormat="1" applyFont="1" applyFill="1" applyBorder="1" applyAlignment="1">
      <alignment horizontal="center" vertical="top" wrapText="1"/>
    </xf>
    <xf numFmtId="6" fontId="22" fillId="0" borderId="6" xfId="6" applyNumberFormat="1" applyFont="1" applyFill="1" applyBorder="1" applyAlignment="1">
      <alignment horizontal="center" vertical="top" wrapText="1"/>
    </xf>
    <xf numFmtId="9" fontId="22" fillId="0" borderId="4" xfId="7" applyNumberFormat="1" applyFont="1" applyBorder="1" applyAlignment="1">
      <alignment horizontal="center"/>
    </xf>
    <xf numFmtId="9" fontId="22" fillId="0" borderId="0" xfId="7" applyNumberFormat="1" applyFont="1" applyAlignment="1">
      <alignment horizontal="center"/>
    </xf>
    <xf numFmtId="9" fontId="22" fillId="0" borderId="6" xfId="7" applyNumberFormat="1" applyFont="1" applyBorder="1" applyAlignment="1">
      <alignment horizontal="center"/>
    </xf>
    <xf numFmtId="9" fontId="22" fillId="0" borderId="4" xfId="6" applyFont="1" applyBorder="1" applyAlignment="1">
      <alignment horizontal="center"/>
    </xf>
    <xf numFmtId="169" fontId="22" fillId="0" borderId="4" xfId="7" applyNumberFormat="1" applyFont="1" applyBorder="1" applyAlignment="1">
      <alignment horizontal="center"/>
    </xf>
    <xf numFmtId="169" fontId="22" fillId="0" borderId="0" xfId="7" applyNumberFormat="1" applyFont="1" applyAlignment="1">
      <alignment horizontal="center"/>
    </xf>
    <xf numFmtId="169" fontId="22" fillId="0" borderId="6" xfId="7" applyNumberFormat="1" applyFont="1" applyBorder="1" applyAlignment="1">
      <alignment horizontal="center"/>
    </xf>
    <xf numFmtId="9" fontId="22" fillId="0" borderId="0" xfId="19" applyNumberFormat="1" applyFont="1" applyAlignment="1">
      <alignment horizontal="center"/>
    </xf>
    <xf numFmtId="167" fontId="22" fillId="0" borderId="4" xfId="7" applyNumberFormat="1" applyFont="1" applyBorder="1" applyAlignment="1">
      <alignment horizontal="center" vertical="top" wrapText="1"/>
    </xf>
    <xf numFmtId="167" fontId="22" fillId="0" borderId="6" xfId="7" applyNumberFormat="1" applyFont="1" applyBorder="1" applyAlignment="1">
      <alignment horizontal="center" vertical="top" wrapText="1"/>
    </xf>
    <xf numFmtId="167" fontId="22" fillId="0" borderId="0" xfId="7" applyNumberFormat="1" applyFont="1" applyAlignment="1">
      <alignment horizontal="center" vertical="top" wrapText="1"/>
    </xf>
    <xf numFmtId="1" fontId="21" fillId="0" borderId="4" xfId="7" applyNumberFormat="1" applyFont="1" applyBorder="1"/>
    <xf numFmtId="1" fontId="21" fillId="0" borderId="11" xfId="7" applyNumberFormat="1" applyFont="1" applyBorder="1" applyAlignment="1">
      <alignment horizontal="center" vertical="distributed" wrapText="1"/>
    </xf>
    <xf numFmtId="1" fontId="21" fillId="0" borderId="13" xfId="7" applyNumberFormat="1" applyFont="1" applyBorder="1" applyAlignment="1">
      <alignment horizontal="center" vertical="distributed" wrapText="1"/>
    </xf>
    <xf numFmtId="1" fontId="21" fillId="0" borderId="12" xfId="7" applyNumberFormat="1" applyFont="1" applyBorder="1" applyAlignment="1">
      <alignment horizontal="center" vertical="distributed" wrapText="1"/>
    </xf>
    <xf numFmtId="1" fontId="21" fillId="0" borderId="4" xfId="7" applyNumberFormat="1" applyFont="1" applyBorder="1" applyAlignment="1">
      <alignment horizontal="center" vertical="distributed" wrapText="1"/>
    </xf>
    <xf numFmtId="1" fontId="21" fillId="0" borderId="6" xfId="7" applyNumberFormat="1" applyFont="1" applyBorder="1" applyAlignment="1">
      <alignment horizontal="center" vertical="distributed" wrapText="1"/>
    </xf>
    <xf numFmtId="1" fontId="21" fillId="0" borderId="0" xfId="7" applyNumberFormat="1" applyFont="1" applyAlignment="1">
      <alignment horizontal="center" vertical="distributed" wrapText="1"/>
    </xf>
    <xf numFmtId="167" fontId="21" fillId="0" borderId="0" xfId="7" applyNumberFormat="1" applyFont="1" applyAlignment="1">
      <alignment horizontal="center" vertical="distributed" wrapText="1"/>
    </xf>
    <xf numFmtId="167" fontId="21" fillId="0" borderId="6" xfId="7" applyNumberFormat="1" applyFont="1" applyBorder="1" applyAlignment="1">
      <alignment horizontal="center" vertical="distributed" wrapText="1"/>
    </xf>
    <xf numFmtId="2" fontId="21" fillId="0" borderId="4" xfId="7" applyNumberFormat="1" applyFont="1" applyBorder="1" applyAlignment="1">
      <alignment horizontal="center" vertical="distributed" wrapText="1"/>
    </xf>
    <xf numFmtId="2" fontId="21" fillId="0" borderId="0" xfId="7" applyNumberFormat="1" applyFont="1" applyAlignment="1">
      <alignment horizontal="center" vertical="distributed" wrapText="1"/>
    </xf>
    <xf numFmtId="2" fontId="21" fillId="0" borderId="6" xfId="7" applyNumberFormat="1" applyFont="1" applyBorder="1" applyAlignment="1">
      <alignment horizontal="center" vertical="distributed" wrapText="1"/>
    </xf>
    <xf numFmtId="1" fontId="21" fillId="0" borderId="48" xfId="7" applyNumberFormat="1" applyFont="1" applyBorder="1" applyAlignment="1">
      <alignment horizontal="center" vertical="distributed" wrapText="1"/>
    </xf>
    <xf numFmtId="0" fontId="27" fillId="0" borderId="0" xfId="19" applyFont="1" applyAlignment="1">
      <alignment horizontal="left"/>
    </xf>
    <xf numFmtId="9" fontId="14" fillId="0" borderId="0" xfId="19" applyNumberFormat="1" applyFont="1" applyAlignment="1">
      <alignment horizontal="center"/>
    </xf>
    <xf numFmtId="0" fontId="15" fillId="0" borderId="0" xfId="19" applyFont="1" applyAlignment="1">
      <alignment horizontal="left"/>
    </xf>
    <xf numFmtId="9" fontId="15" fillId="5" borderId="0" xfId="19" applyNumberFormat="1" applyFont="1" applyFill="1" applyAlignment="1">
      <alignment horizontal="center"/>
    </xf>
    <xf numFmtId="2" fontId="14" fillId="0" borderId="0" xfId="19" quotePrefix="1" applyNumberFormat="1" applyFont="1"/>
    <xf numFmtId="0" fontId="22" fillId="0" borderId="0" xfId="7" applyFont="1" applyAlignment="1">
      <alignment vertical="center"/>
    </xf>
    <xf numFmtId="0" fontId="17" fillId="0" borderId="0" xfId="7" applyFont="1"/>
    <xf numFmtId="0" fontId="14" fillId="0" borderId="0" xfId="0" applyFont="1" applyAlignment="1">
      <alignment vertical="top"/>
    </xf>
    <xf numFmtId="0" fontId="18" fillId="0" borderId="4" xfId="7" applyFont="1" applyBorder="1" applyAlignment="1">
      <alignment horizontal="center" vertical="center"/>
    </xf>
    <xf numFmtId="0" fontId="18" fillId="0" borderId="0" xfId="7" applyFont="1" applyAlignment="1">
      <alignment horizontal="center" vertical="center"/>
    </xf>
    <xf numFmtId="0" fontId="22" fillId="0" borderId="6" xfId="7" applyFont="1" applyBorder="1" applyAlignment="1">
      <alignment horizontal="center" vertical="center"/>
    </xf>
    <xf numFmtId="1" fontId="22" fillId="0" borderId="0" xfId="7" applyNumberFormat="1" applyFont="1" applyAlignment="1">
      <alignment horizontal="center" vertical="center"/>
    </xf>
    <xf numFmtId="0" fontId="18" fillId="0" borderId="6" xfId="7" applyFont="1" applyBorder="1" applyAlignment="1">
      <alignment horizontal="center" vertical="center"/>
    </xf>
    <xf numFmtId="2" fontId="22" fillId="0" borderId="4" xfId="7" applyNumberFormat="1" applyFont="1" applyBorder="1" applyAlignment="1">
      <alignment horizontal="center" vertical="center"/>
    </xf>
    <xf numFmtId="2" fontId="22" fillId="0" borderId="0" xfId="7" applyNumberFormat="1" applyFont="1" applyAlignment="1">
      <alignment horizontal="center" vertical="center"/>
    </xf>
    <xf numFmtId="2" fontId="28" fillId="0" borderId="4" xfId="7" applyNumberFormat="1" applyFont="1" applyBorder="1" applyAlignment="1">
      <alignment horizontal="center" vertical="center"/>
    </xf>
    <xf numFmtId="2" fontId="28" fillId="0" borderId="0" xfId="7" applyNumberFormat="1" applyFont="1" applyAlignment="1">
      <alignment horizontal="center" vertical="center"/>
    </xf>
    <xf numFmtId="0" fontId="19" fillId="0" borderId="4" xfId="7" applyFont="1" applyBorder="1" applyAlignment="1">
      <alignment horizontal="center"/>
    </xf>
    <xf numFmtId="0" fontId="19" fillId="0" borderId="0" xfId="7" applyFont="1" applyAlignment="1">
      <alignment horizontal="center"/>
    </xf>
    <xf numFmtId="0" fontId="19" fillId="0" borderId="6" xfId="7" applyFont="1" applyBorder="1" applyAlignment="1">
      <alignment horizontal="center"/>
    </xf>
    <xf numFmtId="1" fontId="17" fillId="0" borderId="4" xfId="7" applyNumberFormat="1" applyFont="1" applyBorder="1" applyAlignment="1">
      <alignment horizontal="center"/>
    </xf>
    <xf numFmtId="1" fontId="17" fillId="0" borderId="0" xfId="7" applyNumberFormat="1" applyFont="1" applyAlignment="1">
      <alignment horizontal="center"/>
    </xf>
    <xf numFmtId="0" fontId="22" fillId="0" borderId="4" xfId="7" applyFont="1" applyBorder="1" applyAlignment="1">
      <alignment horizontal="center" vertical="center"/>
    </xf>
    <xf numFmtId="0" fontId="22" fillId="0" borderId="0" xfId="7" applyFont="1" applyAlignment="1">
      <alignment horizontal="center" vertical="center"/>
    </xf>
    <xf numFmtId="0" fontId="21" fillId="0" borderId="0" xfId="7" applyFont="1" applyAlignment="1">
      <alignment horizontal="center" vertical="center"/>
    </xf>
    <xf numFmtId="1" fontId="22" fillId="0" borderId="4" xfId="7" applyNumberFormat="1" applyFont="1" applyBorder="1" applyAlignment="1">
      <alignment horizontal="center" vertical="center"/>
    </xf>
    <xf numFmtId="1" fontId="18" fillId="0" borderId="0" xfId="7" applyNumberFormat="1" applyFont="1" applyAlignment="1">
      <alignment horizontal="center" vertical="center"/>
    </xf>
    <xf numFmtId="1" fontId="21" fillId="0" borderId="0" xfId="7" applyNumberFormat="1" applyFont="1" applyAlignment="1">
      <alignment horizontal="center"/>
    </xf>
    <xf numFmtId="1" fontId="18" fillId="0" borderId="6" xfId="7" applyNumberFormat="1" applyFont="1" applyBorder="1" applyAlignment="1">
      <alignment horizontal="center" vertical="center"/>
    </xf>
    <xf numFmtId="1" fontId="22" fillId="0" borderId="6" xfId="7" applyNumberFormat="1" applyFont="1" applyBorder="1" applyAlignment="1">
      <alignment horizontal="center" vertical="center"/>
    </xf>
    <xf numFmtId="1" fontId="22" fillId="0" borderId="8" xfId="7" applyNumberFormat="1" applyFont="1" applyBorder="1" applyAlignment="1">
      <alignment horizontal="center" vertical="center"/>
    </xf>
    <xf numFmtId="1" fontId="22" fillId="0" borderId="42" xfId="7" applyNumberFormat="1" applyFont="1" applyBorder="1" applyAlignment="1">
      <alignment horizontal="center" vertical="center"/>
    </xf>
    <xf numFmtId="1" fontId="22" fillId="0" borderId="52" xfId="7" applyNumberFormat="1" applyFont="1" applyBorder="1" applyAlignment="1">
      <alignment horizontal="center" vertical="center"/>
    </xf>
    <xf numFmtId="0" fontId="14" fillId="0" borderId="10" xfId="19" applyFont="1" applyBorder="1"/>
    <xf numFmtId="0" fontId="22" fillId="0" borderId="4" xfId="7" applyFont="1" applyBorder="1" applyAlignment="1">
      <alignment vertical="center"/>
    </xf>
    <xf numFmtId="0" fontId="22" fillId="0" borderId="6" xfId="7" applyFont="1" applyBorder="1" applyAlignment="1">
      <alignment vertical="center"/>
    </xf>
    <xf numFmtId="2" fontId="28" fillId="0" borderId="6" xfId="7" applyNumberFormat="1" applyFont="1" applyBorder="1" applyAlignment="1">
      <alignment horizontal="center" vertical="center"/>
    </xf>
    <xf numFmtId="1" fontId="17" fillId="0" borderId="6" xfId="7" applyNumberFormat="1" applyFont="1" applyBorder="1" applyAlignment="1">
      <alignment horizontal="center"/>
    </xf>
    <xf numFmtId="2" fontId="22" fillId="0" borderId="4" xfId="19" applyNumberFormat="1" applyFont="1" applyBorder="1" applyAlignment="1">
      <alignment horizontal="center" vertical="center" wrapText="1"/>
    </xf>
    <xf numFmtId="2" fontId="22" fillId="0" borderId="0" xfId="19" applyNumberFormat="1" applyFont="1" applyAlignment="1">
      <alignment horizontal="center" vertical="center" wrapText="1"/>
    </xf>
    <xf numFmtId="2" fontId="22" fillId="0" borderId="6" xfId="19" applyNumberFormat="1" applyFont="1" applyBorder="1" applyAlignment="1">
      <alignment horizontal="center" vertical="center" wrapText="1"/>
    </xf>
    <xf numFmtId="0" fontId="14" fillId="0" borderId="0" xfId="19" applyFont="1" applyAlignment="1">
      <alignment vertical="center"/>
    </xf>
    <xf numFmtId="171" fontId="22" fillId="0" borderId="0" xfId="11" applyNumberFormat="1" applyFont="1" applyFill="1" applyBorder="1" applyAlignment="1"/>
    <xf numFmtId="166" fontId="22" fillId="0" borderId="0" xfId="11" applyNumberFormat="1" applyFont="1" applyFill="1" applyBorder="1" applyAlignment="1"/>
    <xf numFmtId="166" fontId="17" fillId="0" borderId="0" xfId="11" applyNumberFormat="1" applyFont="1" applyFill="1" applyBorder="1" applyAlignment="1"/>
    <xf numFmtId="170" fontId="22" fillId="0" borderId="0" xfId="11" applyNumberFormat="1" applyFont="1" applyFill="1" applyBorder="1" applyAlignment="1"/>
    <xf numFmtId="166" fontId="22" fillId="5" borderId="0" xfId="11" applyNumberFormat="1" applyFont="1" applyFill="1"/>
    <xf numFmtId="166" fontId="22" fillId="0" borderId="0" xfId="11" applyNumberFormat="1" applyFont="1" applyBorder="1" applyAlignment="1"/>
    <xf numFmtId="166" fontId="22" fillId="0" borderId="4" xfId="11" applyNumberFormat="1" applyFont="1" applyFill="1" applyBorder="1" applyAlignment="1">
      <alignment vertical="center"/>
    </xf>
    <xf numFmtId="166" fontId="22" fillId="0" borderId="0" xfId="11" applyNumberFormat="1" applyFont="1" applyFill="1" applyBorder="1" applyAlignment="1">
      <alignment vertical="center"/>
    </xf>
    <xf numFmtId="171" fontId="22" fillId="0" borderId="4" xfId="11" applyNumberFormat="1" applyFont="1" applyFill="1" applyBorder="1" applyAlignment="1"/>
    <xf numFmtId="171" fontId="22" fillId="0" borderId="6" xfId="11" applyNumberFormat="1" applyFont="1" applyFill="1" applyBorder="1" applyAlignment="1"/>
    <xf numFmtId="4" fontId="22" fillId="0" borderId="4" xfId="19" applyNumberFormat="1" applyFont="1" applyBorder="1"/>
    <xf numFmtId="4" fontId="22" fillId="0" borderId="0" xfId="19" applyNumberFormat="1" applyFont="1"/>
    <xf numFmtId="4" fontId="22" fillId="0" borderId="6" xfId="19" applyNumberFormat="1" applyFont="1" applyBorder="1"/>
    <xf numFmtId="166" fontId="22" fillId="0" borderId="4" xfId="11" applyNumberFormat="1" applyFont="1" applyFill="1" applyBorder="1" applyAlignment="1"/>
    <xf numFmtId="166" fontId="22" fillId="0" borderId="6" xfId="11" applyNumberFormat="1" applyFont="1" applyFill="1" applyBorder="1" applyAlignment="1"/>
    <xf numFmtId="166" fontId="17" fillId="0" borderId="4" xfId="11" applyNumberFormat="1" applyFont="1" applyFill="1" applyBorder="1" applyAlignment="1"/>
    <xf numFmtId="166" fontId="17" fillId="0" borderId="6" xfId="11" applyNumberFormat="1" applyFont="1" applyFill="1" applyBorder="1" applyAlignment="1"/>
    <xf numFmtId="170" fontId="22" fillId="0" borderId="4" xfId="11" applyNumberFormat="1" applyFont="1" applyFill="1" applyBorder="1" applyAlignment="1"/>
    <xf numFmtId="170" fontId="22" fillId="0" borderId="6" xfId="11" applyNumberFormat="1" applyFont="1" applyFill="1" applyBorder="1" applyAlignment="1"/>
    <xf numFmtId="43" fontId="22" fillId="0" borderId="4" xfId="7" applyNumberFormat="1" applyFont="1" applyBorder="1"/>
    <xf numFmtId="43" fontId="22" fillId="0" borderId="0" xfId="7" applyNumberFormat="1" applyFont="1"/>
    <xf numFmtId="43" fontId="22" fillId="0" borderId="6" xfId="7" applyNumberFormat="1" applyFont="1" applyBorder="1"/>
    <xf numFmtId="0" fontId="22" fillId="0" borderId="6" xfId="7" applyFont="1" applyBorder="1"/>
    <xf numFmtId="166" fontId="22" fillId="0" borderId="6" xfId="11" applyNumberFormat="1" applyFont="1" applyFill="1" applyBorder="1"/>
    <xf numFmtId="0" fontId="22" fillId="0" borderId="0" xfId="7" applyFont="1"/>
    <xf numFmtId="166" fontId="17" fillId="0" borderId="6" xfId="11" applyNumberFormat="1" applyFont="1" applyFill="1" applyBorder="1"/>
    <xf numFmtId="166" fontId="22" fillId="0" borderId="6" xfId="11" applyNumberFormat="1" applyFont="1" applyBorder="1"/>
    <xf numFmtId="166" fontId="22" fillId="0" borderId="6" xfId="11" applyNumberFormat="1" applyFont="1" applyFill="1" applyBorder="1" applyAlignment="1">
      <alignment horizontal="left" vertical="center"/>
    </xf>
    <xf numFmtId="0" fontId="22" fillId="0" borderId="57" xfId="7" applyFont="1" applyBorder="1"/>
    <xf numFmtId="166" fontId="17" fillId="0" borderId="58" xfId="11" applyNumberFormat="1" applyFont="1" applyFill="1" applyBorder="1" applyAlignment="1"/>
    <xf numFmtId="9" fontId="22" fillId="0" borderId="4" xfId="8" applyFont="1" applyFill="1" applyBorder="1" applyAlignment="1"/>
    <xf numFmtId="9" fontId="22" fillId="0" borderId="0" xfId="8" applyFont="1" applyFill="1" applyBorder="1" applyAlignment="1"/>
    <xf numFmtId="9" fontId="22" fillId="0" borderId="6" xfId="8" applyFont="1" applyFill="1" applyBorder="1" applyAlignment="1"/>
    <xf numFmtId="166" fontId="22" fillId="0" borderId="4" xfId="11" applyNumberFormat="1" applyFont="1" applyBorder="1" applyAlignment="1"/>
    <xf numFmtId="166" fontId="22" fillId="0" borderId="6" xfId="11" applyNumberFormat="1" applyFont="1" applyBorder="1" applyAlignment="1"/>
    <xf numFmtId="9" fontId="22" fillId="0" borderId="4" xfId="6" applyFont="1" applyFill="1" applyBorder="1" applyAlignment="1"/>
    <xf numFmtId="9" fontId="22" fillId="0" borderId="0" xfId="6" applyFont="1" applyFill="1" applyBorder="1" applyAlignment="1"/>
    <xf numFmtId="9" fontId="22" fillId="0" borderId="6" xfId="6" applyFont="1" applyFill="1" applyBorder="1" applyAlignment="1"/>
    <xf numFmtId="172" fontId="22" fillId="0" borderId="4" xfId="11" applyNumberFormat="1" applyFont="1" applyFill="1" applyBorder="1" applyAlignment="1"/>
    <xf numFmtId="172" fontId="22" fillId="0" borderId="0" xfId="11" applyNumberFormat="1" applyFont="1" applyFill="1" applyBorder="1" applyAlignment="1"/>
    <xf numFmtId="172" fontId="22" fillId="0" borderId="6" xfId="11" applyNumberFormat="1" applyFont="1" applyFill="1" applyBorder="1" applyAlignment="1"/>
    <xf numFmtId="166" fontId="22" fillId="0" borderId="6" xfId="11" applyNumberFormat="1" applyFont="1" applyFill="1" applyBorder="1" applyAlignment="1">
      <alignment vertical="center"/>
    </xf>
    <xf numFmtId="0" fontId="14" fillId="0" borderId="7" xfId="19" applyFont="1" applyBorder="1"/>
    <xf numFmtId="0" fontId="14" fillId="0" borderId="7" xfId="19" applyFont="1" applyBorder="1" applyAlignment="1">
      <alignment horizontal="center"/>
    </xf>
    <xf numFmtId="0" fontId="14" fillId="0" borderId="0" xfId="0" applyFont="1" applyAlignment="1">
      <alignment vertical="center"/>
    </xf>
    <xf numFmtId="9" fontId="35" fillId="0" borderId="0" xfId="6" applyFont="1" applyFill="1" applyBorder="1" applyAlignment="1">
      <alignment horizontal="center" wrapText="1"/>
    </xf>
    <xf numFmtId="1" fontId="36" fillId="0" borderId="12" xfId="7" applyNumberFormat="1" applyFont="1" applyBorder="1" applyAlignment="1">
      <alignment vertical="distributed" wrapText="1"/>
    </xf>
    <xf numFmtId="1" fontId="36" fillId="0" borderId="12" xfId="7" applyNumberFormat="1" applyFont="1" applyBorder="1" applyAlignment="1">
      <alignment horizontal="center" vertical="distributed" wrapText="1"/>
    </xf>
    <xf numFmtId="1" fontId="21" fillId="0" borderId="12" xfId="7" applyNumberFormat="1" applyFont="1" applyBorder="1" applyAlignment="1">
      <alignment vertical="distributed" wrapText="1"/>
    </xf>
    <xf numFmtId="0" fontId="14" fillId="0" borderId="4" xfId="0" applyFont="1" applyBorder="1"/>
    <xf numFmtId="0" fontId="14" fillId="0" borderId="6" xfId="0" applyFont="1" applyBorder="1"/>
    <xf numFmtId="0" fontId="24" fillId="4" borderId="10" xfId="0" applyFont="1" applyFill="1" applyBorder="1" applyAlignment="1">
      <alignment vertical="center"/>
    </xf>
    <xf numFmtId="0" fontId="15" fillId="3" borderId="11" xfId="0" applyFont="1" applyFill="1" applyBorder="1" applyAlignment="1">
      <alignment vertical="top" wrapText="1"/>
    </xf>
    <xf numFmtId="1" fontId="21" fillId="3" borderId="11" xfId="3" applyNumberFormat="1" applyFont="1" applyFill="1" applyBorder="1" applyAlignment="1" applyProtection="1">
      <alignment horizontal="center" vertical="top" wrapText="1"/>
      <protection locked="0"/>
    </xf>
    <xf numFmtId="1" fontId="21" fillId="3" borderId="17" xfId="3" applyNumberFormat="1" applyFont="1" applyFill="1" applyBorder="1" applyAlignment="1" applyProtection="1">
      <alignment horizontal="center" vertical="top" wrapText="1"/>
      <protection locked="0"/>
    </xf>
    <xf numFmtId="1" fontId="21" fillId="3" borderId="13" xfId="3" applyNumberFormat="1" applyFont="1" applyFill="1" applyBorder="1" applyAlignment="1" applyProtection="1">
      <alignment horizontal="center" vertical="top" wrapText="1"/>
      <protection locked="0"/>
    </xf>
    <xf numFmtId="1" fontId="21" fillId="3" borderId="25" xfId="3" applyNumberFormat="1" applyFont="1" applyFill="1" applyBorder="1" applyAlignment="1" applyProtection="1">
      <alignment horizontal="center" vertical="top" wrapText="1"/>
      <protection locked="0"/>
    </xf>
    <xf numFmtId="0" fontId="14" fillId="3" borderId="12" xfId="0" applyFont="1" applyFill="1" applyBorder="1" applyAlignment="1">
      <alignment vertical="top"/>
    </xf>
    <xf numFmtId="0" fontId="15" fillId="2" borderId="8" xfId="0" applyFont="1" applyFill="1" applyBorder="1" applyAlignment="1">
      <alignment wrapText="1"/>
    </xf>
    <xf numFmtId="0" fontId="15" fillId="0" borderId="0" xfId="0" applyFont="1"/>
    <xf numFmtId="0" fontId="15" fillId="2" borderId="26" xfId="0" applyFont="1" applyFill="1" applyBorder="1"/>
    <xf numFmtId="0" fontId="15" fillId="2" borderId="17" xfId="0" applyFont="1" applyFill="1" applyBorder="1"/>
    <xf numFmtId="0" fontId="15" fillId="3" borderId="2" xfId="0" applyFont="1" applyFill="1" applyBorder="1" applyAlignment="1">
      <alignment wrapText="1"/>
    </xf>
    <xf numFmtId="164" fontId="22" fillId="3" borderId="27" xfId="3" applyNumberFormat="1" applyFont="1" applyFill="1" applyBorder="1" applyAlignment="1">
      <alignment horizontal="right" wrapText="1"/>
    </xf>
    <xf numFmtId="164" fontId="22" fillId="3" borderId="19" xfId="3" applyNumberFormat="1" applyFont="1" applyFill="1" applyBorder="1" applyAlignment="1">
      <alignment horizontal="right" wrapText="1"/>
    </xf>
    <xf numFmtId="164" fontId="22" fillId="3" borderId="23" xfId="3" applyNumberFormat="1" applyFont="1" applyFill="1" applyBorder="1" applyAlignment="1">
      <alignment horizontal="right" wrapText="1"/>
    </xf>
    <xf numFmtId="0" fontId="14" fillId="3" borderId="26" xfId="0" applyFont="1" applyFill="1" applyBorder="1"/>
    <xf numFmtId="0" fontId="14" fillId="3" borderId="17" xfId="0" applyFont="1" applyFill="1" applyBorder="1"/>
    <xf numFmtId="0" fontId="14" fillId="2" borderId="11" xfId="0" applyFont="1" applyFill="1" applyBorder="1" applyAlignment="1">
      <alignment wrapText="1"/>
    </xf>
    <xf numFmtId="1" fontId="22" fillId="2" borderId="28" xfId="3" applyNumberFormat="1" applyFont="1" applyFill="1" applyBorder="1" applyAlignment="1" applyProtection="1">
      <alignment horizontal="right" wrapText="1"/>
      <protection locked="0"/>
    </xf>
    <xf numFmtId="0" fontId="14" fillId="2" borderId="26" xfId="0" applyFont="1" applyFill="1" applyBorder="1"/>
    <xf numFmtId="0" fontId="14" fillId="2" borderId="17" xfId="0" applyFont="1" applyFill="1" applyBorder="1"/>
    <xf numFmtId="0" fontId="14" fillId="2" borderId="28" xfId="0" applyFont="1" applyFill="1" applyBorder="1" applyAlignment="1">
      <alignment wrapText="1"/>
    </xf>
    <xf numFmtId="0" fontId="14" fillId="2" borderId="8" xfId="0" applyFont="1" applyFill="1" applyBorder="1" applyAlignment="1">
      <alignment wrapText="1"/>
    </xf>
    <xf numFmtId="0" fontId="14" fillId="3" borderId="27" xfId="0" applyFont="1" applyFill="1" applyBorder="1" applyAlignment="1">
      <alignment wrapText="1"/>
    </xf>
    <xf numFmtId="0" fontId="14" fillId="3" borderId="19" xfId="0" applyFont="1" applyFill="1" applyBorder="1" applyAlignment="1">
      <alignment wrapText="1"/>
    </xf>
    <xf numFmtId="0" fontId="14" fillId="3" borderId="23" xfId="0" applyFont="1" applyFill="1" applyBorder="1" applyAlignment="1">
      <alignment wrapText="1"/>
    </xf>
    <xf numFmtId="173" fontId="22" fillId="2" borderId="28" xfId="4" quotePrefix="1" applyNumberFormat="1" applyFont="1" applyFill="1" applyBorder="1" applyAlignment="1">
      <alignment horizontal="center" vertical="center"/>
    </xf>
    <xf numFmtId="173" fontId="14" fillId="2" borderId="28" xfId="4" applyNumberFormat="1" applyFont="1" applyFill="1" applyBorder="1" applyAlignment="1">
      <alignment horizontal="center" vertical="center"/>
    </xf>
    <xf numFmtId="173" fontId="14" fillId="2" borderId="29" xfId="4"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14" fillId="2" borderId="45" xfId="0" applyFont="1" applyFill="1" applyBorder="1" applyAlignment="1">
      <alignment horizontal="left" vertical="top" wrapText="1"/>
    </xf>
    <xf numFmtId="173" fontId="14" fillId="2" borderId="46" xfId="4" applyNumberFormat="1" applyFont="1" applyFill="1" applyBorder="1" applyAlignment="1"/>
    <xf numFmtId="173" fontId="14" fillId="2" borderId="28" xfId="4" applyNumberFormat="1" applyFont="1" applyFill="1" applyBorder="1" applyAlignment="1"/>
    <xf numFmtId="0" fontId="22" fillId="2" borderId="11" xfId="0" applyFont="1" applyFill="1" applyBorder="1" applyAlignment="1">
      <alignment wrapText="1"/>
    </xf>
    <xf numFmtId="173" fontId="22" fillId="2" borderId="28" xfId="4" applyNumberFormat="1" applyFont="1" applyFill="1" applyBorder="1" applyAlignment="1"/>
    <xf numFmtId="0" fontId="22" fillId="2" borderId="28" xfId="0" applyFont="1" applyFill="1" applyBorder="1" applyAlignment="1">
      <alignment wrapText="1"/>
    </xf>
    <xf numFmtId="0" fontId="22" fillId="2" borderId="26" xfId="0" applyFont="1" applyFill="1" applyBorder="1"/>
    <xf numFmtId="0" fontId="22" fillId="2" borderId="17" xfId="0" applyFont="1" applyFill="1" applyBorder="1"/>
    <xf numFmtId="0" fontId="15" fillId="3" borderId="2" xfId="0" applyFont="1" applyFill="1" applyBorder="1" applyAlignment="1">
      <alignment horizontal="left" wrapText="1"/>
    </xf>
    <xf numFmtId="0" fontId="14" fillId="3" borderId="37" xfId="0" applyFont="1" applyFill="1" applyBorder="1"/>
    <xf numFmtId="0" fontId="14" fillId="3" borderId="19" xfId="0" applyFont="1" applyFill="1" applyBorder="1"/>
    <xf numFmtId="0" fontId="14" fillId="2" borderId="11" xfId="0" applyFont="1" applyFill="1" applyBorder="1" applyAlignment="1">
      <alignment horizontal="left" wrapText="1"/>
    </xf>
    <xf numFmtId="173" fontId="14" fillId="2" borderId="28" xfId="4" applyNumberFormat="1" applyFont="1" applyFill="1" applyBorder="1" applyAlignment="1">
      <alignment horizontal="right"/>
    </xf>
    <xf numFmtId="168" fontId="14" fillId="2" borderId="28" xfId="1" applyNumberFormat="1" applyFont="1" applyFill="1" applyBorder="1" applyAlignment="1">
      <alignment horizontal="right" wrapText="1"/>
    </xf>
    <xf numFmtId="0" fontId="14" fillId="2" borderId="38" xfId="0" applyFont="1" applyFill="1" applyBorder="1"/>
    <xf numFmtId="0" fontId="14" fillId="2" borderId="30" xfId="0" applyFont="1" applyFill="1" applyBorder="1"/>
    <xf numFmtId="0" fontId="14" fillId="2" borderId="48" xfId="0" applyFont="1" applyFill="1" applyBorder="1" applyAlignment="1">
      <alignment wrapText="1"/>
    </xf>
    <xf numFmtId="0" fontId="14" fillId="2" borderId="33" xfId="0" applyFont="1" applyFill="1" applyBorder="1"/>
    <xf numFmtId="0" fontId="14" fillId="2" borderId="20" xfId="0" applyFont="1" applyFill="1" applyBorder="1"/>
    <xf numFmtId="168" fontId="15" fillId="2" borderId="29" xfId="0" applyNumberFormat="1" applyFont="1" applyFill="1" applyBorder="1" applyAlignment="1">
      <alignment horizontal="right" wrapText="1"/>
    </xf>
    <xf numFmtId="0" fontId="14" fillId="2" borderId="0" xfId="0" applyFont="1" applyFill="1"/>
    <xf numFmtId="0" fontId="14" fillId="0" borderId="18" xfId="0" applyFont="1" applyBorder="1"/>
    <xf numFmtId="0" fontId="14" fillId="0" borderId="22" xfId="0" applyFont="1" applyBorder="1"/>
    <xf numFmtId="0" fontId="14" fillId="5" borderId="0" xfId="0" applyFont="1" applyFill="1"/>
    <xf numFmtId="0" fontId="14" fillId="5" borderId="0" xfId="0" applyFont="1" applyFill="1" applyAlignment="1">
      <alignment vertical="top"/>
    </xf>
    <xf numFmtId="0" fontId="15" fillId="5" borderId="0" xfId="0" applyFont="1" applyFill="1"/>
    <xf numFmtId="0" fontId="22" fillId="5" borderId="0" xfId="0" applyFont="1" applyFill="1"/>
    <xf numFmtId="0" fontId="14" fillId="5" borderId="0" xfId="0" applyFont="1" applyFill="1" applyAlignment="1">
      <alignment wrapText="1"/>
    </xf>
    <xf numFmtId="173" fontId="14" fillId="2" borderId="28" xfId="4" applyNumberFormat="1" applyFont="1" applyFill="1" applyBorder="1"/>
    <xf numFmtId="0" fontId="14" fillId="0" borderId="10" xfId="19" applyFont="1" applyBorder="1" applyAlignment="1">
      <alignment vertical="center"/>
    </xf>
    <xf numFmtId="167" fontId="23" fillId="0" borderId="6" xfId="7" applyNumberFormat="1" applyFont="1" applyBorder="1" applyAlignment="1">
      <alignment horizontal="center" vertical="center"/>
    </xf>
    <xf numFmtId="2" fontId="22" fillId="0" borderId="6" xfId="7" applyNumberFormat="1" applyFont="1" applyBorder="1" applyAlignment="1">
      <alignment horizontal="center" vertical="center"/>
    </xf>
    <xf numFmtId="0" fontId="21" fillId="0" borderId="4" xfId="7" applyFont="1" applyBorder="1" applyAlignment="1">
      <alignment horizontal="center" vertical="center"/>
    </xf>
    <xf numFmtId="1" fontId="21" fillId="0" borderId="6" xfId="7" applyNumberFormat="1" applyFont="1" applyBorder="1" applyAlignment="1">
      <alignment horizontal="center"/>
    </xf>
    <xf numFmtId="1" fontId="22" fillId="0" borderId="50" xfId="7" applyNumberFormat="1" applyFont="1" applyBorder="1" applyAlignment="1">
      <alignment horizontal="center" vertical="center"/>
    </xf>
    <xf numFmtId="2" fontId="22" fillId="0" borderId="50" xfId="7" applyNumberFormat="1" applyFont="1" applyBorder="1" applyAlignment="1">
      <alignment horizontal="center" vertical="center"/>
    </xf>
    <xf numFmtId="1" fontId="22" fillId="5" borderId="0" xfId="7" applyNumberFormat="1" applyFont="1" applyFill="1" applyAlignment="1">
      <alignment horizontal="center" vertical="center"/>
    </xf>
    <xf numFmtId="0" fontId="18" fillId="0" borderId="11" xfId="7" applyFont="1" applyBorder="1" applyAlignment="1">
      <alignment horizontal="center" vertical="center"/>
    </xf>
    <xf numFmtId="0" fontId="18" fillId="0" borderId="12" xfId="7" applyFont="1" applyBorder="1" applyAlignment="1">
      <alignment horizontal="center" vertical="center"/>
    </xf>
    <xf numFmtId="0" fontId="18" fillId="0" borderId="13" xfId="7" applyFont="1" applyBorder="1" applyAlignment="1">
      <alignment horizontal="center" vertical="center"/>
    </xf>
    <xf numFmtId="0" fontId="22" fillId="0" borderId="12" xfId="7" applyFont="1" applyBorder="1" applyAlignment="1">
      <alignment horizontal="center" vertical="center"/>
    </xf>
    <xf numFmtId="0" fontId="22" fillId="0" borderId="13" xfId="7" applyFont="1" applyBorder="1" applyAlignment="1">
      <alignment horizontal="center" vertical="center"/>
    </xf>
    <xf numFmtId="1" fontId="16" fillId="0" borderId="11" xfId="7" applyNumberFormat="1" applyFont="1" applyBorder="1" applyAlignment="1">
      <alignment horizontal="center"/>
    </xf>
    <xf numFmtId="1" fontId="16" fillId="0" borderId="12" xfId="7" applyNumberFormat="1" applyFont="1" applyBorder="1" applyAlignment="1">
      <alignment horizontal="center"/>
    </xf>
    <xf numFmtId="1" fontId="16" fillId="0" borderId="13" xfId="7" applyNumberFormat="1" applyFont="1" applyBorder="1" applyAlignment="1">
      <alignment horizontal="center"/>
    </xf>
    <xf numFmtId="1" fontId="16" fillId="0" borderId="16" xfId="7" applyNumberFormat="1" applyFont="1" applyBorder="1" applyAlignment="1">
      <alignment horizontal="center"/>
    </xf>
    <xf numFmtId="8" fontId="22" fillId="0" borderId="0" xfId="7" applyNumberFormat="1" applyFont="1" applyAlignment="1">
      <alignment horizontal="center"/>
    </xf>
    <xf numFmtId="6" fontId="22" fillId="0" borderId="0" xfId="7" applyNumberFormat="1" applyFont="1" applyAlignment="1">
      <alignment horizontal="center"/>
    </xf>
    <xf numFmtId="1" fontId="17" fillId="0" borderId="4" xfId="7" applyNumberFormat="1" applyFont="1" applyBorder="1" applyAlignment="1">
      <alignment horizontal="center" vertical="center"/>
    </xf>
    <xf numFmtId="1" fontId="17" fillId="0" borderId="0" xfId="7" applyNumberFormat="1" applyFont="1" applyAlignment="1">
      <alignment horizontal="center" vertical="center"/>
    </xf>
    <xf numFmtId="1" fontId="17" fillId="0" borderId="6" xfId="7" applyNumberFormat="1" applyFont="1" applyBorder="1" applyAlignment="1">
      <alignment horizontal="center" vertical="center"/>
    </xf>
    <xf numFmtId="0" fontId="22" fillId="0" borderId="11" xfId="7" applyFont="1" applyBorder="1" applyAlignment="1">
      <alignment horizontal="center" vertical="center"/>
    </xf>
    <xf numFmtId="1" fontId="16" fillId="0" borderId="15" xfId="7" applyNumberFormat="1" applyFont="1" applyBorder="1" applyAlignment="1">
      <alignment horizontal="center"/>
    </xf>
    <xf numFmtId="0" fontId="22" fillId="0" borderId="21" xfId="7" applyFont="1" applyBorder="1"/>
    <xf numFmtId="0" fontId="14" fillId="0" borderId="21" xfId="19" applyFont="1" applyBorder="1"/>
    <xf numFmtId="0" fontId="14" fillId="0" borderId="21" xfId="0" applyFont="1" applyBorder="1"/>
    <xf numFmtId="1" fontId="16" fillId="0" borderId="45" xfId="7" applyNumberFormat="1" applyFont="1" applyBorder="1" applyAlignment="1">
      <alignment horizontal="center"/>
    </xf>
    <xf numFmtId="0" fontId="18" fillId="0" borderId="0" xfId="7" applyFont="1" applyAlignment="1">
      <alignment horizontal="center" vertical="center" wrapText="1"/>
    </xf>
    <xf numFmtId="0" fontId="18" fillId="0" borderId="6" xfId="7" applyFont="1" applyBorder="1" applyAlignment="1">
      <alignment horizontal="center" vertical="center" wrapText="1"/>
    </xf>
    <xf numFmtId="0" fontId="18" fillId="0" borderId="4" xfId="7" applyFont="1" applyBorder="1" applyAlignment="1">
      <alignment horizontal="center" vertical="center" wrapText="1"/>
    </xf>
    <xf numFmtId="0" fontId="17" fillId="0" borderId="21" xfId="7" applyFont="1" applyBorder="1"/>
    <xf numFmtId="0" fontId="14" fillId="5" borderId="0" xfId="19" applyFont="1" applyFill="1" applyAlignment="1">
      <alignment vertical="center"/>
    </xf>
    <xf numFmtId="0" fontId="22" fillId="5" borderId="0" xfId="7" applyFont="1" applyFill="1" applyAlignment="1">
      <alignment vertical="top"/>
    </xf>
    <xf numFmtId="1" fontId="16" fillId="5" borderId="0" xfId="7" applyNumberFormat="1" applyFont="1" applyFill="1" applyAlignment="1">
      <alignment horizontal="center"/>
    </xf>
    <xf numFmtId="0" fontId="18" fillId="5" borderId="0" xfId="7" applyFont="1" applyFill="1" applyAlignment="1">
      <alignment horizontal="center" vertical="center" wrapText="1"/>
    </xf>
    <xf numFmtId="0" fontId="18" fillId="5" borderId="0" xfId="7" applyFont="1" applyFill="1" applyAlignment="1">
      <alignment horizontal="center" vertical="center"/>
    </xf>
    <xf numFmtId="2" fontId="22" fillId="5" borderId="0" xfId="7" applyNumberFormat="1" applyFont="1" applyFill="1" applyAlignment="1">
      <alignment horizontal="center" vertical="center"/>
    </xf>
    <xf numFmtId="2" fontId="28" fillId="5" borderId="0" xfId="7" applyNumberFormat="1" applyFont="1" applyFill="1" applyAlignment="1">
      <alignment horizontal="center" vertical="center"/>
    </xf>
    <xf numFmtId="0" fontId="19" fillId="5" borderId="0" xfId="7" applyFont="1" applyFill="1" applyAlignment="1">
      <alignment horizontal="center"/>
    </xf>
    <xf numFmtId="1" fontId="17" fillId="5" borderId="0" xfId="7" applyNumberFormat="1" applyFont="1" applyFill="1" applyAlignment="1">
      <alignment horizontal="center"/>
    </xf>
    <xf numFmtId="0" fontId="22" fillId="5" borderId="0" xfId="7" applyFont="1" applyFill="1" applyAlignment="1">
      <alignment horizontal="center" vertical="center"/>
    </xf>
    <xf numFmtId="1" fontId="17" fillId="5" borderId="0" xfId="7" applyNumberFormat="1" applyFont="1" applyFill="1" applyAlignment="1">
      <alignment horizontal="center" vertical="center"/>
    </xf>
    <xf numFmtId="1" fontId="18" fillId="5" borderId="0" xfId="7" applyNumberFormat="1" applyFont="1" applyFill="1" applyAlignment="1">
      <alignment horizontal="center"/>
    </xf>
    <xf numFmtId="0" fontId="22" fillId="5" borderId="0" xfId="7" applyFont="1" applyFill="1" applyAlignment="1">
      <alignment vertical="center"/>
    </xf>
    <xf numFmtId="0" fontId="22" fillId="5" borderId="34" xfId="7" applyFont="1" applyFill="1" applyBorder="1"/>
    <xf numFmtId="0" fontId="16" fillId="5" borderId="0" xfId="7" applyFont="1" applyFill="1" applyAlignment="1">
      <alignment horizontal="center"/>
    </xf>
    <xf numFmtId="1" fontId="21" fillId="5" borderId="0" xfId="7" applyNumberFormat="1" applyFont="1" applyFill="1" applyAlignment="1">
      <alignment horizontal="center"/>
    </xf>
    <xf numFmtId="0" fontId="22" fillId="5" borderId="0" xfId="7" applyFont="1" applyFill="1"/>
    <xf numFmtId="0" fontId="14" fillId="5" borderId="0" xfId="19" applyFont="1" applyFill="1"/>
    <xf numFmtId="0" fontId="37" fillId="5" borderId="0" xfId="7" applyFont="1" applyFill="1"/>
    <xf numFmtId="0" fontId="22" fillId="5" borderId="0" xfId="7" applyFont="1" applyFill="1" applyAlignment="1">
      <alignment horizontal="right"/>
    </xf>
    <xf numFmtId="0" fontId="18" fillId="5" borderId="0" xfId="7" applyFont="1" applyFill="1" applyAlignment="1">
      <alignment horizontal="center"/>
    </xf>
    <xf numFmtId="0" fontId="21" fillId="5" borderId="43" xfId="7" applyFont="1" applyFill="1" applyBorder="1" applyAlignment="1">
      <alignment horizontal="center" vertical="center" wrapText="1"/>
    </xf>
    <xf numFmtId="169" fontId="22" fillId="5" borderId="17" xfId="7" applyNumberFormat="1" applyFont="1" applyFill="1" applyBorder="1" applyAlignment="1">
      <alignment horizontal="center"/>
    </xf>
    <xf numFmtId="6" fontId="18" fillId="5" borderId="17" xfId="7" applyNumberFormat="1" applyFont="1" applyFill="1" applyBorder="1" applyAlignment="1">
      <alignment horizontal="center"/>
    </xf>
    <xf numFmtId="9" fontId="22" fillId="5" borderId="17" xfId="7" applyNumberFormat="1" applyFont="1" applyFill="1" applyBorder="1" applyAlignment="1">
      <alignment horizontal="center"/>
    </xf>
    <xf numFmtId="6" fontId="22" fillId="5" borderId="0" xfId="7" applyNumberFormat="1" applyFont="1" applyFill="1"/>
    <xf numFmtId="0" fontId="14" fillId="5" borderId="21" xfId="0" applyFont="1" applyFill="1" applyBorder="1"/>
    <xf numFmtId="0" fontId="14" fillId="0" borderId="0" xfId="19" applyFont="1" applyAlignment="1">
      <alignment horizontal="left"/>
    </xf>
    <xf numFmtId="1" fontId="14" fillId="0" borderId="0" xfId="19" applyNumberFormat="1" applyFont="1" applyAlignment="1">
      <alignment horizontal="center"/>
    </xf>
    <xf numFmtId="2" fontId="14" fillId="0" borderId="0" xfId="19" applyNumberFormat="1" applyFont="1" applyAlignment="1">
      <alignment horizontal="center"/>
    </xf>
    <xf numFmtId="167" fontId="22" fillId="0" borderId="6" xfId="19" applyNumberFormat="1" applyFont="1" applyBorder="1" applyAlignment="1">
      <alignment horizontal="center"/>
    </xf>
    <xf numFmtId="1" fontId="15" fillId="0" borderId="0" xfId="19" applyNumberFormat="1" applyFont="1" applyAlignment="1">
      <alignment horizontal="center"/>
    </xf>
    <xf numFmtId="2" fontId="14" fillId="0" borderId="0" xfId="19" applyNumberFormat="1" applyFont="1"/>
    <xf numFmtId="0" fontId="14" fillId="0" borderId="53" xfId="19" applyFont="1" applyBorder="1"/>
    <xf numFmtId="0" fontId="15" fillId="0" borderId="39" xfId="19" applyFont="1" applyBorder="1" applyAlignment="1">
      <alignment horizontal="left"/>
    </xf>
    <xf numFmtId="9" fontId="15" fillId="0" borderId="39" xfId="19" applyNumberFormat="1" applyFont="1" applyBorder="1" applyAlignment="1">
      <alignment horizontal="center"/>
    </xf>
    <xf numFmtId="167" fontId="15" fillId="0" borderId="39" xfId="19" applyNumberFormat="1" applyFont="1" applyBorder="1" applyAlignment="1">
      <alignment horizontal="center"/>
    </xf>
    <xf numFmtId="167" fontId="15" fillId="0" borderId="54" xfId="19" applyNumberFormat="1" applyFont="1" applyBorder="1" applyAlignment="1">
      <alignment horizontal="center"/>
    </xf>
    <xf numFmtId="0" fontId="15" fillId="6" borderId="53" xfId="19" applyFont="1" applyFill="1" applyBorder="1" applyAlignment="1">
      <alignment vertical="center"/>
    </xf>
    <xf numFmtId="0" fontId="27" fillId="6" borderId="39" xfId="19" applyFont="1" applyFill="1" applyBorder="1" applyAlignment="1">
      <alignment horizontal="left"/>
    </xf>
    <xf numFmtId="0" fontId="15" fillId="6" borderId="39" xfId="19" applyFont="1" applyFill="1" applyBorder="1" applyAlignment="1">
      <alignment horizontal="center" vertical="center" wrapText="1"/>
    </xf>
    <xf numFmtId="0" fontId="15" fillId="6" borderId="54" xfId="19" applyFont="1" applyFill="1" applyBorder="1" applyAlignment="1">
      <alignment horizontal="center" vertical="center" wrapText="1"/>
    </xf>
    <xf numFmtId="0" fontId="14" fillId="6" borderId="39" xfId="19" applyFont="1" applyFill="1" applyBorder="1" applyAlignment="1">
      <alignment horizontal="left"/>
    </xf>
    <xf numFmtId="0" fontId="14" fillId="0" borderId="40" xfId="19" applyFont="1" applyBorder="1" applyAlignment="1">
      <alignment horizontal="left"/>
    </xf>
    <xf numFmtId="1" fontId="14" fillId="0" borderId="40" xfId="19" applyNumberFormat="1" applyFont="1" applyBorder="1" applyAlignment="1">
      <alignment horizontal="center"/>
    </xf>
    <xf numFmtId="167" fontId="14" fillId="0" borderId="40" xfId="19" applyNumberFormat="1" applyFont="1" applyBorder="1" applyAlignment="1">
      <alignment horizontal="center"/>
    </xf>
    <xf numFmtId="167" fontId="22" fillId="0" borderId="9" xfId="19" applyNumberFormat="1" applyFont="1" applyBorder="1" applyAlignment="1">
      <alignment horizontal="center"/>
    </xf>
    <xf numFmtId="0" fontId="14" fillId="0" borderId="4" xfId="19" applyFont="1" applyBorder="1" applyAlignment="1">
      <alignment vertical="center"/>
    </xf>
    <xf numFmtId="167" fontId="14" fillId="0" borderId="0" xfId="19" applyNumberFormat="1" applyFont="1" applyAlignment="1">
      <alignment horizontal="center"/>
    </xf>
    <xf numFmtId="0" fontId="14" fillId="0" borderId="0" xfId="19" applyFont="1" applyAlignment="1">
      <alignment horizontal="left" vertical="center" wrapText="1"/>
    </xf>
    <xf numFmtId="1" fontId="14" fillId="0" borderId="0" xfId="19" applyNumberFormat="1" applyFont="1" applyAlignment="1">
      <alignment horizontal="center" vertical="center"/>
    </xf>
    <xf numFmtId="167" fontId="14" fillId="0" borderId="0" xfId="19" applyNumberFormat="1" applyFont="1" applyAlignment="1">
      <alignment horizontal="center" vertical="center"/>
    </xf>
    <xf numFmtId="167" fontId="22" fillId="0" borderId="6" xfId="19" applyNumberFormat="1" applyFont="1" applyBorder="1" applyAlignment="1">
      <alignment horizontal="center" vertical="center"/>
    </xf>
    <xf numFmtId="0" fontId="15" fillId="0" borderId="4" xfId="19" applyFont="1" applyBorder="1" applyAlignment="1">
      <alignment vertical="center"/>
    </xf>
    <xf numFmtId="0" fontId="15" fillId="0" borderId="57" xfId="19" applyFont="1" applyBorder="1" applyAlignment="1">
      <alignment vertical="center"/>
    </xf>
    <xf numFmtId="0" fontId="15" fillId="0" borderId="53" xfId="19" applyFont="1" applyBorder="1" applyAlignment="1">
      <alignment vertical="center"/>
    </xf>
    <xf numFmtId="167" fontId="14" fillId="0" borderId="6" xfId="19" applyNumberFormat="1" applyFont="1" applyBorder="1" applyAlignment="1">
      <alignment horizontal="center"/>
    </xf>
    <xf numFmtId="167" fontId="14" fillId="0" borderId="9" xfId="19" applyNumberFormat="1" applyFont="1" applyBorder="1" applyAlignment="1">
      <alignment horizontal="center"/>
    </xf>
    <xf numFmtId="0" fontId="14" fillId="0" borderId="41" xfId="19" applyFont="1" applyBorder="1" applyAlignment="1">
      <alignment horizontal="left"/>
    </xf>
    <xf numFmtId="0" fontId="14" fillId="0" borderId="41" xfId="19" applyFont="1" applyBorder="1"/>
    <xf numFmtId="0" fontId="14" fillId="0" borderId="58" xfId="19" applyFont="1" applyBorder="1"/>
    <xf numFmtId="0" fontId="14" fillId="0" borderId="57" xfId="19" applyFont="1" applyBorder="1" applyAlignment="1">
      <alignment vertical="center"/>
    </xf>
    <xf numFmtId="9" fontId="22" fillId="0" borderId="41" xfId="19" applyNumberFormat="1" applyFont="1" applyBorder="1" applyAlignment="1">
      <alignment horizontal="center"/>
    </xf>
    <xf numFmtId="1" fontId="14" fillId="0" borderId="41" xfId="19" applyNumberFormat="1" applyFont="1" applyBorder="1" applyAlignment="1">
      <alignment horizontal="center"/>
    </xf>
    <xf numFmtId="1" fontId="14" fillId="0" borderId="58" xfId="19" applyNumberFormat="1" applyFont="1" applyBorder="1" applyAlignment="1">
      <alignment horizontal="center"/>
    </xf>
    <xf numFmtId="1" fontId="15" fillId="0" borderId="39" xfId="19" applyNumberFormat="1" applyFont="1" applyBorder="1" applyAlignment="1">
      <alignment horizontal="center"/>
    </xf>
    <xf numFmtId="0" fontId="14" fillId="5" borderId="0" xfId="0" applyFont="1" applyFill="1" applyAlignment="1">
      <alignment vertical="center"/>
    </xf>
    <xf numFmtId="0" fontId="27" fillId="5" borderId="0" xfId="19" applyFont="1" applyFill="1" applyAlignment="1">
      <alignment horizontal="left"/>
    </xf>
    <xf numFmtId="1" fontId="15" fillId="5" borderId="0" xfId="19" applyNumberFormat="1" applyFont="1" applyFill="1" applyAlignment="1">
      <alignment horizontal="center"/>
    </xf>
    <xf numFmtId="2" fontId="15" fillId="5" borderId="0" xfId="19" applyNumberFormat="1" applyFont="1" applyFill="1" applyAlignment="1">
      <alignment horizontal="center"/>
    </xf>
    <xf numFmtId="0" fontId="15" fillId="5" borderId="0" xfId="19" applyFont="1" applyFill="1" applyAlignment="1">
      <alignment vertical="center"/>
    </xf>
    <xf numFmtId="0" fontId="15" fillId="5" borderId="0" xfId="19" applyFont="1" applyFill="1" applyAlignment="1">
      <alignment horizontal="left"/>
    </xf>
    <xf numFmtId="0" fontId="25" fillId="5" borderId="0" xfId="0" applyFont="1" applyFill="1"/>
    <xf numFmtId="0" fontId="25" fillId="5" borderId="0" xfId="0" applyFont="1" applyFill="1" applyAlignment="1">
      <alignment vertical="center"/>
    </xf>
    <xf numFmtId="0" fontId="27" fillId="0" borderId="21" xfId="19" applyFont="1" applyBorder="1" applyAlignment="1">
      <alignment horizontal="left"/>
    </xf>
    <xf numFmtId="0" fontId="15" fillId="0" borderId="21" xfId="0" applyFont="1" applyBorder="1" applyAlignment="1">
      <alignment vertical="center"/>
    </xf>
    <xf numFmtId="0" fontId="14" fillId="0" borderId="21" xfId="0" applyFont="1" applyBorder="1" applyAlignment="1">
      <alignment vertical="center"/>
    </xf>
    <xf numFmtId="1" fontId="16" fillId="0" borderId="7" xfId="7" applyNumberFormat="1" applyFont="1" applyBorder="1" applyAlignment="1">
      <alignment horizontal="center"/>
    </xf>
    <xf numFmtId="1" fontId="16" fillId="0" borderId="55" xfId="7" applyNumberFormat="1" applyFont="1" applyBorder="1" applyAlignment="1">
      <alignment horizontal="center"/>
    </xf>
    <xf numFmtId="0" fontId="18" fillId="0" borderId="50" xfId="7" applyFont="1" applyBorder="1" applyAlignment="1">
      <alignment horizontal="center" vertical="center" wrapText="1"/>
    </xf>
    <xf numFmtId="0" fontId="18" fillId="0" borderId="50" xfId="7" applyFont="1" applyBorder="1" applyAlignment="1">
      <alignment horizontal="center" vertical="center"/>
    </xf>
    <xf numFmtId="0" fontId="19" fillId="0" borderId="50" xfId="7" applyFont="1" applyBorder="1" applyAlignment="1">
      <alignment horizontal="center"/>
    </xf>
    <xf numFmtId="1" fontId="22" fillId="0" borderId="32" xfId="7" applyNumberFormat="1" applyFont="1" applyBorder="1" applyAlignment="1">
      <alignment horizontal="center" vertical="center"/>
    </xf>
    <xf numFmtId="0" fontId="22" fillId="0" borderId="50" xfId="7" applyFont="1" applyBorder="1" applyAlignment="1">
      <alignment vertical="center"/>
    </xf>
    <xf numFmtId="0" fontId="22" fillId="0" borderId="16" xfId="7" applyFont="1" applyBorder="1" applyAlignment="1">
      <alignment horizontal="center" vertical="center"/>
    </xf>
    <xf numFmtId="0" fontId="22" fillId="0" borderId="50" xfId="7" applyFont="1" applyBorder="1" applyAlignment="1">
      <alignment horizontal="center" vertical="center"/>
    </xf>
    <xf numFmtId="2" fontId="28" fillId="0" borderId="50" xfId="7" applyNumberFormat="1" applyFont="1" applyBorder="1" applyAlignment="1">
      <alignment horizontal="center" vertical="center"/>
    </xf>
    <xf numFmtId="1" fontId="21" fillId="0" borderId="50" xfId="7" applyNumberFormat="1" applyFont="1" applyBorder="1" applyAlignment="1">
      <alignment horizontal="center"/>
    </xf>
    <xf numFmtId="1" fontId="17" fillId="0" borderId="50" xfId="7" applyNumberFormat="1" applyFont="1" applyBorder="1" applyAlignment="1">
      <alignment horizontal="center" vertical="center"/>
    </xf>
    <xf numFmtId="0" fontId="21" fillId="0" borderId="50" xfId="7" applyFont="1" applyBorder="1" applyAlignment="1">
      <alignment horizontal="center" vertical="center"/>
    </xf>
    <xf numFmtId="0" fontId="28" fillId="0" borderId="50" xfId="7" applyFont="1" applyBorder="1" applyAlignment="1">
      <alignment horizontal="center" vertical="center"/>
    </xf>
    <xf numFmtId="1" fontId="29" fillId="0" borderId="50" xfId="7" applyNumberFormat="1" applyFont="1" applyBorder="1" applyAlignment="1">
      <alignment horizontal="center"/>
    </xf>
    <xf numFmtId="1" fontId="18" fillId="0" borderId="50" xfId="7" applyNumberFormat="1" applyFont="1" applyBorder="1" applyAlignment="1">
      <alignment horizontal="center" vertical="center"/>
    </xf>
    <xf numFmtId="1" fontId="22" fillId="0" borderId="16" xfId="7" applyNumberFormat="1" applyFont="1" applyBorder="1" applyAlignment="1">
      <alignment horizontal="center" vertical="center"/>
    </xf>
    <xf numFmtId="1" fontId="32" fillId="0" borderId="50" xfId="7" applyNumberFormat="1" applyFont="1" applyBorder="1" applyAlignment="1">
      <alignment horizontal="center" vertical="center"/>
    </xf>
    <xf numFmtId="1" fontId="17" fillId="0" borderId="50" xfId="7" applyNumberFormat="1" applyFont="1" applyBorder="1" applyAlignment="1">
      <alignment horizontal="center"/>
    </xf>
    <xf numFmtId="1" fontId="18" fillId="0" borderId="50" xfId="7" applyNumberFormat="1" applyFont="1" applyBorder="1" applyAlignment="1">
      <alignment horizontal="center"/>
    </xf>
    <xf numFmtId="0" fontId="22" fillId="5" borderId="0" xfId="7" applyFont="1" applyFill="1" applyAlignment="1">
      <alignment vertical="top" wrapText="1"/>
    </xf>
    <xf numFmtId="0" fontId="16" fillId="5" borderId="34" xfId="7" applyFont="1" applyFill="1" applyBorder="1" applyAlignment="1">
      <alignment horizontal="center"/>
    </xf>
    <xf numFmtId="1" fontId="22" fillId="5" borderId="34" xfId="7" applyNumberFormat="1" applyFont="1" applyFill="1" applyBorder="1" applyAlignment="1">
      <alignment horizontal="center" vertical="center"/>
    </xf>
    <xf numFmtId="1" fontId="22" fillId="0" borderId="48" xfId="7" applyNumberFormat="1" applyFont="1" applyBorder="1" applyAlignment="1">
      <alignment horizontal="center" vertical="center"/>
    </xf>
    <xf numFmtId="0" fontId="14" fillId="5" borderId="17" xfId="19" applyFont="1" applyFill="1" applyBorder="1"/>
    <xf numFmtId="0" fontId="22" fillId="5" borderId="17" xfId="7" applyFont="1" applyFill="1" applyBorder="1" applyAlignment="1">
      <alignment horizontal="center"/>
    </xf>
    <xf numFmtId="0" fontId="22" fillId="5" borderId="17" xfId="7" applyFont="1" applyFill="1" applyBorder="1" applyAlignment="1">
      <alignment horizontal="right"/>
    </xf>
    <xf numFmtId="0" fontId="18" fillId="5" borderId="17" xfId="7" applyFont="1" applyFill="1" applyBorder="1" applyAlignment="1">
      <alignment horizontal="center"/>
    </xf>
    <xf numFmtId="0" fontId="22" fillId="5" borderId="46" xfId="7" applyFont="1" applyFill="1" applyBorder="1" applyAlignment="1">
      <alignment wrapText="1"/>
    </xf>
    <xf numFmtId="0" fontId="21" fillId="5" borderId="47" xfId="7" applyFont="1" applyFill="1" applyBorder="1" applyAlignment="1">
      <alignment vertical="center"/>
    </xf>
    <xf numFmtId="0" fontId="22" fillId="5" borderId="28" xfId="7" applyFont="1" applyFill="1" applyBorder="1"/>
    <xf numFmtId="8" fontId="22" fillId="5" borderId="25" xfId="7" applyNumberFormat="1" applyFont="1" applyFill="1" applyBorder="1" applyAlignment="1">
      <alignment horizontal="center"/>
    </xf>
    <xf numFmtId="0" fontId="22" fillId="5" borderId="29" xfId="7" applyFont="1" applyFill="1" applyBorder="1"/>
    <xf numFmtId="9" fontId="22" fillId="5" borderId="30" xfId="7" applyNumberFormat="1" applyFont="1" applyFill="1" applyBorder="1" applyAlignment="1">
      <alignment horizontal="center"/>
    </xf>
    <xf numFmtId="6" fontId="18" fillId="5" borderId="30" xfId="7" applyNumberFormat="1" applyFont="1" applyFill="1" applyBorder="1" applyAlignment="1">
      <alignment horizontal="center"/>
    </xf>
    <xf numFmtId="8" fontId="22" fillId="5" borderId="31" xfId="7" applyNumberFormat="1" applyFont="1" applyFill="1" applyBorder="1" applyAlignment="1">
      <alignment horizontal="center"/>
    </xf>
    <xf numFmtId="0" fontId="22" fillId="5" borderId="28" xfId="7" applyFont="1" applyFill="1" applyBorder="1" applyAlignment="1">
      <alignment vertical="center"/>
    </xf>
    <xf numFmtId="0" fontId="22" fillId="5" borderId="25" xfId="7" applyFont="1" applyFill="1" applyBorder="1" applyAlignment="1">
      <alignment horizontal="center"/>
    </xf>
    <xf numFmtId="0" fontId="18" fillId="5" borderId="25" xfId="7" applyFont="1" applyFill="1" applyBorder="1" applyAlignment="1">
      <alignment horizontal="center"/>
    </xf>
    <xf numFmtId="0" fontId="22" fillId="5" borderId="30" xfId="7" applyFont="1" applyFill="1" applyBorder="1" applyAlignment="1">
      <alignment horizontal="right"/>
    </xf>
    <xf numFmtId="0" fontId="18" fillId="5" borderId="30" xfId="7" applyFont="1" applyFill="1" applyBorder="1" applyAlignment="1">
      <alignment horizontal="center"/>
    </xf>
    <xf numFmtId="0" fontId="18" fillId="5" borderId="31" xfId="7" applyFont="1" applyFill="1" applyBorder="1" applyAlignment="1">
      <alignment horizontal="center"/>
    </xf>
    <xf numFmtId="167" fontId="22" fillId="0" borderId="0" xfId="7" applyNumberFormat="1" applyFont="1"/>
    <xf numFmtId="0" fontId="14" fillId="0" borderId="0" xfId="19" applyFont="1" applyAlignment="1">
      <alignment horizontal="center" vertical="center"/>
    </xf>
    <xf numFmtId="0" fontId="14" fillId="0" borderId="6" xfId="19" applyFont="1" applyBorder="1" applyAlignment="1">
      <alignment horizontal="center" vertical="center"/>
    </xf>
    <xf numFmtId="0" fontId="14" fillId="0" borderId="55" xfId="19" applyFont="1" applyBorder="1" applyAlignment="1">
      <alignment horizontal="center"/>
    </xf>
    <xf numFmtId="0" fontId="15" fillId="6" borderId="59" xfId="19" applyFont="1" applyFill="1" applyBorder="1" applyAlignment="1">
      <alignment vertical="center"/>
    </xf>
    <xf numFmtId="0" fontId="14" fillId="6" borderId="50" xfId="19" applyFont="1" applyFill="1" applyBorder="1"/>
    <xf numFmtId="0" fontId="14" fillId="6" borderId="15" xfId="19" applyFont="1" applyFill="1" applyBorder="1"/>
    <xf numFmtId="0" fontId="14" fillId="6" borderId="50" xfId="19" applyFont="1" applyFill="1" applyBorder="1" applyAlignment="1">
      <alignment vertical="center"/>
    </xf>
    <xf numFmtId="0" fontId="15" fillId="6" borderId="32" xfId="19" applyFont="1" applyFill="1" applyBorder="1"/>
    <xf numFmtId="0" fontId="14" fillId="6" borderId="10" xfId="19" applyFont="1" applyFill="1" applyBorder="1" applyAlignment="1">
      <alignment vertical="center"/>
    </xf>
    <xf numFmtId="0" fontId="14" fillId="6" borderId="60" xfId="19" applyFont="1" applyFill="1" applyBorder="1" applyAlignment="1">
      <alignment vertical="center"/>
    </xf>
    <xf numFmtId="0" fontId="14" fillId="6" borderId="46" xfId="19" applyFont="1" applyFill="1" applyBorder="1" applyAlignment="1">
      <alignment vertical="top"/>
    </xf>
    <xf numFmtId="0" fontId="21" fillId="6" borderId="47" xfId="7" applyFont="1" applyFill="1" applyBorder="1" applyAlignment="1">
      <alignment vertical="top"/>
    </xf>
    <xf numFmtId="0" fontId="15" fillId="6" borderId="48" xfId="7" applyFont="1" applyFill="1" applyBorder="1" applyAlignment="1">
      <alignment horizontal="left"/>
    </xf>
    <xf numFmtId="0" fontId="16" fillId="6" borderId="24" xfId="7" applyFont="1" applyFill="1" applyBorder="1" applyAlignment="1">
      <alignment horizontal="left"/>
    </xf>
    <xf numFmtId="0" fontId="15" fillId="6" borderId="11" xfId="7" applyFont="1" applyFill="1" applyBorder="1" applyAlignment="1">
      <alignment horizontal="left"/>
    </xf>
    <xf numFmtId="0" fontId="16" fillId="6" borderId="25" xfId="7" applyFont="1" applyFill="1" applyBorder="1" applyAlignment="1">
      <alignment horizontal="left"/>
    </xf>
    <xf numFmtId="0" fontId="15" fillId="6" borderId="46" xfId="7" applyFont="1" applyFill="1" applyBorder="1" applyAlignment="1">
      <alignment horizontal="left"/>
    </xf>
    <xf numFmtId="0" fontId="16" fillId="6" borderId="55" xfId="7" applyFont="1" applyFill="1" applyBorder="1" applyAlignment="1">
      <alignment horizontal="left"/>
    </xf>
    <xf numFmtId="0" fontId="22" fillId="6" borderId="4" xfId="7" applyFont="1" applyFill="1" applyBorder="1" applyAlignment="1">
      <alignment horizontal="left" vertical="center" wrapText="1"/>
    </xf>
    <xf numFmtId="0" fontId="22" fillId="6" borderId="22" xfId="7" applyFont="1" applyFill="1" applyBorder="1" applyAlignment="1">
      <alignment horizontal="left" wrapText="1"/>
    </xf>
    <xf numFmtId="0" fontId="22" fillId="6" borderId="4" xfId="7" applyFont="1" applyFill="1" applyBorder="1" applyAlignment="1">
      <alignment horizontal="left" vertical="center"/>
    </xf>
    <xf numFmtId="0" fontId="22" fillId="6" borderId="22" xfId="7" applyFont="1" applyFill="1" applyBorder="1" applyAlignment="1">
      <alignment horizontal="left"/>
    </xf>
    <xf numFmtId="0" fontId="22" fillId="6" borderId="36" xfId="7" applyFont="1" applyFill="1" applyBorder="1" applyAlignment="1">
      <alignment horizontal="left" vertical="center"/>
    </xf>
    <xf numFmtId="0" fontId="22" fillId="6" borderId="6" xfId="7" applyFont="1" applyFill="1" applyBorder="1" applyAlignment="1">
      <alignment horizontal="left"/>
    </xf>
    <xf numFmtId="0" fontId="22" fillId="6" borderId="4" xfId="7" applyFont="1" applyFill="1" applyBorder="1" applyAlignment="1">
      <alignment horizontal="left"/>
    </xf>
    <xf numFmtId="0" fontId="22" fillId="6" borderId="36" xfId="7" applyFont="1" applyFill="1" applyBorder="1" applyAlignment="1">
      <alignment horizontal="left"/>
    </xf>
    <xf numFmtId="0" fontId="17" fillId="6" borderId="4" xfId="7" applyFont="1" applyFill="1" applyBorder="1" applyAlignment="1">
      <alignment horizontal="left" vertical="center"/>
    </xf>
    <xf numFmtId="0" fontId="17" fillId="6" borderId="22" xfId="7" applyFont="1" applyFill="1" applyBorder="1" applyAlignment="1">
      <alignment horizontal="left"/>
    </xf>
    <xf numFmtId="0" fontId="17" fillId="6" borderId="36" xfId="7" applyFont="1" applyFill="1" applyBorder="1" applyAlignment="1">
      <alignment horizontal="left" vertical="center"/>
    </xf>
    <xf numFmtId="0" fontId="22" fillId="6" borderId="36" xfId="7" applyFont="1" applyFill="1" applyBorder="1" applyAlignment="1">
      <alignment vertical="center"/>
    </xf>
    <xf numFmtId="0" fontId="17" fillId="6" borderId="6" xfId="7" applyFont="1" applyFill="1" applyBorder="1" applyAlignment="1">
      <alignment horizontal="left"/>
    </xf>
    <xf numFmtId="0" fontId="21" fillId="6" borderId="28" xfId="7" applyFont="1" applyFill="1" applyBorder="1" applyAlignment="1">
      <alignment vertical="center"/>
    </xf>
    <xf numFmtId="0" fontId="22" fillId="6" borderId="13" xfId="7" applyFont="1" applyFill="1" applyBorder="1" applyAlignment="1">
      <alignment horizontal="left"/>
    </xf>
    <xf numFmtId="0" fontId="22" fillId="6" borderId="36" xfId="7" applyFont="1" applyFill="1" applyBorder="1"/>
    <xf numFmtId="0" fontId="21" fillId="6" borderId="29" xfId="7" applyFont="1" applyFill="1" applyBorder="1" applyAlignment="1">
      <alignment vertical="center"/>
    </xf>
    <xf numFmtId="1" fontId="17" fillId="6" borderId="52" xfId="7" applyNumberFormat="1" applyFont="1" applyFill="1" applyBorder="1" applyAlignment="1">
      <alignment horizontal="left"/>
    </xf>
    <xf numFmtId="0" fontId="21" fillId="6" borderId="14" xfId="7" applyFont="1" applyFill="1" applyBorder="1" applyAlignment="1">
      <alignment vertical="center" wrapText="1"/>
    </xf>
    <xf numFmtId="0" fontId="21" fillId="6" borderId="14" xfId="7" applyFont="1" applyFill="1" applyBorder="1" applyAlignment="1">
      <alignment horizontal="center" vertical="center"/>
    </xf>
    <xf numFmtId="0" fontId="16" fillId="6" borderId="48" xfId="7" applyFont="1" applyFill="1" applyBorder="1" applyAlignment="1">
      <alignment horizontal="center"/>
    </xf>
    <xf numFmtId="0" fontId="16" fillId="6" borderId="5" xfId="7" applyFont="1" applyFill="1" applyBorder="1" applyAlignment="1">
      <alignment horizontal="center"/>
    </xf>
    <xf numFmtId="0" fontId="16" fillId="6" borderId="56" xfId="7" applyFont="1" applyFill="1" applyBorder="1" applyAlignment="1">
      <alignment horizontal="center"/>
    </xf>
    <xf numFmtId="0" fontId="16" fillId="6" borderId="49" xfId="7" applyFont="1" applyFill="1" applyBorder="1" applyAlignment="1">
      <alignment horizontal="center"/>
    </xf>
    <xf numFmtId="0" fontId="21" fillId="6" borderId="55" xfId="7" applyFont="1" applyFill="1" applyBorder="1" applyAlignment="1">
      <alignment vertical="center" wrapText="1"/>
    </xf>
    <xf numFmtId="0" fontId="16" fillId="6" borderId="4" xfId="7" applyFont="1" applyFill="1" applyBorder="1" applyAlignment="1">
      <alignment horizontal="center"/>
    </xf>
    <xf numFmtId="0" fontId="16" fillId="6" borderId="6" xfId="7" applyFont="1" applyFill="1" applyBorder="1" applyAlignment="1">
      <alignment horizontal="center"/>
    </xf>
    <xf numFmtId="0" fontId="16" fillId="6" borderId="50" xfId="7" applyFont="1" applyFill="1" applyBorder="1" applyAlignment="1">
      <alignment horizontal="center"/>
    </xf>
    <xf numFmtId="1" fontId="21" fillId="0" borderId="16" xfId="7" applyNumberFormat="1" applyFont="1" applyBorder="1" applyAlignment="1">
      <alignment horizontal="center" vertical="distributed" wrapText="1"/>
    </xf>
    <xf numFmtId="1" fontId="21" fillId="0" borderId="57" xfId="7" applyNumberFormat="1" applyFont="1" applyBorder="1" applyAlignment="1">
      <alignment horizontal="center" vertical="distributed" wrapText="1"/>
    </xf>
    <xf numFmtId="1" fontId="21" fillId="0" borderId="58" xfId="7" applyNumberFormat="1" applyFont="1" applyBorder="1" applyAlignment="1">
      <alignment horizontal="center" vertical="distributed" wrapText="1"/>
    </xf>
    <xf numFmtId="0" fontId="24" fillId="4" borderId="10" xfId="19" applyFont="1" applyFill="1" applyBorder="1" applyAlignment="1">
      <alignment horizontal="center" vertical="center" wrapText="1"/>
    </xf>
    <xf numFmtId="0" fontId="24" fillId="4" borderId="40" xfId="19" applyFont="1" applyFill="1" applyBorder="1" applyAlignment="1">
      <alignment horizontal="center" vertical="center" wrapText="1"/>
    </xf>
    <xf numFmtId="0" fontId="24" fillId="4" borderId="9" xfId="19" applyFont="1" applyFill="1" applyBorder="1" applyAlignment="1">
      <alignment horizontal="center" vertical="center" wrapText="1"/>
    </xf>
    <xf numFmtId="0" fontId="22" fillId="0" borderId="10" xfId="19" applyFont="1" applyBorder="1"/>
    <xf numFmtId="0" fontId="22" fillId="0" borderId="9" xfId="19" applyFont="1" applyBorder="1" applyAlignment="1">
      <alignment horizontal="center"/>
    </xf>
    <xf numFmtId="1" fontId="22" fillId="0" borderId="10" xfId="19" applyNumberFormat="1" applyFont="1" applyBorder="1" applyAlignment="1">
      <alignment horizontal="center" vertical="center" wrapText="1"/>
    </xf>
    <xf numFmtId="1" fontId="22" fillId="0" borderId="40" xfId="19" applyNumberFormat="1" applyFont="1" applyBorder="1" applyAlignment="1">
      <alignment horizontal="center" vertical="center" wrapText="1"/>
    </xf>
    <xf numFmtId="1" fontId="22" fillId="0" borderId="9" xfId="19" applyNumberFormat="1" applyFont="1" applyBorder="1" applyAlignment="1">
      <alignment horizontal="center" vertical="center" wrapText="1"/>
    </xf>
    <xf numFmtId="2" fontId="22" fillId="0" borderId="58" xfId="7" applyNumberFormat="1" applyFont="1" applyBorder="1" applyAlignment="1">
      <alignment horizontal="center"/>
    </xf>
    <xf numFmtId="2" fontId="22" fillId="0" borderId="57" xfId="7" applyNumberFormat="1" applyFont="1" applyBorder="1" applyAlignment="1">
      <alignment horizontal="center"/>
    </xf>
    <xf numFmtId="2" fontId="22" fillId="0" borderId="41" xfId="7" applyNumberFormat="1" applyFont="1" applyBorder="1" applyAlignment="1">
      <alignment horizontal="center"/>
    </xf>
    <xf numFmtId="0" fontId="21" fillId="0" borderId="10" xfId="7" applyFont="1" applyBorder="1"/>
    <xf numFmtId="0" fontId="21" fillId="0" borderId="9" xfId="7" applyFont="1" applyBorder="1" applyAlignment="1">
      <alignment horizontal="center" vertical="center" wrapText="1"/>
    </xf>
    <xf numFmtId="0" fontId="21" fillId="0" borderId="10" xfId="7" applyFont="1" applyBorder="1" applyAlignment="1">
      <alignment horizontal="center" vertical="center" wrapText="1"/>
    </xf>
    <xf numFmtId="0" fontId="22" fillId="0" borderId="40" xfId="19" applyFont="1" applyBorder="1"/>
    <xf numFmtId="0" fontId="22" fillId="0" borderId="40" xfId="7" applyFont="1" applyBorder="1" applyAlignment="1">
      <alignment horizontal="center" vertical="center" wrapText="1"/>
    </xf>
    <xf numFmtId="0" fontId="22" fillId="0" borderId="9" xfId="7" applyFont="1" applyBorder="1" applyAlignment="1">
      <alignment horizontal="center" vertical="center" wrapText="1"/>
    </xf>
    <xf numFmtId="0" fontId="22" fillId="0" borderId="10" xfId="7" applyFont="1" applyBorder="1" applyAlignment="1">
      <alignment horizontal="center" vertical="center" wrapText="1"/>
    </xf>
    <xf numFmtId="0" fontId="22" fillId="0" borderId="40" xfId="19" applyFont="1" applyBorder="1" applyAlignment="1">
      <alignment horizontal="center"/>
    </xf>
    <xf numFmtId="0" fontId="17" fillId="0" borderId="40" xfId="19" applyFont="1" applyBorder="1" applyAlignment="1">
      <alignment horizontal="center"/>
    </xf>
    <xf numFmtId="0" fontId="22" fillId="0" borderId="9" xfId="19" applyFont="1" applyBorder="1"/>
    <xf numFmtId="1" fontId="22" fillId="0" borderId="4" xfId="7" applyNumberFormat="1" applyFont="1" applyBorder="1"/>
    <xf numFmtId="1" fontId="22" fillId="0" borderId="4" xfId="7" applyNumberFormat="1" applyFont="1" applyBorder="1" applyAlignment="1">
      <alignment vertical="top" wrapText="1"/>
    </xf>
    <xf numFmtId="2" fontId="22" fillId="0" borderId="4" xfId="7" applyNumberFormat="1" applyFont="1" applyBorder="1" applyAlignment="1">
      <alignment vertical="top" wrapText="1"/>
    </xf>
    <xf numFmtId="167" fontId="22" fillId="0" borderId="4" xfId="7" applyNumberFormat="1" applyFont="1" applyBorder="1"/>
    <xf numFmtId="0" fontId="22" fillId="0" borderId="4" xfId="7" applyFont="1" applyBorder="1" applyAlignment="1">
      <alignment vertical="top" wrapText="1"/>
    </xf>
    <xf numFmtId="0" fontId="22" fillId="0" borderId="4" xfId="19" applyFont="1" applyBorder="1"/>
    <xf numFmtId="2" fontId="22" fillId="0" borderId="57" xfId="7" applyNumberFormat="1" applyFont="1" applyBorder="1"/>
    <xf numFmtId="2" fontId="22" fillId="0" borderId="4" xfId="7" applyNumberFormat="1" applyFont="1" applyBorder="1"/>
    <xf numFmtId="1" fontId="22" fillId="0" borderId="53" xfId="7" applyNumberFormat="1" applyFont="1" applyBorder="1" applyAlignment="1">
      <alignment vertical="top" wrapText="1"/>
    </xf>
    <xf numFmtId="1" fontId="22" fillId="0" borderId="54" xfId="7" applyNumberFormat="1" applyFont="1" applyBorder="1" applyAlignment="1">
      <alignment horizontal="center" vertical="top" wrapText="1"/>
    </xf>
    <xf numFmtId="1" fontId="22" fillId="0" borderId="53" xfId="7" applyNumberFormat="1" applyFont="1" applyBorder="1" applyAlignment="1">
      <alignment horizontal="center" vertical="top" wrapText="1"/>
    </xf>
    <xf numFmtId="1" fontId="22" fillId="0" borderId="39" xfId="7" applyNumberFormat="1" applyFont="1" applyBorder="1" applyAlignment="1">
      <alignment horizontal="center" vertical="top" wrapText="1"/>
    </xf>
    <xf numFmtId="167" fontId="22" fillId="0" borderId="39" xfId="7" applyNumberFormat="1" applyFont="1" applyBorder="1" applyAlignment="1">
      <alignment horizontal="center" vertical="top" wrapText="1"/>
    </xf>
    <xf numFmtId="167" fontId="22" fillId="0" borderId="54" xfId="7" applyNumberFormat="1" applyFont="1" applyBorder="1" applyAlignment="1">
      <alignment horizontal="center" vertical="top" wrapText="1"/>
    </xf>
    <xf numFmtId="0" fontId="22" fillId="0" borderId="39" xfId="0" applyFont="1" applyBorder="1"/>
    <xf numFmtId="166" fontId="17" fillId="0" borderId="54" xfId="11" applyNumberFormat="1" applyFont="1" applyFill="1" applyBorder="1" applyAlignment="1"/>
    <xf numFmtId="166" fontId="22" fillId="0" borderId="53" xfId="11" applyNumberFormat="1" applyFont="1" applyFill="1" applyBorder="1" applyAlignment="1"/>
    <xf numFmtId="166" fontId="22" fillId="0" borderId="39" xfId="11" applyNumberFormat="1" applyFont="1" applyFill="1" applyBorder="1" applyAlignment="1"/>
    <xf numFmtId="166" fontId="22" fillId="0" borderId="54" xfId="11" applyNumberFormat="1" applyFont="1" applyFill="1" applyBorder="1" applyAlignment="1"/>
    <xf numFmtId="1" fontId="21" fillId="0" borderId="53" xfId="7" applyNumberFormat="1" applyFont="1" applyBorder="1" applyAlignment="1">
      <alignment horizontal="left" vertical="distributed" wrapText="1"/>
    </xf>
    <xf numFmtId="1" fontId="21" fillId="0" borderId="54" xfId="7" applyNumberFormat="1" applyFont="1" applyBorder="1" applyAlignment="1">
      <alignment horizontal="center" vertical="distributed" wrapText="1"/>
    </xf>
    <xf numFmtId="1" fontId="21" fillId="0" borderId="53" xfId="7" applyNumberFormat="1" applyFont="1" applyBorder="1" applyAlignment="1">
      <alignment horizontal="center" vertical="distributed" wrapText="1"/>
    </xf>
    <xf numFmtId="1" fontId="21" fillId="0" borderId="39" xfId="7" applyNumberFormat="1" applyFont="1" applyBorder="1" applyAlignment="1">
      <alignment horizontal="center" vertical="distributed" wrapText="1"/>
    </xf>
    <xf numFmtId="166" fontId="22" fillId="0" borderId="53" xfId="11" applyNumberFormat="1" applyFont="1" applyFill="1" applyBorder="1"/>
    <xf numFmtId="166" fontId="22" fillId="0" borderId="39" xfId="11" applyNumberFormat="1" applyFont="1" applyFill="1" applyBorder="1"/>
    <xf numFmtId="166" fontId="22" fillId="0" borderId="54" xfId="11" applyNumberFormat="1" applyFont="1" applyFill="1" applyBorder="1"/>
    <xf numFmtId="1" fontId="21" fillId="0" borderId="41" xfId="7" applyNumberFormat="1" applyFont="1" applyBorder="1" applyAlignment="1">
      <alignment horizontal="center" vertical="distributed" wrapText="1"/>
    </xf>
    <xf numFmtId="0" fontId="22" fillId="0" borderId="41" xfId="0" applyFont="1" applyBorder="1"/>
    <xf numFmtId="1" fontId="21" fillId="0" borderId="9" xfId="7" applyNumberFormat="1" applyFont="1" applyBorder="1" applyAlignment="1">
      <alignment horizontal="center" vertical="distributed" wrapText="1"/>
    </xf>
    <xf numFmtId="1" fontId="21" fillId="0" borderId="40" xfId="7" applyNumberFormat="1" applyFont="1" applyBorder="1" applyAlignment="1">
      <alignment horizontal="center" vertical="distributed" wrapText="1"/>
    </xf>
    <xf numFmtId="1" fontId="21" fillId="0" borderId="10" xfId="7" applyNumberFormat="1" applyFont="1" applyBorder="1" applyAlignment="1">
      <alignment horizontal="center" vertical="distributed" wrapText="1"/>
    </xf>
    <xf numFmtId="0" fontId="22" fillId="0" borderId="40" xfId="0" applyFont="1" applyBorder="1"/>
    <xf numFmtId="166" fontId="21" fillId="0" borderId="9" xfId="11" applyNumberFormat="1" applyFont="1" applyFill="1" applyBorder="1"/>
    <xf numFmtId="166" fontId="21" fillId="0" borderId="41" xfId="11" applyNumberFormat="1" applyFont="1" applyFill="1" applyBorder="1"/>
    <xf numFmtId="0" fontId="22" fillId="0" borderId="58" xfId="7" applyFont="1" applyBorder="1" applyAlignment="1">
      <alignment horizontal="center"/>
    </xf>
    <xf numFmtId="0" fontId="22" fillId="0" borderId="41" xfId="7" applyFont="1" applyBorder="1" applyAlignment="1">
      <alignment horizontal="center"/>
    </xf>
    <xf numFmtId="0" fontId="22" fillId="0" borderId="57" xfId="7" applyFont="1" applyBorder="1" applyAlignment="1">
      <alignment horizontal="center"/>
    </xf>
    <xf numFmtId="167" fontId="22" fillId="0" borderId="41" xfId="7" applyNumberFormat="1" applyFont="1" applyBorder="1" applyAlignment="1">
      <alignment horizontal="center"/>
    </xf>
    <xf numFmtId="167" fontId="21" fillId="0" borderId="40" xfId="7" applyNumberFormat="1" applyFont="1" applyBorder="1" applyAlignment="1">
      <alignment horizontal="center" vertical="distributed" wrapText="1"/>
    </xf>
    <xf numFmtId="167" fontId="21" fillId="0" borderId="9" xfId="7" applyNumberFormat="1" applyFont="1" applyBorder="1" applyAlignment="1">
      <alignment horizontal="center" vertical="distributed" wrapText="1"/>
    </xf>
    <xf numFmtId="2" fontId="21" fillId="0" borderId="10" xfId="7" applyNumberFormat="1" applyFont="1" applyBorder="1" applyAlignment="1">
      <alignment horizontal="center" vertical="distributed" wrapText="1"/>
    </xf>
    <xf numFmtId="2" fontId="21" fillId="0" borderId="40" xfId="7" applyNumberFormat="1" applyFont="1" applyBorder="1" applyAlignment="1">
      <alignment horizontal="center" vertical="distributed" wrapText="1"/>
    </xf>
    <xf numFmtId="2" fontId="21" fillId="0" borderId="9" xfId="7" applyNumberFormat="1" applyFont="1" applyBorder="1" applyAlignment="1">
      <alignment horizontal="center" vertical="distributed" wrapText="1"/>
    </xf>
    <xf numFmtId="166" fontId="17" fillId="0" borderId="9" xfId="11" applyNumberFormat="1" applyFont="1" applyFill="1" applyBorder="1" applyAlignment="1"/>
    <xf numFmtId="166" fontId="21" fillId="0" borderId="2" xfId="11" applyNumberFormat="1" applyFont="1" applyFill="1" applyBorder="1" applyAlignment="1"/>
    <xf numFmtId="166" fontId="21" fillId="0" borderId="1" xfId="11" applyNumberFormat="1" applyFont="1" applyFill="1" applyBorder="1" applyAlignment="1"/>
    <xf numFmtId="166" fontId="21" fillId="0" borderId="3" xfId="11" applyNumberFormat="1" applyFont="1" applyFill="1" applyBorder="1" applyAlignment="1"/>
    <xf numFmtId="0" fontId="22" fillId="0" borderId="42" xfId="0" applyFont="1" applyBorder="1"/>
    <xf numFmtId="1" fontId="21" fillId="0" borderId="41" xfId="0" applyNumberFormat="1" applyFont="1" applyBorder="1"/>
    <xf numFmtId="0" fontId="22" fillId="5" borderId="4" xfId="0" applyFont="1" applyFill="1" applyBorder="1"/>
    <xf numFmtId="0" fontId="22" fillId="5" borderId="6" xfId="0" applyFont="1" applyFill="1" applyBorder="1"/>
    <xf numFmtId="0" fontId="22" fillId="5" borderId="50" xfId="0" applyFont="1" applyFill="1" applyBorder="1"/>
    <xf numFmtId="0" fontId="20" fillId="6" borderId="10" xfId="19" applyFont="1" applyFill="1" applyBorder="1" applyAlignment="1">
      <alignment horizontal="left" vertical="center"/>
    </xf>
    <xf numFmtId="0" fontId="22" fillId="6" borderId="9" xfId="19" applyFont="1" applyFill="1" applyBorder="1" applyAlignment="1">
      <alignment horizontal="center" vertical="center" wrapText="1"/>
    </xf>
    <xf numFmtId="0" fontId="22" fillId="6" borderId="10" xfId="19" applyFont="1" applyFill="1" applyBorder="1" applyAlignment="1">
      <alignment horizontal="center" vertical="center" wrapText="1"/>
    </xf>
    <xf numFmtId="0" fontId="22" fillId="6" borderId="40" xfId="19" applyFont="1" applyFill="1" applyBorder="1" applyAlignment="1">
      <alignment horizontal="center" vertical="center" wrapText="1"/>
    </xf>
    <xf numFmtId="0" fontId="22" fillId="6" borderId="57" xfId="19" applyFont="1" applyFill="1" applyBorder="1"/>
    <xf numFmtId="0" fontId="22" fillId="6" borderId="58" xfId="19" applyFont="1" applyFill="1" applyBorder="1"/>
    <xf numFmtId="0" fontId="22" fillId="6" borderId="57" xfId="19" applyFont="1" applyFill="1" applyBorder="1" applyAlignment="1">
      <alignment horizontal="center" vertical="center" wrapText="1"/>
    </xf>
    <xf numFmtId="0" fontId="22" fillId="6" borderId="41" xfId="19" applyFont="1" applyFill="1" applyBorder="1" applyAlignment="1">
      <alignment horizontal="center" vertical="center" wrapText="1"/>
    </xf>
    <xf numFmtId="0" fontId="22" fillId="6" borderId="58" xfId="19" applyFont="1" applyFill="1" applyBorder="1" applyAlignment="1">
      <alignment horizontal="center" vertical="center" wrapText="1"/>
    </xf>
    <xf numFmtId="0" fontId="15" fillId="5" borderId="0" xfId="19" applyFont="1" applyFill="1" applyAlignment="1">
      <alignment horizontal="left" vertical="center"/>
    </xf>
    <xf numFmtId="0" fontId="16" fillId="5" borderId="0" xfId="19" applyFont="1" applyFill="1"/>
    <xf numFmtId="0" fontId="16" fillId="5" borderId="0" xfId="19" applyFont="1" applyFill="1" applyAlignment="1">
      <alignment vertical="top"/>
    </xf>
    <xf numFmtId="0" fontId="19" fillId="5" borderId="0" xfId="19" applyFont="1" applyFill="1"/>
    <xf numFmtId="0" fontId="20" fillId="5" borderId="0" xfId="19" applyFont="1" applyFill="1"/>
    <xf numFmtId="1" fontId="15" fillId="5" borderId="0" xfId="7" applyNumberFormat="1" applyFont="1" applyFill="1" applyAlignment="1">
      <alignment horizontal="center" vertical="distributed" wrapText="1"/>
    </xf>
    <xf numFmtId="167" fontId="15" fillId="5" borderId="0" xfId="7" applyNumberFormat="1" applyFont="1" applyFill="1" applyAlignment="1">
      <alignment horizontal="center" vertical="distributed" wrapText="1"/>
    </xf>
    <xf numFmtId="2" fontId="15" fillId="5" borderId="0" xfId="7" applyNumberFormat="1" applyFont="1" applyFill="1" applyAlignment="1">
      <alignment horizontal="center" vertical="distributed" wrapText="1"/>
    </xf>
    <xf numFmtId="0" fontId="18" fillId="5" borderId="0" xfId="7" applyFont="1" applyFill="1" applyAlignment="1">
      <alignment horizontal="center" vertical="top" wrapText="1"/>
    </xf>
    <xf numFmtId="0" fontId="21" fillId="5" borderId="0" xfId="19" applyFont="1" applyFill="1"/>
    <xf numFmtId="0" fontId="22" fillId="5" borderId="0" xfId="19" applyFont="1" applyFill="1"/>
    <xf numFmtId="1" fontId="22" fillId="5" borderId="0" xfId="19" applyNumberFormat="1" applyFont="1" applyFill="1"/>
    <xf numFmtId="0" fontId="18" fillId="5" borderId="0" xfId="19" applyFont="1" applyFill="1" applyAlignment="1">
      <alignment horizontal="center"/>
    </xf>
    <xf numFmtId="166" fontId="20" fillId="5" borderId="0" xfId="11" applyNumberFormat="1" applyFont="1" applyFill="1" applyAlignment="1">
      <alignment horizontal="left"/>
    </xf>
    <xf numFmtId="166" fontId="22" fillId="5" borderId="0" xfId="11" applyNumberFormat="1" applyFont="1" applyFill="1" applyAlignment="1">
      <alignment horizontal="center" vertical="center"/>
    </xf>
    <xf numFmtId="0" fontId="15" fillId="5" borderId="0" xfId="19" applyFont="1" applyFill="1"/>
    <xf numFmtId="0" fontId="22" fillId="6" borderId="4" xfId="19" applyFont="1" applyFill="1" applyBorder="1" applyAlignment="1">
      <alignment horizontal="center" vertical="center" wrapText="1"/>
    </xf>
    <xf numFmtId="0" fontId="22" fillId="6" borderId="0" xfId="19" applyFont="1" applyFill="1" applyAlignment="1">
      <alignment horizontal="center" vertical="center" wrapText="1"/>
    </xf>
    <xf numFmtId="0" fontId="22" fillId="6" borderId="6" xfId="19" applyFont="1" applyFill="1" applyBorder="1" applyAlignment="1">
      <alignment horizontal="center" vertical="center" wrapText="1"/>
    </xf>
    <xf numFmtId="0" fontId="22" fillId="5" borderId="0" xfId="19" applyFont="1" applyFill="1" applyAlignment="1">
      <alignment horizontal="center" vertical="center" wrapText="1"/>
    </xf>
    <xf numFmtId="0" fontId="21" fillId="5" borderId="0" xfId="19" applyFont="1" applyFill="1" applyAlignment="1">
      <alignment horizontal="center" vertical="center" wrapText="1"/>
    </xf>
    <xf numFmtId="0" fontId="22" fillId="5" borderId="0" xfId="7" applyFont="1" applyFill="1" applyAlignment="1">
      <alignment horizontal="center" vertical="top" wrapText="1"/>
    </xf>
    <xf numFmtId="2" fontId="22" fillId="5" borderId="0" xfId="7" applyNumberFormat="1" applyFont="1" applyFill="1" applyAlignment="1">
      <alignment horizontal="center" vertical="top" wrapText="1"/>
    </xf>
    <xf numFmtId="2" fontId="21" fillId="5" borderId="0" xfId="19" applyNumberFormat="1" applyFont="1" applyFill="1"/>
    <xf numFmtId="0" fontId="22" fillId="5" borderId="4" xfId="7" applyFont="1" applyFill="1" applyBorder="1" applyAlignment="1">
      <alignment horizontal="center" vertical="top" wrapText="1"/>
    </xf>
    <xf numFmtId="0" fontId="22" fillId="5" borderId="6" xfId="19" applyFont="1" applyFill="1" applyBorder="1"/>
    <xf numFmtId="0" fontId="21" fillId="5" borderId="6" xfId="19" applyFont="1" applyFill="1" applyBorder="1"/>
    <xf numFmtId="1" fontId="21" fillId="5" borderId="4" xfId="7" applyNumberFormat="1" applyFont="1" applyFill="1" applyBorder="1" applyAlignment="1">
      <alignment horizontal="center" vertical="distributed" wrapText="1"/>
    </xf>
    <xf numFmtId="1" fontId="21" fillId="5" borderId="6" xfId="7" applyNumberFormat="1" applyFont="1" applyFill="1" applyBorder="1" applyAlignment="1">
      <alignment horizontal="center" vertical="distributed" wrapText="1"/>
    </xf>
    <xf numFmtId="1" fontId="21" fillId="5" borderId="0" xfId="7" applyNumberFormat="1" applyFont="1" applyFill="1" applyAlignment="1">
      <alignment horizontal="center" vertical="distributed" wrapText="1"/>
    </xf>
    <xf numFmtId="0" fontId="22" fillId="0" borderId="4" xfId="0" applyFont="1" applyBorder="1"/>
    <xf numFmtId="0" fontId="22" fillId="0" borderId="6" xfId="0" applyFont="1" applyBorder="1"/>
    <xf numFmtId="0" fontId="22" fillId="0" borderId="57" xfId="0" applyFont="1" applyBorder="1"/>
    <xf numFmtId="0" fontId="22" fillId="0" borderId="58" xfId="0" applyFont="1" applyBorder="1"/>
    <xf numFmtId="1" fontId="21" fillId="0" borderId="58" xfId="0" applyNumberFormat="1" applyFont="1" applyBorder="1"/>
    <xf numFmtId="166" fontId="21" fillId="0" borderId="58" xfId="11" applyNumberFormat="1" applyFont="1" applyFill="1" applyBorder="1"/>
    <xf numFmtId="166" fontId="22" fillId="5" borderId="0" xfId="11" applyNumberFormat="1" applyFont="1" applyFill="1" applyBorder="1"/>
    <xf numFmtId="166" fontId="21" fillId="5" borderId="0" xfId="11" applyNumberFormat="1" applyFont="1" applyFill="1" applyBorder="1" applyAlignment="1">
      <alignment horizontal="center"/>
    </xf>
    <xf numFmtId="9" fontId="22" fillId="5" borderId="0" xfId="8" applyFont="1" applyFill="1" applyBorder="1" applyAlignment="1">
      <alignment horizontal="center"/>
    </xf>
    <xf numFmtId="4" fontId="22" fillId="5" borderId="0" xfId="19" applyNumberFormat="1" applyFont="1" applyFill="1" applyAlignment="1">
      <alignment horizontal="center"/>
    </xf>
    <xf numFmtId="9" fontId="22" fillId="5" borderId="0" xfId="6" applyFont="1" applyFill="1" applyBorder="1"/>
    <xf numFmtId="166" fontId="17" fillId="5" borderId="0" xfId="11" applyNumberFormat="1" applyFont="1" applyFill="1" applyBorder="1" applyAlignment="1">
      <alignment horizontal="right"/>
    </xf>
    <xf numFmtId="170" fontId="22" fillId="5" borderId="0" xfId="11" applyNumberFormat="1" applyFont="1" applyFill="1" applyBorder="1"/>
    <xf numFmtId="172" fontId="22" fillId="5" borderId="0" xfId="11" applyNumberFormat="1" applyFont="1" applyFill="1" applyBorder="1"/>
    <xf numFmtId="43" fontId="22" fillId="5" borderId="0" xfId="11" applyFont="1" applyFill="1" applyBorder="1"/>
    <xf numFmtId="43" fontId="22" fillId="5" borderId="0" xfId="11" applyFont="1" applyFill="1" applyBorder="1" applyAlignment="1">
      <alignment horizontal="center"/>
    </xf>
    <xf numFmtId="0" fontId="22" fillId="6" borderId="10" xfId="19" applyFont="1" applyFill="1" applyBorder="1"/>
    <xf numFmtId="166" fontId="22" fillId="6" borderId="9" xfId="11" applyNumberFormat="1" applyFont="1" applyFill="1" applyBorder="1"/>
    <xf numFmtId="166" fontId="22" fillId="6" borderId="10" xfId="11" applyNumberFormat="1" applyFont="1" applyFill="1" applyBorder="1" applyAlignment="1">
      <alignment vertical="center"/>
    </xf>
    <xf numFmtId="166" fontId="22" fillId="6" borderId="40" xfId="11" applyNumberFormat="1" applyFont="1" applyFill="1" applyBorder="1" applyAlignment="1">
      <alignment vertical="center"/>
    </xf>
    <xf numFmtId="166" fontId="22" fillId="6" borderId="40" xfId="11" applyNumberFormat="1" applyFont="1" applyFill="1" applyBorder="1" applyAlignment="1">
      <alignment horizontal="center" vertical="center"/>
    </xf>
    <xf numFmtId="166" fontId="22" fillId="6" borderId="9" xfId="11" applyNumberFormat="1" applyFont="1" applyFill="1" applyBorder="1" applyAlignment="1">
      <alignment horizontal="center" vertical="center"/>
    </xf>
    <xf numFmtId="0" fontId="22" fillId="6" borderId="57" xfId="7" applyFont="1" applyFill="1" applyBorder="1" applyAlignment="1">
      <alignment vertical="top"/>
    </xf>
    <xf numFmtId="166" fontId="22" fillId="6" borderId="58" xfId="11" applyNumberFormat="1" applyFont="1" applyFill="1" applyBorder="1"/>
    <xf numFmtId="166" fontId="22" fillId="6" borderId="57" xfId="11" applyNumberFormat="1" applyFont="1" applyFill="1" applyBorder="1" applyAlignment="1">
      <alignment vertical="center" wrapText="1"/>
    </xf>
    <xf numFmtId="166" fontId="22" fillId="6" borderId="41" xfId="11" applyNumberFormat="1" applyFont="1" applyFill="1" applyBorder="1" applyAlignment="1">
      <alignment vertical="center" wrapText="1"/>
    </xf>
    <xf numFmtId="0" fontId="17" fillId="0" borderId="4" xfId="11" applyNumberFormat="1" applyFont="1" applyFill="1" applyBorder="1" applyAlignment="1">
      <alignment horizontal="left"/>
    </xf>
    <xf numFmtId="0" fontId="22" fillId="0" borderId="4" xfId="11" applyNumberFormat="1" applyFont="1" applyBorder="1" applyAlignment="1">
      <alignment horizontal="left"/>
    </xf>
    <xf numFmtId="0" fontId="22" fillId="0" borderId="4" xfId="19" applyFont="1" applyBorder="1" applyAlignment="1">
      <alignment horizontal="left"/>
    </xf>
    <xf numFmtId="0" fontId="22" fillId="0" borderId="4" xfId="11" applyNumberFormat="1" applyFont="1" applyFill="1" applyBorder="1" applyAlignment="1">
      <alignment horizontal="left"/>
    </xf>
    <xf numFmtId="0" fontId="22" fillId="0" borderId="4" xfId="11" applyNumberFormat="1" applyFont="1" applyFill="1" applyBorder="1" applyAlignment="1">
      <alignment horizontal="left" shrinkToFit="1"/>
    </xf>
    <xf numFmtId="0" fontId="22" fillId="0" borderId="4" xfId="0" applyFont="1" applyBorder="1" applyAlignment="1">
      <alignment horizontal="left"/>
    </xf>
    <xf numFmtId="0" fontId="22" fillId="0" borderId="53" xfId="11" applyNumberFormat="1" applyFont="1" applyFill="1" applyBorder="1" applyAlignment="1">
      <alignment horizontal="left" shrinkToFit="1"/>
    </xf>
    <xf numFmtId="0" fontId="21" fillId="0" borderId="10" xfId="11" applyNumberFormat="1" applyFont="1" applyFill="1" applyBorder="1" applyAlignment="1">
      <alignment horizontal="left"/>
    </xf>
    <xf numFmtId="0" fontId="21" fillId="0" borderId="57" xfId="11" applyNumberFormat="1" applyFont="1" applyFill="1" applyBorder="1" applyAlignment="1">
      <alignment horizontal="left"/>
    </xf>
    <xf numFmtId="0" fontId="22" fillId="0" borderId="57" xfId="0" applyFont="1" applyBorder="1" applyAlignment="1">
      <alignment horizontal="left"/>
    </xf>
    <xf numFmtId="0" fontId="22" fillId="0" borderId="4" xfId="7" applyFont="1" applyBorder="1" applyAlignment="1">
      <alignment horizontal="left"/>
    </xf>
    <xf numFmtId="0" fontId="21" fillId="0" borderId="4" xfId="11" applyNumberFormat="1" applyFont="1" applyFill="1" applyBorder="1" applyAlignment="1">
      <alignment horizontal="left"/>
    </xf>
    <xf numFmtId="0" fontId="17" fillId="0" borderId="10" xfId="11" applyNumberFormat="1" applyFont="1" applyFill="1" applyBorder="1" applyAlignment="1">
      <alignment horizontal="left"/>
    </xf>
    <xf numFmtId="166" fontId="17" fillId="0" borderId="9" xfId="11" applyNumberFormat="1" applyFont="1" applyFill="1" applyBorder="1"/>
    <xf numFmtId="0" fontId="17" fillId="0" borderId="58" xfId="0" applyFont="1" applyBorder="1"/>
    <xf numFmtId="1" fontId="21" fillId="0" borderId="57" xfId="0" applyNumberFormat="1" applyFont="1" applyBorder="1"/>
    <xf numFmtId="166" fontId="21" fillId="0" borderId="57" xfId="11" applyNumberFormat="1" applyFont="1" applyFill="1" applyBorder="1"/>
    <xf numFmtId="0" fontId="22" fillId="0" borderId="9" xfId="7" applyFont="1" applyBorder="1"/>
    <xf numFmtId="0" fontId="22" fillId="0" borderId="57" xfId="7" applyFont="1" applyBorder="1" applyAlignment="1">
      <alignment horizontal="left"/>
    </xf>
    <xf numFmtId="0" fontId="22" fillId="0" borderId="53" xfId="7" applyFont="1" applyBorder="1" applyAlignment="1">
      <alignment horizontal="left"/>
    </xf>
    <xf numFmtId="166" fontId="22" fillId="0" borderId="4" xfId="7" applyNumberFormat="1" applyFont="1" applyBorder="1"/>
    <xf numFmtId="166" fontId="22" fillId="0" borderId="0" xfId="7" applyNumberFormat="1" applyFont="1"/>
    <xf numFmtId="166" fontId="22" fillId="0" borderId="6" xfId="7" applyNumberFormat="1" applyFont="1" applyBorder="1"/>
    <xf numFmtId="166" fontId="21" fillId="0" borderId="4" xfId="7" applyNumberFormat="1" applyFont="1" applyBorder="1"/>
    <xf numFmtId="166" fontId="21" fillId="0" borderId="0" xfId="7" applyNumberFormat="1" applyFont="1"/>
    <xf numFmtId="166" fontId="21" fillId="0" borderId="6" xfId="7" applyNumberFormat="1" applyFont="1" applyBorder="1"/>
    <xf numFmtId="166" fontId="21" fillId="0" borderId="6" xfId="11" applyNumberFormat="1" applyFont="1" applyFill="1" applyBorder="1" applyAlignment="1">
      <alignment vertical="center"/>
    </xf>
    <xf numFmtId="166" fontId="22" fillId="0" borderId="57" xfId="11" applyNumberFormat="1" applyFont="1" applyFill="1" applyBorder="1" applyAlignment="1"/>
    <xf numFmtId="166" fontId="22" fillId="0" borderId="41" xfId="11" applyNumberFormat="1" applyFont="1" applyFill="1" applyBorder="1" applyAlignment="1"/>
    <xf numFmtId="166" fontId="22" fillId="0" borderId="58" xfId="11" applyNumberFormat="1" applyFont="1" applyFill="1" applyBorder="1" applyAlignment="1"/>
    <xf numFmtId="0" fontId="21" fillId="0" borderId="2" xfId="11" applyNumberFormat="1" applyFont="1" applyFill="1" applyBorder="1" applyAlignment="1">
      <alignment horizontal="left"/>
    </xf>
    <xf numFmtId="0" fontId="21" fillId="0" borderId="2" xfId="11" applyNumberFormat="1" applyFont="1" applyFill="1" applyBorder="1" applyAlignment="1"/>
    <xf numFmtId="166" fontId="21" fillId="0" borderId="2" xfId="11" applyNumberFormat="1" applyFont="1" applyFill="1" applyBorder="1" applyAlignment="1">
      <alignment vertical="center"/>
    </xf>
    <xf numFmtId="166" fontId="21" fillId="0" borderId="1" xfId="11" applyNumberFormat="1" applyFont="1" applyFill="1" applyBorder="1" applyAlignment="1">
      <alignment vertical="center"/>
    </xf>
    <xf numFmtId="166" fontId="21" fillId="0" borderId="3" xfId="11" applyNumberFormat="1" applyFont="1" applyFill="1" applyBorder="1" applyAlignment="1">
      <alignment vertical="center"/>
    </xf>
    <xf numFmtId="0" fontId="21" fillId="0" borderId="57" xfId="0" applyFont="1" applyBorder="1" applyAlignment="1">
      <alignment horizontal="left"/>
    </xf>
    <xf numFmtId="0" fontId="24" fillId="4" borderId="9" xfId="0" applyFont="1" applyFill="1" applyBorder="1" applyAlignment="1">
      <alignment horizontal="center" vertical="center"/>
    </xf>
    <xf numFmtId="0" fontId="24" fillId="4" borderId="59" xfId="0" applyFont="1" applyFill="1" applyBorder="1" applyAlignment="1">
      <alignment horizontal="center" vertical="center"/>
    </xf>
    <xf numFmtId="0" fontId="14" fillId="6" borderId="10" xfId="0" applyFont="1" applyFill="1" applyBorder="1"/>
    <xf numFmtId="0" fontId="14" fillId="6" borderId="4" xfId="0" applyFont="1" applyFill="1" applyBorder="1"/>
    <xf numFmtId="0" fontId="14" fillId="6" borderId="57" xfId="0" applyFont="1" applyFill="1" applyBorder="1"/>
    <xf numFmtId="3" fontId="15" fillId="5" borderId="0" xfId="19" applyNumberFormat="1" applyFont="1" applyFill="1"/>
    <xf numFmtId="1" fontId="15" fillId="5" borderId="0" xfId="19" applyNumberFormat="1" applyFont="1" applyFill="1"/>
    <xf numFmtId="1" fontId="32" fillId="0" borderId="0" xfId="19" applyNumberFormat="1" applyFont="1" applyAlignment="1">
      <alignment horizontal="center" vertical="center"/>
    </xf>
    <xf numFmtId="9" fontId="32" fillId="0" borderId="0" xfId="19" applyNumberFormat="1" applyFont="1" applyAlignment="1">
      <alignment horizontal="center"/>
    </xf>
    <xf numFmtId="9" fontId="32" fillId="0" borderId="40" xfId="19" applyNumberFormat="1" applyFont="1" applyBorder="1" applyAlignment="1">
      <alignment horizontal="center"/>
    </xf>
    <xf numFmtId="9" fontId="32" fillId="0" borderId="0" xfId="19" applyNumberFormat="1" applyFont="1" applyAlignment="1">
      <alignment horizontal="center" vertical="center"/>
    </xf>
    <xf numFmtId="169" fontId="32" fillId="0" borderId="0" xfId="19" applyNumberFormat="1" applyFont="1" applyAlignment="1">
      <alignment horizontal="center"/>
    </xf>
    <xf numFmtId="1" fontId="22" fillId="0" borderId="0" xfId="19" applyNumberFormat="1" applyFont="1" applyAlignment="1">
      <alignment horizontal="center" vertical="center"/>
    </xf>
    <xf numFmtId="1" fontId="21" fillId="0" borderId="42" xfId="19" applyNumberFormat="1" applyFont="1" applyBorder="1" applyAlignment="1">
      <alignment horizontal="center"/>
    </xf>
    <xf numFmtId="1" fontId="21" fillId="0" borderId="52" xfId="19" applyNumberFormat="1" applyFont="1" applyBorder="1" applyAlignment="1">
      <alignment horizontal="center"/>
    </xf>
    <xf numFmtId="3" fontId="21" fillId="0" borderId="42" xfId="19" applyNumberFormat="1" applyFont="1" applyBorder="1" applyAlignment="1">
      <alignment horizontal="center"/>
    </xf>
    <xf numFmtId="9" fontId="21" fillId="0" borderId="42" xfId="19" applyNumberFormat="1" applyFont="1" applyBorder="1" applyAlignment="1">
      <alignment horizontal="center"/>
    </xf>
    <xf numFmtId="9" fontId="32" fillId="0" borderId="0" xfId="6" applyFont="1" applyFill="1" applyBorder="1" applyAlignment="1">
      <alignment horizontal="center"/>
    </xf>
    <xf numFmtId="1" fontId="22" fillId="7" borderId="0" xfId="19" applyNumberFormat="1" applyFont="1" applyFill="1" applyAlignment="1">
      <alignment horizontal="center" vertical="center"/>
    </xf>
    <xf numFmtId="1" fontId="22" fillId="7" borderId="6" xfId="19" applyNumberFormat="1" applyFont="1" applyFill="1" applyBorder="1" applyAlignment="1">
      <alignment horizontal="center"/>
    </xf>
    <xf numFmtId="0" fontId="14" fillId="0" borderId="21" xfId="0" applyFont="1" applyBorder="1" applyAlignment="1">
      <alignment horizontal="left"/>
    </xf>
    <xf numFmtId="9" fontId="14" fillId="0" borderId="0" xfId="0" applyNumberFormat="1" applyFont="1"/>
    <xf numFmtId="173" fontId="22" fillId="2" borderId="17" xfId="4" quotePrefix="1" applyNumberFormat="1" applyFont="1" applyFill="1" applyBorder="1" applyAlignment="1">
      <alignment horizontal="left"/>
    </xf>
    <xf numFmtId="44" fontId="14" fillId="2" borderId="17" xfId="4" applyFont="1" applyFill="1" applyBorder="1" applyAlignment="1">
      <alignment wrapText="1"/>
    </xf>
    <xf numFmtId="44" fontId="14" fillId="2" borderId="43" xfId="4" applyFont="1" applyFill="1" applyBorder="1" applyAlignment="1">
      <alignment wrapText="1"/>
    </xf>
    <xf numFmtId="44" fontId="22" fillId="2" borderId="17" xfId="4" applyFont="1" applyFill="1" applyBorder="1" applyAlignment="1">
      <alignment wrapText="1"/>
    </xf>
    <xf numFmtId="173" fontId="14" fillId="2" borderId="43" xfId="4" applyNumberFormat="1" applyFont="1" applyFill="1" applyBorder="1" applyAlignment="1">
      <alignment wrapText="1"/>
    </xf>
    <xf numFmtId="173" fontId="14" fillId="2" borderId="17" xfId="4" applyNumberFormat="1" applyFont="1" applyFill="1" applyBorder="1" applyAlignment="1"/>
    <xf numFmtId="173" fontId="14" fillId="2" borderId="30" xfId="4" applyNumberFormat="1" applyFont="1" applyFill="1" applyBorder="1" applyAlignment="1"/>
    <xf numFmtId="2" fontId="14" fillId="5" borderId="0" xfId="0" applyNumberFormat="1" applyFont="1" applyFill="1"/>
    <xf numFmtId="173" fontId="14" fillId="2" borderId="17" xfId="4" applyNumberFormat="1" applyFont="1" applyFill="1" applyBorder="1" applyAlignment="1">
      <alignment horizontal="right"/>
    </xf>
    <xf numFmtId="173" fontId="14" fillId="3" borderId="19" xfId="0" applyNumberFormat="1" applyFont="1" applyFill="1" applyBorder="1" applyAlignment="1">
      <alignment wrapText="1"/>
    </xf>
    <xf numFmtId="173" fontId="14" fillId="2" borderId="17" xfId="4" applyNumberFormat="1" applyFont="1" applyFill="1" applyBorder="1" applyAlignment="1">
      <alignment wrapText="1"/>
    </xf>
    <xf numFmtId="44" fontId="14" fillId="2" borderId="25" xfId="4" applyFont="1" applyFill="1" applyBorder="1" applyAlignment="1"/>
    <xf numFmtId="44" fontId="22" fillId="2" borderId="25" xfId="4" applyFont="1" applyFill="1" applyBorder="1" applyAlignment="1"/>
    <xf numFmtId="173" fontId="14" fillId="2" borderId="47" xfId="4" applyNumberFormat="1" applyFont="1" applyFill="1" applyBorder="1" applyAlignment="1"/>
    <xf numFmtId="173" fontId="14" fillId="2" borderId="25" xfId="4" applyNumberFormat="1" applyFont="1" applyFill="1" applyBorder="1" applyAlignment="1">
      <alignment horizontal="right"/>
    </xf>
    <xf numFmtId="173" fontId="14" fillId="2" borderId="25" xfId="4" applyNumberFormat="1" applyFont="1" applyFill="1" applyBorder="1" applyAlignment="1"/>
    <xf numFmtId="173" fontId="22" fillId="2" borderId="17" xfId="4" quotePrefix="1" applyNumberFormat="1" applyFont="1" applyFill="1" applyBorder="1" applyAlignment="1">
      <alignment horizontal="left" wrapText="1"/>
    </xf>
    <xf numFmtId="173" fontId="14" fillId="2" borderId="25" xfId="4" applyNumberFormat="1" applyFont="1" applyFill="1" applyBorder="1" applyAlignment="1">
      <alignment wrapText="1"/>
    </xf>
    <xf numFmtId="173" fontId="22" fillId="2" borderId="25" xfId="4" quotePrefix="1" applyNumberFormat="1" applyFont="1" applyFill="1" applyBorder="1" applyAlignment="1">
      <alignment horizontal="left" wrapText="1"/>
    </xf>
    <xf numFmtId="173" fontId="14" fillId="2" borderId="31" xfId="4" applyNumberFormat="1" applyFont="1" applyFill="1" applyBorder="1" applyAlignment="1">
      <alignment wrapText="1"/>
    </xf>
    <xf numFmtId="0" fontId="15" fillId="0" borderId="21" xfId="19" applyFont="1" applyBorder="1" applyAlignment="1">
      <alignment vertical="center"/>
    </xf>
    <xf numFmtId="0" fontId="21" fillId="0" borderId="21" xfId="7" applyFont="1" applyBorder="1" applyAlignment="1">
      <alignment vertical="top"/>
    </xf>
    <xf numFmtId="0" fontId="14" fillId="0" borderId="0" xfId="19" applyFont="1" applyAlignment="1">
      <alignment vertical="top"/>
    </xf>
    <xf numFmtId="167" fontId="22" fillId="6" borderId="0" xfId="7" applyNumberFormat="1" applyFont="1" applyFill="1"/>
    <xf numFmtId="1" fontId="22" fillId="6" borderId="6" xfId="7" applyNumberFormat="1" applyFont="1" applyFill="1" applyBorder="1" applyAlignment="1">
      <alignment horizontal="center" vertical="center" wrapText="1"/>
    </xf>
    <xf numFmtId="167" fontId="22" fillId="6" borderId="4" xfId="7" applyNumberFormat="1" applyFont="1" applyFill="1" applyBorder="1" applyAlignment="1">
      <alignment horizontal="left"/>
    </xf>
    <xf numFmtId="167" fontId="22" fillId="6" borderId="6" xfId="7" applyNumberFormat="1" applyFont="1" applyFill="1" applyBorder="1" applyAlignment="1">
      <alignment horizontal="center" wrapText="1"/>
    </xf>
    <xf numFmtId="6" fontId="21" fillId="0" borderId="4" xfId="7" applyNumberFormat="1" applyFont="1" applyBorder="1" applyAlignment="1">
      <alignment wrapText="1"/>
    </xf>
    <xf numFmtId="6" fontId="22" fillId="0" borderId="6" xfId="7" applyNumberFormat="1" applyFont="1" applyBorder="1" applyAlignment="1">
      <alignment horizontal="center"/>
    </xf>
    <xf numFmtId="1" fontId="22" fillId="0" borderId="4" xfId="7" applyNumberFormat="1" applyFont="1" applyBorder="1" applyAlignment="1">
      <alignment wrapText="1"/>
    </xf>
    <xf numFmtId="1" fontId="21" fillId="0" borderId="4" xfId="7" applyNumberFormat="1" applyFont="1" applyBorder="1" applyAlignment="1">
      <alignment wrapText="1"/>
    </xf>
    <xf numFmtId="1" fontId="22" fillId="0" borderId="0" xfId="7" applyNumberFormat="1" applyFont="1" applyAlignment="1">
      <alignment horizontal="center" wrapText="1"/>
    </xf>
    <xf numFmtId="1" fontId="17" fillId="0" borderId="4" xfId="7" applyNumberFormat="1" applyFont="1" applyBorder="1" applyAlignment="1">
      <alignment wrapText="1"/>
    </xf>
    <xf numFmtId="0" fontId="17" fillId="0" borderId="6" xfId="7" applyFont="1" applyBorder="1" applyAlignment="1">
      <alignment horizontal="center"/>
    </xf>
    <xf numFmtId="2" fontId="17" fillId="0" borderId="0" xfId="7" applyNumberFormat="1" applyFont="1" applyAlignment="1">
      <alignment horizontal="center" wrapText="1"/>
    </xf>
    <xf numFmtId="1" fontId="21" fillId="0" borderId="48" xfId="7" applyNumberFormat="1" applyFont="1" applyBorder="1" applyAlignment="1">
      <alignment vertical="distributed" wrapText="1"/>
    </xf>
    <xf numFmtId="1" fontId="21" fillId="0" borderId="4" xfId="7" applyNumberFormat="1" applyFont="1" applyBorder="1" applyAlignment="1">
      <alignment vertical="distributed" wrapText="1"/>
    </xf>
    <xf numFmtId="1" fontId="21" fillId="0" borderId="11" xfId="7" applyNumberFormat="1" applyFont="1" applyBorder="1" applyAlignment="1">
      <alignment vertical="distributed" wrapText="1"/>
    </xf>
    <xf numFmtId="1" fontId="22" fillId="0" borderId="4" xfId="7" quotePrefix="1" applyNumberFormat="1" applyFont="1" applyBorder="1" applyAlignment="1">
      <alignment wrapText="1"/>
    </xf>
    <xf numFmtId="1" fontId="22" fillId="0" borderId="6" xfId="7" applyNumberFormat="1" applyFont="1" applyBorder="1" applyAlignment="1">
      <alignment horizontal="center" wrapText="1"/>
    </xf>
    <xf numFmtId="1" fontId="22" fillId="0" borderId="57" xfId="7" applyNumberFormat="1" applyFont="1" applyBorder="1" applyAlignment="1">
      <alignment wrapText="1"/>
    </xf>
    <xf numFmtId="1" fontId="22" fillId="0" borderId="58" xfId="7" applyNumberFormat="1" applyFont="1" applyBorder="1" applyAlignment="1">
      <alignment horizontal="center"/>
    </xf>
    <xf numFmtId="1" fontId="17" fillId="6" borderId="4" xfId="7" applyNumberFormat="1" applyFont="1" applyFill="1" applyBorder="1" applyAlignment="1">
      <alignment horizontal="center"/>
    </xf>
    <xf numFmtId="1" fontId="17" fillId="6" borderId="0" xfId="7" applyNumberFormat="1" applyFont="1" applyFill="1" applyAlignment="1">
      <alignment horizontal="center"/>
    </xf>
    <xf numFmtId="1" fontId="17" fillId="6" borderId="6" xfId="7" applyNumberFormat="1" applyFont="1" applyFill="1" applyBorder="1" applyAlignment="1">
      <alignment horizontal="center"/>
    </xf>
    <xf numFmtId="0" fontId="30" fillId="0" borderId="4" xfId="7" applyFont="1" applyBorder="1" applyAlignment="1">
      <alignment horizontal="center"/>
    </xf>
    <xf numFmtId="0" fontId="30" fillId="0" borderId="0" xfId="7" applyFont="1"/>
    <xf numFmtId="0" fontId="30" fillId="0" borderId="0" xfId="7" applyFont="1" applyAlignment="1">
      <alignment horizontal="center"/>
    </xf>
    <xf numFmtId="6" fontId="21" fillId="0" borderId="0" xfId="7" applyNumberFormat="1" applyFont="1" applyAlignment="1">
      <alignment wrapText="1"/>
    </xf>
    <xf numFmtId="6" fontId="30" fillId="0" borderId="0" xfId="7" applyNumberFormat="1" applyFont="1" applyAlignment="1">
      <alignment horizontal="center"/>
    </xf>
    <xf numFmtId="8" fontId="30" fillId="0" borderId="0" xfId="7" applyNumberFormat="1" applyFont="1" applyAlignment="1">
      <alignment horizontal="center"/>
    </xf>
    <xf numFmtId="9" fontId="32" fillId="0" borderId="6" xfId="6" applyFont="1" applyFill="1" applyBorder="1" applyAlignment="1">
      <alignment horizontal="center"/>
    </xf>
    <xf numFmtId="1" fontId="21" fillId="0" borderId="0" xfId="7" applyNumberFormat="1" applyFont="1" applyAlignment="1">
      <alignment wrapText="1"/>
    </xf>
    <xf numFmtId="2" fontId="17" fillId="0" borderId="0" xfId="7" applyNumberFormat="1" applyFont="1" applyAlignment="1">
      <alignment horizontal="center"/>
    </xf>
    <xf numFmtId="2" fontId="35" fillId="0" borderId="0" xfId="7" applyNumberFormat="1" applyFont="1" applyAlignment="1">
      <alignment horizontal="center"/>
    </xf>
    <xf numFmtId="2" fontId="17" fillId="0" borderId="6" xfId="7" applyNumberFormat="1" applyFont="1" applyBorder="1" applyAlignment="1">
      <alignment horizontal="center"/>
    </xf>
    <xf numFmtId="2" fontId="30" fillId="0" borderId="0" xfId="7" applyNumberFormat="1" applyFont="1" applyAlignment="1">
      <alignment horizontal="center"/>
    </xf>
    <xf numFmtId="2" fontId="30" fillId="0" borderId="0" xfId="7" applyNumberFormat="1" applyFont="1" applyAlignment="1">
      <alignment horizontal="left"/>
    </xf>
    <xf numFmtId="2" fontId="32" fillId="0" borderId="6" xfId="7" applyNumberFormat="1" applyFont="1" applyBorder="1" applyAlignment="1">
      <alignment horizontal="center"/>
    </xf>
    <xf numFmtId="2" fontId="35" fillId="0" borderId="0" xfId="7" applyNumberFormat="1" applyFont="1" applyAlignment="1">
      <alignment horizontal="center" wrapText="1"/>
    </xf>
    <xf numFmtId="1" fontId="22" fillId="0" borderId="0" xfId="7" applyNumberFormat="1" applyFont="1" applyAlignment="1">
      <alignment wrapText="1"/>
    </xf>
    <xf numFmtId="1" fontId="35" fillId="0" borderId="0" xfId="7" applyNumberFormat="1" applyFont="1" applyAlignment="1">
      <alignment horizontal="center" wrapText="1"/>
    </xf>
    <xf numFmtId="1" fontId="17" fillId="0" borderId="0" xfId="7" applyNumberFormat="1" applyFont="1" applyAlignment="1">
      <alignment horizontal="center" wrapText="1"/>
    </xf>
    <xf numFmtId="1" fontId="32" fillId="0" borderId="6" xfId="7" applyNumberFormat="1" applyFont="1" applyBorder="1" applyAlignment="1">
      <alignment horizontal="center"/>
    </xf>
    <xf numFmtId="1" fontId="36" fillId="0" borderId="11" xfId="7" applyNumberFormat="1" applyFont="1" applyBorder="1" applyAlignment="1">
      <alignment vertical="distributed" wrapText="1"/>
    </xf>
    <xf numFmtId="1" fontId="36" fillId="0" borderId="13" xfId="7" applyNumberFormat="1" applyFont="1" applyBorder="1" applyAlignment="1">
      <alignment horizontal="center" vertical="distributed" wrapText="1"/>
    </xf>
    <xf numFmtId="1" fontId="30" fillId="0" borderId="0" xfId="7" applyNumberFormat="1" applyFont="1" applyAlignment="1">
      <alignment horizontal="center" wrapText="1"/>
    </xf>
    <xf numFmtId="1" fontId="32" fillId="0" borderId="6" xfId="7" applyNumberFormat="1" applyFont="1" applyBorder="1" applyAlignment="1">
      <alignment horizontal="center" wrapText="1"/>
    </xf>
    <xf numFmtId="1" fontId="22" fillId="0" borderId="0" xfId="7" quotePrefix="1" applyNumberFormat="1" applyFont="1" applyAlignment="1">
      <alignment wrapText="1"/>
    </xf>
    <xf numFmtId="9" fontId="30" fillId="0" borderId="0" xfId="7" applyNumberFormat="1" applyFont="1" applyAlignment="1">
      <alignment horizontal="center" vertical="center"/>
    </xf>
    <xf numFmtId="9" fontId="22" fillId="0" borderId="6" xfId="7" applyNumberFormat="1" applyFont="1" applyBorder="1" applyAlignment="1">
      <alignment horizontal="center" vertical="center"/>
    </xf>
    <xf numFmtId="1" fontId="18" fillId="0" borderId="6" xfId="7" applyNumberFormat="1" applyFont="1" applyBorder="1" applyAlignment="1">
      <alignment horizontal="center" wrapText="1"/>
    </xf>
    <xf numFmtId="1" fontId="30" fillId="0" borderId="0" xfId="7" applyNumberFormat="1" applyFont="1" applyAlignment="1">
      <alignment horizontal="center"/>
    </xf>
    <xf numFmtId="167" fontId="22" fillId="0" borderId="57" xfId="7" applyNumberFormat="1" applyFont="1" applyBorder="1" applyAlignment="1">
      <alignment wrapText="1"/>
    </xf>
    <xf numFmtId="1" fontId="21" fillId="0" borderId="41" xfId="7" applyNumberFormat="1" applyFont="1" applyBorder="1" applyAlignment="1">
      <alignment wrapText="1"/>
    </xf>
    <xf numFmtId="167" fontId="30" fillId="0" borderId="41" xfId="7" applyNumberFormat="1" applyFont="1" applyBorder="1" applyAlignment="1">
      <alignment horizontal="center" wrapText="1"/>
    </xf>
    <xf numFmtId="167" fontId="22" fillId="0" borderId="58" xfId="7" applyNumberFormat="1" applyFont="1" applyBorder="1" applyAlignment="1">
      <alignment horizontal="center" wrapText="1"/>
    </xf>
    <xf numFmtId="1" fontId="17" fillId="6" borderId="50" xfId="7" applyNumberFormat="1" applyFont="1" applyFill="1" applyBorder="1" applyAlignment="1">
      <alignment horizontal="center"/>
    </xf>
    <xf numFmtId="0" fontId="30" fillId="0" borderId="50" xfId="7" applyFont="1" applyBorder="1" applyAlignment="1">
      <alignment horizontal="center"/>
    </xf>
    <xf numFmtId="1" fontId="32" fillId="2" borderId="17" xfId="3" applyNumberFormat="1" applyFont="1" applyFill="1" applyBorder="1" applyAlignment="1" applyProtection="1">
      <alignment horizontal="right" wrapText="1"/>
      <protection locked="0"/>
    </xf>
    <xf numFmtId="1" fontId="32" fillId="2" borderId="25" xfId="3" applyNumberFormat="1" applyFont="1" applyFill="1" applyBorder="1" applyAlignment="1" applyProtection="1">
      <alignment horizontal="right" wrapText="1"/>
      <protection locked="0"/>
    </xf>
    <xf numFmtId="0" fontId="32" fillId="2" borderId="17" xfId="0" applyFont="1" applyFill="1" applyBorder="1" applyAlignment="1">
      <alignment wrapText="1"/>
    </xf>
    <xf numFmtId="0" fontId="32" fillId="2" borderId="25" xfId="0" applyFont="1" applyFill="1" applyBorder="1" applyAlignment="1">
      <alignment wrapText="1"/>
    </xf>
    <xf numFmtId="1" fontId="32" fillId="2" borderId="17" xfId="0" applyNumberFormat="1" applyFont="1" applyFill="1" applyBorder="1" applyAlignment="1">
      <alignment wrapText="1"/>
    </xf>
    <xf numFmtId="1" fontId="32" fillId="2" borderId="25" xfId="0" applyNumberFormat="1" applyFont="1" applyFill="1" applyBorder="1" applyAlignment="1">
      <alignment wrapText="1"/>
    </xf>
    <xf numFmtId="1" fontId="32" fillId="2" borderId="30" xfId="0" applyNumberFormat="1" applyFont="1" applyFill="1" applyBorder="1" applyAlignment="1">
      <alignment wrapText="1"/>
    </xf>
    <xf numFmtId="1" fontId="32" fillId="2" borderId="31" xfId="0" applyNumberFormat="1" applyFont="1" applyFill="1" applyBorder="1" applyAlignment="1">
      <alignment wrapText="1"/>
    </xf>
    <xf numFmtId="165" fontId="34" fillId="2" borderId="29" xfId="3" quotePrefix="1" applyNumberFormat="1" applyFont="1" applyFill="1" applyBorder="1" applyAlignment="1">
      <alignment horizontal="right"/>
    </xf>
    <xf numFmtId="165" fontId="34" fillId="2" borderId="30" xfId="3" quotePrefix="1" applyNumberFormat="1" applyFont="1" applyFill="1" applyBorder="1" applyAlignment="1">
      <alignment horizontal="right"/>
    </xf>
    <xf numFmtId="165" fontId="34" fillId="2" borderId="31" xfId="3" quotePrefix="1" applyNumberFormat="1" applyFont="1" applyFill="1" applyBorder="1" applyAlignment="1">
      <alignment horizontal="right"/>
    </xf>
    <xf numFmtId="1" fontId="22" fillId="2" borderId="28" xfId="0" applyNumberFormat="1" applyFont="1" applyFill="1" applyBorder="1" applyAlignment="1">
      <alignment wrapText="1"/>
    </xf>
    <xf numFmtId="1" fontId="22" fillId="2" borderId="29" xfId="0" applyNumberFormat="1" applyFont="1" applyFill="1" applyBorder="1" applyAlignment="1">
      <alignment wrapText="1"/>
    </xf>
    <xf numFmtId="173" fontId="14" fillId="7" borderId="28" xfId="4" applyNumberFormat="1" applyFont="1" applyFill="1" applyBorder="1" applyAlignment="1"/>
    <xf numFmtId="44" fontId="14" fillId="7" borderId="17" xfId="4" applyFont="1" applyFill="1" applyBorder="1" applyAlignment="1">
      <alignment wrapText="1"/>
    </xf>
    <xf numFmtId="44" fontId="14" fillId="7" borderId="25" xfId="4" applyFont="1" applyFill="1" applyBorder="1" applyAlignment="1"/>
    <xf numFmtId="173" fontId="14" fillId="7" borderId="29" xfId="4" applyNumberFormat="1" applyFont="1" applyFill="1" applyBorder="1" applyAlignment="1"/>
    <xf numFmtId="44" fontId="14" fillId="7" borderId="30" xfId="4" applyFont="1" applyFill="1" applyBorder="1" applyAlignment="1">
      <alignment wrapText="1"/>
    </xf>
    <xf numFmtId="44" fontId="14" fillId="7" borderId="31" xfId="4" applyFont="1" applyFill="1" applyBorder="1" applyAlignment="1"/>
    <xf numFmtId="173" fontId="14" fillId="7" borderId="30" xfId="4" applyNumberFormat="1" applyFont="1" applyFill="1" applyBorder="1" applyAlignment="1"/>
    <xf numFmtId="173" fontId="14" fillId="7" borderId="31" xfId="4" applyNumberFormat="1" applyFont="1" applyFill="1" applyBorder="1" applyAlignment="1"/>
    <xf numFmtId="173" fontId="14" fillId="7" borderId="25" xfId="4" applyNumberFormat="1" applyFont="1" applyFill="1" applyBorder="1" applyAlignment="1"/>
    <xf numFmtId="173" fontId="14" fillId="7" borderId="35" xfId="4" applyNumberFormat="1" applyFont="1" applyFill="1" applyBorder="1" applyAlignment="1"/>
    <xf numFmtId="44" fontId="14" fillId="7" borderId="20" xfId="4" applyFont="1" applyFill="1" applyBorder="1" applyAlignment="1">
      <alignment wrapText="1"/>
    </xf>
    <xf numFmtId="173" fontId="14" fillId="7" borderId="24" xfId="4" applyNumberFormat="1" applyFont="1" applyFill="1" applyBorder="1" applyAlignment="1"/>
    <xf numFmtId="173" fontId="14" fillId="7" borderId="25" xfId="4" applyNumberFormat="1" applyFont="1" applyFill="1" applyBorder="1" applyAlignment="1">
      <alignment wrapText="1"/>
    </xf>
    <xf numFmtId="173" fontId="14" fillId="7" borderId="31" xfId="4" applyNumberFormat="1" applyFont="1" applyFill="1" applyBorder="1" applyAlignment="1">
      <alignment wrapText="1"/>
    </xf>
    <xf numFmtId="6" fontId="22" fillId="0" borderId="50" xfId="7" applyNumberFormat="1" applyFont="1" applyBorder="1" applyAlignment="1">
      <alignment horizontal="center"/>
    </xf>
    <xf numFmtId="9" fontId="32" fillId="0" borderId="50" xfId="6" applyFont="1" applyFill="1" applyBorder="1" applyAlignment="1">
      <alignment horizontal="center"/>
    </xf>
    <xf numFmtId="0" fontId="22" fillId="0" borderId="50" xfId="7" applyFont="1" applyBorder="1"/>
    <xf numFmtId="2" fontId="17" fillId="0" borderId="50" xfId="7" applyNumberFormat="1" applyFont="1" applyBorder="1" applyAlignment="1">
      <alignment horizontal="center"/>
    </xf>
    <xf numFmtId="2" fontId="32" fillId="0" borderId="50" xfId="7" applyNumberFormat="1" applyFont="1" applyBorder="1" applyAlignment="1">
      <alignment horizontal="center" wrapText="1"/>
    </xf>
    <xf numFmtId="2" fontId="33" fillId="0" borderId="50" xfId="7" applyNumberFormat="1" applyFont="1" applyBorder="1" applyAlignment="1">
      <alignment horizontal="center" wrapText="1"/>
    </xf>
    <xf numFmtId="1" fontId="33" fillId="0" borderId="50" xfId="7" applyNumberFormat="1" applyFont="1" applyBorder="1" applyAlignment="1">
      <alignment horizontal="center" wrapText="1"/>
    </xf>
    <xf numFmtId="1" fontId="36" fillId="0" borderId="16" xfId="7" applyNumberFormat="1" applyFont="1" applyBorder="1" applyAlignment="1">
      <alignment horizontal="center" vertical="distributed" wrapText="1"/>
    </xf>
    <xf numFmtId="1" fontId="22" fillId="0" borderId="50" xfId="7" applyNumberFormat="1" applyFont="1" applyBorder="1" applyAlignment="1">
      <alignment horizontal="center" wrapText="1"/>
    </xf>
    <xf numFmtId="1" fontId="32" fillId="0" borderId="50" xfId="7" applyNumberFormat="1" applyFont="1" applyBorder="1" applyAlignment="1">
      <alignment horizontal="center" wrapText="1"/>
    </xf>
    <xf numFmtId="9" fontId="32" fillId="0" borderId="50" xfId="7" applyNumberFormat="1" applyFont="1" applyBorder="1" applyAlignment="1">
      <alignment horizontal="center" vertical="center"/>
    </xf>
    <xf numFmtId="1" fontId="18" fillId="0" borderId="50" xfId="7" applyNumberFormat="1" applyFont="1" applyBorder="1" applyAlignment="1">
      <alignment horizontal="center" wrapText="1"/>
    </xf>
    <xf numFmtId="1" fontId="22" fillId="0" borderId="50" xfId="7" applyNumberFormat="1" applyFont="1" applyBorder="1" applyAlignment="1">
      <alignment horizontal="center"/>
    </xf>
    <xf numFmtId="167" fontId="22" fillId="0" borderId="51" xfId="7" applyNumberFormat="1" applyFont="1" applyBorder="1" applyAlignment="1">
      <alignment horizontal="center" wrapText="1"/>
    </xf>
    <xf numFmtId="0" fontId="14" fillId="0" borderId="50" xfId="19" applyFont="1" applyBorder="1"/>
    <xf numFmtId="2" fontId="32" fillId="0" borderId="50" xfId="7" applyNumberFormat="1" applyFont="1" applyBorder="1" applyAlignment="1">
      <alignment horizontal="center"/>
    </xf>
    <xf numFmtId="0" fontId="18" fillId="0" borderId="50" xfId="7" applyFont="1" applyBorder="1" applyAlignment="1">
      <alignment horizontal="center"/>
    </xf>
    <xf numFmtId="6" fontId="22" fillId="0" borderId="4" xfId="7" applyNumberFormat="1" applyFont="1" applyBorder="1" applyAlignment="1">
      <alignment horizontal="center"/>
    </xf>
    <xf numFmtId="9" fontId="22" fillId="0" borderId="6" xfId="6" applyFont="1" applyFill="1" applyBorder="1" applyAlignment="1">
      <alignment horizontal="center"/>
    </xf>
    <xf numFmtId="2" fontId="17" fillId="0" borderId="4" xfId="7" applyNumberFormat="1" applyFont="1" applyBorder="1" applyAlignment="1">
      <alignment horizontal="center"/>
    </xf>
    <xf numFmtId="2" fontId="32" fillId="0" borderId="4" xfId="7" applyNumberFormat="1" applyFont="1" applyBorder="1" applyAlignment="1">
      <alignment horizontal="center"/>
    </xf>
    <xf numFmtId="2" fontId="33" fillId="0" borderId="4" xfId="7" applyNumberFormat="1" applyFont="1" applyBorder="1" applyAlignment="1">
      <alignment horizontal="center" wrapText="1"/>
    </xf>
    <xf numFmtId="2" fontId="33" fillId="0" borderId="6" xfId="7" applyNumberFormat="1" applyFont="1" applyBorder="1" applyAlignment="1">
      <alignment horizontal="center" wrapText="1"/>
    </xf>
    <xf numFmtId="1" fontId="33" fillId="0" borderId="4" xfId="7" applyNumberFormat="1" applyFont="1" applyBorder="1" applyAlignment="1">
      <alignment horizontal="center" wrapText="1"/>
    </xf>
    <xf numFmtId="1" fontId="33" fillId="0" borderId="6" xfId="7" applyNumberFormat="1" applyFont="1" applyBorder="1" applyAlignment="1">
      <alignment horizontal="center" wrapText="1"/>
    </xf>
    <xf numFmtId="1" fontId="36" fillId="0" borderId="11" xfId="7" applyNumberFormat="1" applyFont="1" applyBorder="1" applyAlignment="1">
      <alignment horizontal="center" vertical="distributed" wrapText="1"/>
    </xf>
    <xf numFmtId="1" fontId="32" fillId="0" borderId="4" xfId="7" applyNumberFormat="1" applyFont="1" applyBorder="1" applyAlignment="1">
      <alignment horizontal="center" wrapText="1"/>
    </xf>
    <xf numFmtId="9" fontId="32" fillId="0" borderId="4" xfId="7" applyNumberFormat="1" applyFont="1" applyBorder="1" applyAlignment="1">
      <alignment horizontal="center" vertical="center"/>
    </xf>
    <xf numFmtId="9" fontId="32" fillId="0" borderId="6" xfId="7" applyNumberFormat="1" applyFont="1" applyBorder="1" applyAlignment="1">
      <alignment horizontal="center" vertical="center"/>
    </xf>
    <xf numFmtId="1" fontId="22" fillId="0" borderId="4" xfId="7" applyNumberFormat="1" applyFont="1" applyBorder="1" applyAlignment="1">
      <alignment horizontal="center" wrapText="1"/>
    </xf>
    <xf numFmtId="1" fontId="18" fillId="0" borderId="4" xfId="7" applyNumberFormat="1" applyFont="1" applyBorder="1" applyAlignment="1">
      <alignment horizontal="center" wrapText="1"/>
    </xf>
    <xf numFmtId="167" fontId="22" fillId="0" borderId="57" xfId="7" applyNumberFormat="1" applyFont="1" applyBorder="1" applyAlignment="1">
      <alignment horizontal="center" wrapText="1"/>
    </xf>
    <xf numFmtId="1" fontId="32" fillId="0" borderId="50" xfId="7" applyNumberFormat="1" applyFont="1" applyBorder="1" applyAlignment="1">
      <alignment horizontal="center"/>
    </xf>
    <xf numFmtId="9" fontId="22" fillId="0" borderId="50" xfId="7" applyNumberFormat="1" applyFont="1" applyBorder="1" applyAlignment="1">
      <alignment horizontal="center" vertical="center"/>
    </xf>
    <xf numFmtId="0" fontId="24" fillId="4" borderId="53" xfId="7" applyFont="1" applyFill="1" applyBorder="1" applyAlignment="1">
      <alignment horizontal="left" vertical="center"/>
    </xf>
    <xf numFmtId="0" fontId="24" fillId="4" borderId="39" xfId="7" applyFont="1" applyFill="1" applyBorder="1" applyAlignment="1">
      <alignment vertical="center"/>
    </xf>
    <xf numFmtId="0" fontId="25" fillId="4" borderId="44" xfId="7" applyFont="1" applyFill="1" applyBorder="1" applyAlignment="1">
      <alignment horizontal="center" vertical="center" wrapText="1"/>
    </xf>
    <xf numFmtId="0" fontId="25" fillId="4" borderId="39" xfId="19" applyFont="1" applyFill="1" applyBorder="1"/>
    <xf numFmtId="0" fontId="25" fillId="4" borderId="39" xfId="7" applyFont="1" applyFill="1" applyBorder="1" applyAlignment="1">
      <alignment horizontal="center"/>
    </xf>
    <xf numFmtId="0" fontId="25" fillId="4" borderId="53" xfId="7" applyFont="1" applyFill="1" applyBorder="1" applyAlignment="1">
      <alignment horizontal="center" vertical="center" wrapText="1"/>
    </xf>
    <xf numFmtId="0" fontId="25" fillId="4" borderId="54" xfId="7" applyFont="1" applyFill="1" applyBorder="1" applyAlignment="1">
      <alignment horizontal="center" vertical="center" wrapText="1"/>
    </xf>
    <xf numFmtId="0" fontId="24" fillId="4" borderId="53" xfId="7" applyFont="1" applyFill="1" applyBorder="1" applyAlignment="1">
      <alignment horizontal="left" vertical="center" wrapText="1"/>
    </xf>
    <xf numFmtId="0" fontId="24" fillId="4" borderId="54" xfId="7" applyFont="1" applyFill="1" applyBorder="1" applyAlignment="1">
      <alignment vertical="center" wrapText="1"/>
    </xf>
    <xf numFmtId="167" fontId="22" fillId="6" borderId="6" xfId="7" applyNumberFormat="1" applyFont="1" applyFill="1" applyBorder="1"/>
    <xf numFmtId="6" fontId="21" fillId="0" borderId="6" xfId="7" applyNumberFormat="1" applyFont="1" applyBorder="1" applyAlignment="1">
      <alignment wrapText="1"/>
    </xf>
    <xf numFmtId="1" fontId="22" fillId="0" borderId="6" xfId="7" applyNumberFormat="1" applyFont="1" applyBorder="1" applyAlignment="1">
      <alignment wrapText="1"/>
    </xf>
    <xf numFmtId="1" fontId="21" fillId="0" borderId="6" xfId="7" applyNumberFormat="1" applyFont="1" applyBorder="1" applyAlignment="1">
      <alignment wrapText="1"/>
    </xf>
    <xf numFmtId="167" fontId="22" fillId="0" borderId="6" xfId="7" applyNumberFormat="1" applyFont="1" applyBorder="1"/>
    <xf numFmtId="1" fontId="21" fillId="0" borderId="56" xfId="7" applyNumberFormat="1" applyFont="1" applyBorder="1" applyAlignment="1">
      <alignment vertical="distributed" wrapText="1"/>
    </xf>
    <xf numFmtId="1" fontId="21" fillId="0" borderId="6" xfId="7" applyNumberFormat="1" applyFont="1" applyBorder="1" applyAlignment="1">
      <alignment vertical="distributed" wrapText="1"/>
    </xf>
    <xf numFmtId="1" fontId="22" fillId="0" borderId="58" xfId="7" applyNumberFormat="1" applyFont="1" applyBorder="1" applyAlignment="1">
      <alignment wrapText="1"/>
    </xf>
    <xf numFmtId="1" fontId="22" fillId="6" borderId="50" xfId="7" applyNumberFormat="1" applyFont="1" applyFill="1" applyBorder="1" applyAlignment="1">
      <alignment horizontal="center" vertical="center" wrapText="1"/>
    </xf>
    <xf numFmtId="167" fontId="22" fillId="6" borderId="50" xfId="7" applyNumberFormat="1" applyFont="1" applyFill="1" applyBorder="1" applyAlignment="1">
      <alignment horizontal="center" wrapText="1"/>
    </xf>
    <xf numFmtId="8" fontId="22" fillId="0" borderId="50" xfId="7" applyNumberFormat="1" applyFont="1" applyBorder="1" applyAlignment="1">
      <alignment horizontal="center"/>
    </xf>
    <xf numFmtId="2" fontId="22" fillId="0" borderId="50" xfId="7" applyNumberFormat="1" applyFont="1" applyBorder="1" applyAlignment="1">
      <alignment horizontal="center" wrapText="1"/>
    </xf>
    <xf numFmtId="9" fontId="17" fillId="0" borderId="50" xfId="6" applyFont="1" applyFill="1" applyBorder="1" applyAlignment="1">
      <alignment horizontal="center" wrapText="1"/>
    </xf>
    <xf numFmtId="169" fontId="17" fillId="0" borderId="50" xfId="6" applyNumberFormat="1" applyFont="1" applyFill="1" applyBorder="1" applyAlignment="1">
      <alignment horizontal="center" wrapText="1"/>
    </xf>
    <xf numFmtId="2" fontId="17" fillId="0" borderId="50" xfId="19" applyNumberFormat="1" applyFont="1" applyBorder="1" applyAlignment="1">
      <alignment horizontal="center" wrapText="1"/>
    </xf>
    <xf numFmtId="2" fontId="17" fillId="0" borderId="50" xfId="7" applyNumberFormat="1" applyFont="1" applyBorder="1" applyAlignment="1">
      <alignment horizontal="center" wrapText="1"/>
    </xf>
    <xf numFmtId="9" fontId="22" fillId="0" borderId="50" xfId="8" applyFont="1" applyFill="1" applyBorder="1" applyAlignment="1">
      <alignment horizontal="center" wrapText="1"/>
    </xf>
    <xf numFmtId="1" fontId="21" fillId="0" borderId="49" xfId="7" applyNumberFormat="1" applyFont="1" applyBorder="1" applyAlignment="1">
      <alignment horizontal="center" vertical="distributed" wrapText="1"/>
    </xf>
    <xf numFmtId="1" fontId="21" fillId="0" borderId="50" xfId="7" applyNumberFormat="1" applyFont="1" applyBorder="1" applyAlignment="1">
      <alignment horizontal="center" vertical="distributed" wrapText="1"/>
    </xf>
    <xf numFmtId="1" fontId="22" fillId="0" borderId="50" xfId="7" applyNumberFormat="1" applyFont="1" applyBorder="1" applyAlignment="1">
      <alignment horizontal="center" vertical="distributed" wrapText="1"/>
    </xf>
    <xf numFmtId="1" fontId="17" fillId="0" borderId="50" xfId="7" applyNumberFormat="1" applyFont="1" applyBorder="1" applyAlignment="1">
      <alignment horizontal="center" wrapText="1"/>
    </xf>
    <xf numFmtId="167" fontId="22" fillId="0" borderId="50" xfId="7" applyNumberFormat="1" applyFont="1" applyBorder="1" applyAlignment="1">
      <alignment horizontal="center" wrapText="1"/>
    </xf>
    <xf numFmtId="167" fontId="22" fillId="0" borderId="50" xfId="7" applyNumberFormat="1" applyFont="1" applyBorder="1" applyAlignment="1">
      <alignment horizontal="center"/>
    </xf>
    <xf numFmtId="1" fontId="22" fillId="0" borderId="51" xfId="7" applyNumberFormat="1" applyFont="1" applyBorder="1" applyAlignment="1">
      <alignment horizontal="center" wrapText="1"/>
    </xf>
    <xf numFmtId="0" fontId="22" fillId="0" borderId="50" xfId="7" applyFont="1" applyBorder="1" applyAlignment="1">
      <alignment horizontal="center"/>
    </xf>
    <xf numFmtId="2" fontId="22" fillId="0" borderId="50" xfId="7" applyNumberFormat="1" applyFont="1" applyBorder="1" applyAlignment="1">
      <alignment horizontal="center"/>
    </xf>
    <xf numFmtId="1" fontId="22" fillId="0" borderId="51" xfId="7" applyNumberFormat="1" applyFont="1" applyBorder="1" applyAlignment="1">
      <alignment horizontal="center"/>
    </xf>
    <xf numFmtId="9" fontId="22" fillId="0" borderId="50" xfId="7" applyNumberFormat="1" applyFont="1" applyBorder="1" applyAlignment="1">
      <alignment horizontal="center"/>
    </xf>
    <xf numFmtId="169" fontId="22" fillId="0" borderId="50" xfId="7" applyNumberFormat="1" applyFont="1" applyBorder="1" applyAlignment="1">
      <alignment horizontal="center"/>
    </xf>
    <xf numFmtId="9" fontId="22" fillId="0" borderId="50" xfId="6" applyFont="1" applyFill="1" applyBorder="1" applyAlignment="1">
      <alignment horizontal="center"/>
    </xf>
    <xf numFmtId="3" fontId="22" fillId="0" borderId="50" xfId="19" applyNumberFormat="1" applyFont="1" applyBorder="1" applyAlignment="1">
      <alignment horizontal="center" wrapText="1"/>
    </xf>
    <xf numFmtId="6" fontId="22" fillId="0" borderId="50" xfId="6" applyNumberFormat="1" applyFont="1" applyFill="1" applyBorder="1" applyAlignment="1">
      <alignment horizontal="center"/>
    </xf>
    <xf numFmtId="1" fontId="22" fillId="0" borderId="50" xfId="19" applyNumberFormat="1" applyFont="1" applyBorder="1" applyAlignment="1">
      <alignment horizontal="center" wrapText="1"/>
    </xf>
    <xf numFmtId="9" fontId="17" fillId="0" borderId="50" xfId="8" applyFont="1" applyFill="1" applyBorder="1" applyAlignment="1">
      <alignment horizontal="center"/>
    </xf>
    <xf numFmtId="1" fontId="22" fillId="6" borderId="4" xfId="7" applyNumberFormat="1" applyFont="1" applyFill="1" applyBorder="1" applyAlignment="1">
      <alignment horizontal="center" vertical="center" wrapText="1"/>
    </xf>
    <xf numFmtId="167" fontId="22" fillId="6" borderId="4" xfId="7" applyNumberFormat="1" applyFont="1" applyFill="1" applyBorder="1" applyAlignment="1">
      <alignment horizontal="center" wrapText="1"/>
    </xf>
    <xf numFmtId="7" fontId="22" fillId="0" borderId="4" xfId="7" applyNumberFormat="1" applyFont="1" applyBorder="1" applyAlignment="1">
      <alignment horizontal="center"/>
    </xf>
    <xf numFmtId="9" fontId="17" fillId="0" borderId="4" xfId="6" applyFont="1" applyFill="1" applyBorder="1" applyAlignment="1">
      <alignment horizontal="center" wrapText="1"/>
    </xf>
    <xf numFmtId="169" fontId="17" fillId="0" borderId="4" xfId="6" applyNumberFormat="1" applyFont="1" applyFill="1" applyBorder="1" applyAlignment="1">
      <alignment horizontal="center" wrapText="1"/>
    </xf>
    <xf numFmtId="2" fontId="17" fillId="0" borderId="4" xfId="19" applyNumberFormat="1" applyFont="1" applyBorder="1" applyAlignment="1">
      <alignment horizontal="center" wrapText="1"/>
    </xf>
    <xf numFmtId="9" fontId="22" fillId="0" borderId="4" xfId="8" applyFont="1" applyFill="1" applyBorder="1" applyAlignment="1">
      <alignment horizontal="center" wrapText="1"/>
    </xf>
    <xf numFmtId="1" fontId="17" fillId="0" borderId="4" xfId="7" applyNumberFormat="1" applyFont="1" applyBorder="1" applyAlignment="1">
      <alignment horizontal="center" wrapText="1"/>
    </xf>
    <xf numFmtId="9" fontId="22" fillId="0" borderId="4" xfId="7" applyNumberFormat="1" applyFont="1" applyBorder="1" applyAlignment="1">
      <alignment horizontal="center" vertical="center"/>
    </xf>
    <xf numFmtId="167" fontId="22" fillId="0" borderId="4" xfId="7" applyNumberFormat="1" applyFont="1" applyBorder="1" applyAlignment="1">
      <alignment horizontal="center" wrapText="1"/>
    </xf>
    <xf numFmtId="1" fontId="22" fillId="0" borderId="57" xfId="7" applyNumberFormat="1" applyFont="1" applyBorder="1" applyAlignment="1">
      <alignment horizontal="center"/>
    </xf>
    <xf numFmtId="0" fontId="22" fillId="0" borderId="50" xfId="0" applyFont="1" applyBorder="1"/>
    <xf numFmtId="1" fontId="17" fillId="0" borderId="50" xfId="19" applyNumberFormat="1" applyFont="1" applyBorder="1" applyAlignment="1">
      <alignment horizontal="center" wrapText="1"/>
    </xf>
    <xf numFmtId="0" fontId="17" fillId="0" borderId="50" xfId="7" applyFont="1" applyBorder="1" applyAlignment="1">
      <alignment horizontal="center"/>
    </xf>
    <xf numFmtId="0" fontId="22" fillId="5" borderId="41" xfId="0" applyFont="1" applyFill="1" applyBorder="1"/>
    <xf numFmtId="0" fontId="22" fillId="5" borderId="39" xfId="0" applyFont="1" applyFill="1" applyBorder="1"/>
    <xf numFmtId="0" fontId="22" fillId="5" borderId="40" xfId="0" applyFont="1" applyFill="1" applyBorder="1"/>
    <xf numFmtId="9" fontId="32" fillId="0" borderId="4" xfId="6" applyFont="1" applyFill="1" applyBorder="1" applyAlignment="1">
      <alignment horizontal="center"/>
    </xf>
    <xf numFmtId="0" fontId="15" fillId="0" borderId="21" xfId="0" applyFont="1" applyBorder="1"/>
    <xf numFmtId="0" fontId="25" fillId="5" borderId="0" xfId="0" applyFont="1" applyFill="1" applyAlignment="1">
      <alignment wrapText="1"/>
    </xf>
    <xf numFmtId="0" fontId="26" fillId="4" borderId="9" xfId="9" applyFont="1" applyFill="1" applyBorder="1" applyAlignment="1">
      <alignment vertical="center" wrapText="1"/>
    </xf>
    <xf numFmtId="0" fontId="24" fillId="5" borderId="4" xfId="7" applyFont="1" applyFill="1" applyBorder="1" applyAlignment="1">
      <alignment horizontal="center" vertical="top" wrapText="1"/>
    </xf>
    <xf numFmtId="0" fontId="24" fillId="5" borderId="6" xfId="19" applyFont="1" applyFill="1" applyBorder="1" applyAlignment="1">
      <alignment wrapText="1"/>
    </xf>
    <xf numFmtId="166" fontId="22" fillId="5" borderId="0" xfId="11" applyNumberFormat="1" applyFont="1" applyFill="1" applyBorder="1" applyAlignment="1">
      <alignment horizontal="center" vertical="center" wrapText="1"/>
    </xf>
    <xf numFmtId="0" fontId="25" fillId="0" borderId="0" xfId="0" applyFont="1" applyAlignment="1">
      <alignment wrapText="1"/>
    </xf>
    <xf numFmtId="0" fontId="25" fillId="4" borderId="39" xfId="0" applyFont="1" applyFill="1" applyBorder="1" applyAlignment="1">
      <alignment wrapText="1"/>
    </xf>
    <xf numFmtId="0" fontId="22" fillId="0" borderId="4" xfId="19" applyFont="1" applyBorder="1" applyAlignment="1">
      <alignment horizontal="center" vertical="center"/>
    </xf>
    <xf numFmtId="0" fontId="22" fillId="0" borderId="0" xfId="19" applyFont="1" applyAlignment="1">
      <alignment horizontal="center" vertical="center"/>
    </xf>
    <xf numFmtId="0" fontId="22" fillId="0" borderId="6" xfId="19" applyFont="1" applyBorder="1" applyAlignment="1">
      <alignment horizontal="center" vertical="center"/>
    </xf>
    <xf numFmtId="2" fontId="22" fillId="0" borderId="53" xfId="7" applyNumberFormat="1" applyFont="1" applyBorder="1" applyAlignment="1">
      <alignment horizontal="center" vertical="center"/>
    </xf>
    <xf numFmtId="2" fontId="22" fillId="0" borderId="39" xfId="7" applyNumberFormat="1" applyFont="1" applyBorder="1" applyAlignment="1">
      <alignment horizontal="center" vertical="center"/>
    </xf>
    <xf numFmtId="2" fontId="22" fillId="0" borderId="54" xfId="7" applyNumberFormat="1" applyFont="1" applyBorder="1" applyAlignment="1">
      <alignment horizontal="center" vertical="center"/>
    </xf>
    <xf numFmtId="2" fontId="22" fillId="0" borderId="53" xfId="19" applyNumberFormat="1" applyFont="1" applyBorder="1" applyAlignment="1">
      <alignment horizontal="center" vertical="center"/>
    </xf>
    <xf numFmtId="2" fontId="22" fillId="0" borderId="39" xfId="19" applyNumberFormat="1" applyFont="1" applyBorder="1" applyAlignment="1">
      <alignment horizontal="center" vertical="center"/>
    </xf>
    <xf numFmtId="2" fontId="22" fillId="0" borderId="54" xfId="19" applyNumberFormat="1" applyFont="1" applyBorder="1" applyAlignment="1">
      <alignment horizontal="center" vertical="center"/>
    </xf>
    <xf numFmtId="2" fontId="22" fillId="0" borderId="4" xfId="19" applyNumberFormat="1" applyFont="1" applyBorder="1" applyAlignment="1">
      <alignment horizontal="center" vertical="center"/>
    </xf>
    <xf numFmtId="2" fontId="22" fillId="0" borderId="0" xfId="19" applyNumberFormat="1" applyFont="1" applyAlignment="1">
      <alignment horizontal="center" vertical="center"/>
    </xf>
    <xf numFmtId="2" fontId="22" fillId="0" borderId="6" xfId="19" applyNumberFormat="1" applyFont="1" applyBorder="1" applyAlignment="1">
      <alignment horizontal="center" vertical="center"/>
    </xf>
    <xf numFmtId="2" fontId="21" fillId="0" borderId="6" xfId="19" applyNumberFormat="1" applyFont="1" applyBorder="1" applyAlignment="1">
      <alignment horizontal="center" vertical="center"/>
    </xf>
    <xf numFmtId="1" fontId="22" fillId="0" borderId="4" xfId="19" applyNumberFormat="1" applyFont="1" applyBorder="1" applyAlignment="1">
      <alignment horizontal="center" vertical="center"/>
    </xf>
    <xf numFmtId="1" fontId="22" fillId="0" borderId="6" xfId="19" applyNumberFormat="1" applyFont="1" applyBorder="1" applyAlignment="1">
      <alignment horizontal="center" vertical="center"/>
    </xf>
    <xf numFmtId="0" fontId="22" fillId="0" borderId="53" xfId="19" applyFont="1" applyBorder="1" applyAlignment="1">
      <alignment horizontal="center" vertical="center"/>
    </xf>
    <xf numFmtId="0" fontId="22" fillId="0" borderId="39" xfId="19" applyFont="1" applyBorder="1" applyAlignment="1">
      <alignment horizontal="center" vertical="center"/>
    </xf>
    <xf numFmtId="0" fontId="22" fillId="0" borderId="54" xfId="19" applyFont="1" applyBorder="1" applyAlignment="1">
      <alignment horizontal="center" vertical="center"/>
    </xf>
    <xf numFmtId="0" fontId="22" fillId="0" borderId="10" xfId="19" applyFont="1" applyBorder="1" applyAlignment="1">
      <alignment horizontal="center" vertical="center"/>
    </xf>
    <xf numFmtId="0" fontId="22" fillId="0" borderId="40" xfId="19" applyFont="1" applyBorder="1" applyAlignment="1">
      <alignment horizontal="center" vertical="center"/>
    </xf>
    <xf numFmtId="0" fontId="22" fillId="0" borderId="9" xfId="19" applyFont="1" applyBorder="1" applyAlignment="1">
      <alignment horizontal="center" vertical="center"/>
    </xf>
    <xf numFmtId="0" fontId="22" fillId="0" borderId="57" xfId="19" applyFont="1" applyBorder="1" applyAlignment="1">
      <alignment horizontal="center" vertical="center"/>
    </xf>
    <xf numFmtId="0" fontId="22" fillId="0" borderId="41" xfId="19" applyFont="1" applyBorder="1" applyAlignment="1">
      <alignment horizontal="center" vertical="center"/>
    </xf>
    <xf numFmtId="0" fontId="22" fillId="0" borderId="58" xfId="19" applyFont="1" applyBorder="1" applyAlignment="1">
      <alignment horizontal="center" vertical="center"/>
    </xf>
    <xf numFmtId="1" fontId="22" fillId="0" borderId="54" xfId="19" applyNumberFormat="1" applyFont="1" applyBorder="1" applyAlignment="1">
      <alignment horizontal="center" vertical="center"/>
    </xf>
    <xf numFmtId="1" fontId="22" fillId="0" borderId="53" xfId="19" applyNumberFormat="1" applyFont="1" applyBorder="1" applyAlignment="1">
      <alignment horizontal="center" vertical="center"/>
    </xf>
    <xf numFmtId="1" fontId="22" fillId="0" borderId="39" xfId="19" applyNumberFormat="1" applyFont="1" applyBorder="1" applyAlignment="1">
      <alignment horizontal="center" vertical="center"/>
    </xf>
    <xf numFmtId="2" fontId="32" fillId="0" borderId="4" xfId="19" applyNumberFormat="1" applyFont="1" applyBorder="1" applyAlignment="1">
      <alignment horizontal="center" vertical="center" wrapText="1"/>
    </xf>
    <xf numFmtId="2" fontId="32" fillId="0" borderId="57" xfId="7" applyNumberFormat="1" applyFont="1" applyBorder="1" applyAlignment="1">
      <alignment horizontal="center" vertical="center"/>
    </xf>
    <xf numFmtId="2" fontId="32" fillId="0" borderId="57" xfId="19" applyNumberFormat="1" applyFont="1" applyBorder="1" applyAlignment="1">
      <alignment horizontal="center" vertical="center"/>
    </xf>
    <xf numFmtId="2" fontId="32" fillId="0" borderId="41" xfId="19" applyNumberFormat="1" applyFont="1" applyBorder="1" applyAlignment="1">
      <alignment horizontal="center" vertical="center"/>
    </xf>
    <xf numFmtId="2" fontId="32" fillId="0" borderId="58" xfId="19" applyNumberFormat="1" applyFont="1" applyBorder="1" applyAlignment="1">
      <alignment horizontal="center" vertical="center"/>
    </xf>
    <xf numFmtId="2" fontId="32" fillId="0" borderId="0" xfId="19" applyNumberFormat="1" applyFont="1" applyAlignment="1">
      <alignment horizontal="center" vertical="center" wrapText="1"/>
    </xf>
    <xf numFmtId="2" fontId="32" fillId="0" borderId="6" xfId="19" applyNumberFormat="1" applyFont="1" applyBorder="1" applyAlignment="1">
      <alignment horizontal="center" vertical="center" wrapText="1"/>
    </xf>
    <xf numFmtId="3" fontId="32" fillId="0" borderId="4" xfId="19" applyNumberFormat="1" applyFont="1" applyBorder="1" applyAlignment="1">
      <alignment horizontal="center" vertical="center"/>
    </xf>
    <xf numFmtId="3" fontId="32" fillId="0" borderId="0" xfId="19" applyNumberFormat="1" applyFont="1" applyAlignment="1">
      <alignment horizontal="center" vertical="center"/>
    </xf>
    <xf numFmtId="3" fontId="32" fillId="0" borderId="6" xfId="19" applyNumberFormat="1" applyFont="1" applyBorder="1" applyAlignment="1">
      <alignment horizontal="center" vertical="center"/>
    </xf>
    <xf numFmtId="0" fontId="32" fillId="0" borderId="4" xfId="19" applyFont="1" applyBorder="1" applyAlignment="1">
      <alignment horizontal="center" vertical="center"/>
    </xf>
    <xf numFmtId="0" fontId="32" fillId="0" borderId="0" xfId="19" applyFont="1" applyAlignment="1">
      <alignment horizontal="center" vertical="center"/>
    </xf>
    <xf numFmtId="0" fontId="32" fillId="0" borderId="6" xfId="19" applyFont="1" applyBorder="1" applyAlignment="1">
      <alignment horizontal="center" vertical="center"/>
    </xf>
    <xf numFmtId="9" fontId="32" fillId="0" borderId="4" xfId="19" applyNumberFormat="1" applyFont="1" applyBorder="1" applyAlignment="1">
      <alignment horizontal="center" vertical="center"/>
    </xf>
    <xf numFmtId="9" fontId="32" fillId="0" borderId="6" xfId="19" applyNumberFormat="1" applyFont="1" applyBorder="1" applyAlignment="1">
      <alignment horizontal="center" vertical="center"/>
    </xf>
    <xf numFmtId="2" fontId="32" fillId="0" borderId="58" xfId="7" applyNumberFormat="1" applyFont="1" applyBorder="1" applyAlignment="1">
      <alignment horizontal="center" vertical="center"/>
    </xf>
    <xf numFmtId="2" fontId="32" fillId="0" borderId="41" xfId="7" applyNumberFormat="1" applyFont="1" applyBorder="1" applyAlignment="1">
      <alignment horizontal="center" vertical="center"/>
    </xf>
    <xf numFmtId="0" fontId="21" fillId="6" borderId="58" xfId="19" applyFont="1" applyFill="1" applyBorder="1" applyAlignment="1">
      <alignment horizontal="center" vertical="center" wrapText="1"/>
    </xf>
    <xf numFmtId="0" fontId="22" fillId="6" borderId="10" xfId="19" applyFont="1" applyFill="1" applyBorder="1" applyAlignment="1">
      <alignment horizontal="center" vertical="center"/>
    </xf>
    <xf numFmtId="0" fontId="22" fillId="6" borderId="40" xfId="19" applyFont="1" applyFill="1" applyBorder="1" applyAlignment="1">
      <alignment horizontal="center" vertical="center"/>
    </xf>
    <xf numFmtId="1" fontId="22" fillId="6" borderId="9" xfId="19" applyNumberFormat="1" applyFont="1" applyFill="1" applyBorder="1" applyAlignment="1">
      <alignment horizontal="center" vertical="center"/>
    </xf>
    <xf numFmtId="1" fontId="21" fillId="6" borderId="57" xfId="7" applyNumberFormat="1" applyFont="1" applyFill="1" applyBorder="1" applyAlignment="1">
      <alignment horizontal="center" vertical="center" wrapText="1"/>
    </xf>
    <xf numFmtId="1" fontId="21" fillId="6" borderId="41" xfId="7" applyNumberFormat="1" applyFont="1" applyFill="1" applyBorder="1" applyAlignment="1">
      <alignment horizontal="center" vertical="center" wrapText="1"/>
    </xf>
    <xf numFmtId="0" fontId="22" fillId="6" borderId="4" xfId="19" applyFont="1" applyFill="1" applyBorder="1" applyAlignment="1">
      <alignment horizontal="center" vertical="center"/>
    </xf>
    <xf numFmtId="1" fontId="22" fillId="6" borderId="0" xfId="19" applyNumberFormat="1" applyFont="1" applyFill="1" applyAlignment="1">
      <alignment horizontal="center" vertical="center"/>
    </xf>
    <xf numFmtId="2" fontId="22" fillId="7" borderId="4" xfId="19" applyNumberFormat="1" applyFont="1" applyFill="1" applyBorder="1" applyAlignment="1">
      <alignment horizontal="center" vertical="center" wrapText="1"/>
    </xf>
    <xf numFmtId="2" fontId="22" fillId="7" borderId="0" xfId="19" applyNumberFormat="1" applyFont="1" applyFill="1" applyAlignment="1">
      <alignment horizontal="center" vertical="center" wrapText="1"/>
    </xf>
    <xf numFmtId="2" fontId="22" fillId="7" borderId="6" xfId="19" applyNumberFormat="1" applyFont="1" applyFill="1" applyBorder="1" applyAlignment="1">
      <alignment horizontal="center" vertical="center" wrapText="1"/>
    </xf>
    <xf numFmtId="1" fontId="32" fillId="0" borderId="4" xfId="19" applyNumberFormat="1" applyFont="1" applyBorder="1" applyAlignment="1">
      <alignment horizontal="center" vertical="center"/>
    </xf>
    <xf numFmtId="1" fontId="32" fillId="0" borderId="6" xfId="19" applyNumberFormat="1" applyFont="1" applyBorder="1" applyAlignment="1">
      <alignment horizontal="center" vertical="center"/>
    </xf>
    <xf numFmtId="167" fontId="32" fillId="0" borderId="0" xfId="19" applyNumberFormat="1" applyFont="1" applyAlignment="1">
      <alignment horizontal="center" vertical="center"/>
    </xf>
    <xf numFmtId="2" fontId="32" fillId="0" borderId="4" xfId="19" applyNumberFormat="1" applyFont="1" applyBorder="1" applyAlignment="1">
      <alignment horizontal="center" vertical="center"/>
    </xf>
    <xf numFmtId="2" fontId="32" fillId="0" borderId="0" xfId="19" applyNumberFormat="1" applyFont="1" applyAlignment="1">
      <alignment horizontal="center" vertical="center"/>
    </xf>
    <xf numFmtId="2" fontId="32" fillId="0" borderId="6" xfId="19" applyNumberFormat="1" applyFont="1" applyBorder="1" applyAlignment="1">
      <alignment horizontal="center" vertical="center"/>
    </xf>
    <xf numFmtId="0" fontId="32" fillId="0" borderId="57" xfId="19" applyFont="1" applyBorder="1" applyAlignment="1">
      <alignment horizontal="center" vertical="center"/>
    </xf>
    <xf numFmtId="0" fontId="32" fillId="0" borderId="41" xfId="19" applyFont="1" applyBorder="1" applyAlignment="1">
      <alignment horizontal="center" vertical="center"/>
    </xf>
    <xf numFmtId="0" fontId="32" fillId="0" borderId="58" xfId="19" applyFont="1" applyBorder="1" applyAlignment="1">
      <alignment horizontal="center" vertical="center"/>
    </xf>
    <xf numFmtId="1" fontId="22" fillId="6" borderId="40" xfId="19" applyNumberFormat="1" applyFont="1" applyFill="1" applyBorder="1" applyAlignment="1">
      <alignment horizontal="center" vertical="center"/>
    </xf>
    <xf numFmtId="1" fontId="22" fillId="6" borderId="10" xfId="19" applyNumberFormat="1" applyFont="1" applyFill="1" applyBorder="1" applyAlignment="1">
      <alignment horizontal="center" vertical="center"/>
    </xf>
    <xf numFmtId="1" fontId="21" fillId="6" borderId="58" xfId="7" applyNumberFormat="1" applyFont="1" applyFill="1" applyBorder="1" applyAlignment="1">
      <alignment horizontal="center" vertical="center" wrapText="1"/>
    </xf>
    <xf numFmtId="1" fontId="22" fillId="6" borderId="6" xfId="19" applyNumberFormat="1" applyFont="1" applyFill="1" applyBorder="1" applyAlignment="1">
      <alignment horizontal="center" vertical="center"/>
    </xf>
    <xf numFmtId="1" fontId="22" fillId="6" borderId="4" xfId="19" applyNumberFormat="1" applyFont="1" applyFill="1" applyBorder="1" applyAlignment="1">
      <alignment horizontal="center" vertical="center"/>
    </xf>
    <xf numFmtId="1" fontId="14" fillId="2" borderId="31" xfId="0" applyNumberFormat="1" applyFont="1" applyFill="1" applyBorder="1" applyAlignment="1">
      <alignment wrapText="1"/>
    </xf>
    <xf numFmtId="0" fontId="14" fillId="0" borderId="4" xfId="19" applyFont="1" applyBorder="1" applyAlignment="1">
      <alignment horizontal="center" vertical="center" wrapText="1"/>
    </xf>
    <xf numFmtId="0" fontId="14" fillId="0" borderId="45" xfId="19" applyFont="1" applyBorder="1" applyAlignment="1">
      <alignment horizontal="center"/>
    </xf>
    <xf numFmtId="9" fontId="21" fillId="0" borderId="8" xfId="19" applyNumberFormat="1" applyFont="1" applyBorder="1" applyAlignment="1">
      <alignment horizontal="center"/>
    </xf>
    <xf numFmtId="173" fontId="22" fillId="2" borderId="25" xfId="4" quotePrefix="1" applyNumberFormat="1" applyFont="1" applyFill="1" applyBorder="1" applyAlignment="1">
      <alignment horizontal="left"/>
    </xf>
    <xf numFmtId="173" fontId="22" fillId="2" borderId="25" xfId="4" applyNumberFormat="1" applyFont="1" applyFill="1" applyBorder="1" applyAlignment="1"/>
    <xf numFmtId="173" fontId="14" fillId="2" borderId="31" xfId="4" applyNumberFormat="1" applyFont="1" applyFill="1" applyBorder="1" applyAlignment="1"/>
    <xf numFmtId="173" fontId="14" fillId="2" borderId="25" xfId="4" applyNumberFormat="1" applyFont="1" applyFill="1" applyBorder="1" applyAlignment="1">
      <alignment horizontal="right" wrapText="1"/>
    </xf>
    <xf numFmtId="173" fontId="14" fillId="7" borderId="24" xfId="4" applyNumberFormat="1" applyFont="1" applyFill="1" applyBorder="1" applyAlignment="1">
      <alignment wrapText="1"/>
    </xf>
    <xf numFmtId="1" fontId="32" fillId="2" borderId="28" xfId="3" applyNumberFormat="1" applyFont="1" applyFill="1" applyBorder="1" applyAlignment="1" applyProtection="1">
      <alignment horizontal="right" wrapText="1"/>
      <protection locked="0"/>
    </xf>
    <xf numFmtId="0" fontId="32" fillId="2" borderId="28" xfId="0" applyFont="1" applyFill="1" applyBorder="1" applyAlignment="1">
      <alignment wrapText="1"/>
    </xf>
    <xf numFmtId="1" fontId="14" fillId="2" borderId="29" xfId="0" applyNumberFormat="1" applyFont="1" applyFill="1" applyBorder="1" applyAlignment="1">
      <alignment wrapText="1"/>
    </xf>
    <xf numFmtId="1" fontId="14" fillId="2" borderId="28" xfId="0" applyNumberFormat="1" applyFont="1" applyFill="1" applyBorder="1" applyAlignment="1">
      <alignment wrapText="1"/>
    </xf>
    <xf numFmtId="44" fontId="14" fillId="2" borderId="28" xfId="4" applyFont="1" applyFill="1" applyBorder="1" applyAlignment="1">
      <alignment wrapText="1"/>
    </xf>
    <xf numFmtId="44" fontId="22" fillId="2" borderId="28" xfId="4" quotePrefix="1" applyFont="1" applyFill="1" applyBorder="1" applyAlignment="1">
      <alignment horizontal="left" wrapText="1"/>
    </xf>
    <xf numFmtId="173" fontId="22" fillId="2" borderId="28" xfId="4" quotePrefix="1" applyNumberFormat="1" applyFont="1" applyFill="1" applyBorder="1" applyAlignment="1">
      <alignment horizontal="left" wrapText="1"/>
    </xf>
    <xf numFmtId="173" fontId="14" fillId="2" borderId="29" xfId="4" applyNumberFormat="1" applyFont="1" applyFill="1" applyBorder="1" applyAlignment="1">
      <alignment wrapText="1"/>
    </xf>
    <xf numFmtId="44" fontId="14" fillId="7" borderId="29" xfId="4" applyFont="1" applyFill="1" applyBorder="1" applyAlignment="1">
      <alignment wrapText="1"/>
    </xf>
    <xf numFmtId="173" fontId="14" fillId="2" borderId="46" xfId="4" applyNumberFormat="1" applyFont="1" applyFill="1" applyBorder="1" applyAlignment="1">
      <alignment wrapText="1"/>
    </xf>
    <xf numFmtId="173" fontId="14" fillId="2" borderId="28" xfId="4" applyNumberFormat="1" applyFont="1" applyFill="1" applyBorder="1" applyAlignment="1">
      <alignment wrapText="1"/>
    </xf>
    <xf numFmtId="173" fontId="22" fillId="2" borderId="28" xfId="4" applyNumberFormat="1" applyFont="1" applyFill="1" applyBorder="1" applyAlignment="1">
      <alignment wrapText="1"/>
    </xf>
    <xf numFmtId="173" fontId="14" fillId="7" borderId="28" xfId="4" applyNumberFormat="1" applyFont="1" applyFill="1" applyBorder="1" applyAlignment="1">
      <alignment wrapText="1"/>
    </xf>
    <xf numFmtId="173" fontId="14" fillId="7" borderId="29" xfId="4" applyNumberFormat="1" applyFont="1" applyFill="1" applyBorder="1" applyAlignment="1">
      <alignment wrapText="1"/>
    </xf>
    <xf numFmtId="173" fontId="14" fillId="7" borderId="35" xfId="4" applyNumberFormat="1" applyFont="1" applyFill="1" applyBorder="1" applyAlignment="1">
      <alignment wrapText="1"/>
    </xf>
    <xf numFmtId="173" fontId="22" fillId="0" borderId="50" xfId="4" applyNumberFormat="1" applyFont="1" applyBorder="1"/>
    <xf numFmtId="173" fontId="22" fillId="0" borderId="51" xfId="4" applyNumberFormat="1" applyFont="1" applyBorder="1"/>
    <xf numFmtId="44" fontId="14" fillId="3" borderId="23" xfId="4" applyFont="1" applyFill="1" applyBorder="1" applyAlignment="1">
      <alignment wrapText="1"/>
    </xf>
    <xf numFmtId="173" fontId="22" fillId="2" borderId="28" xfId="4" quotePrefix="1" applyNumberFormat="1" applyFont="1" applyFill="1" applyBorder="1" applyAlignment="1">
      <alignment horizontal="left"/>
    </xf>
    <xf numFmtId="173" fontId="14" fillId="2" borderId="29" xfId="4" applyNumberFormat="1" applyFont="1" applyFill="1" applyBorder="1" applyAlignment="1"/>
    <xf numFmtId="173" fontId="14" fillId="3" borderId="27" xfId="4" applyNumberFormat="1" applyFont="1" applyFill="1" applyBorder="1" applyAlignment="1"/>
    <xf numFmtId="173" fontId="14" fillId="3" borderId="23" xfId="4" applyNumberFormat="1" applyFont="1" applyFill="1" applyBorder="1" applyAlignment="1"/>
    <xf numFmtId="0" fontId="32" fillId="2" borderId="31" xfId="0" applyFont="1" applyFill="1" applyBorder="1" applyAlignment="1">
      <alignment wrapText="1"/>
    </xf>
    <xf numFmtId="168" fontId="15" fillId="2" borderId="29" xfId="0" applyNumberFormat="1" applyFont="1" applyFill="1" applyBorder="1" applyAlignment="1">
      <alignment horizontal="right"/>
    </xf>
    <xf numFmtId="173" fontId="22" fillId="0" borderId="50" xfId="4" applyNumberFormat="1" applyFont="1" applyFill="1" applyBorder="1"/>
    <xf numFmtId="168" fontId="39" fillId="2" borderId="29" xfId="0" applyNumberFormat="1" applyFont="1" applyFill="1" applyBorder="1" applyAlignment="1">
      <alignment horizontal="right" wrapText="1"/>
    </xf>
    <xf numFmtId="0" fontId="14" fillId="6" borderId="50" xfId="0" applyFont="1" applyFill="1" applyBorder="1"/>
    <xf numFmtId="0" fontId="14" fillId="6" borderId="50" xfId="19" applyFont="1" applyFill="1" applyBorder="1" applyAlignment="1">
      <alignment vertical="center" wrapText="1"/>
    </xf>
    <xf numFmtId="0" fontId="14" fillId="6" borderId="50" xfId="19" applyFont="1" applyFill="1" applyBorder="1" applyAlignment="1">
      <alignment horizontal="justify" vertical="center"/>
    </xf>
    <xf numFmtId="0" fontId="15" fillId="6" borderId="51" xfId="19" applyFont="1" applyFill="1" applyBorder="1" applyAlignment="1">
      <alignment horizontal="justify" vertical="center"/>
    </xf>
    <xf numFmtId="0" fontId="14" fillId="0" borderId="40" xfId="19" applyFont="1" applyBorder="1" applyAlignment="1">
      <alignment horizontal="center" vertical="center"/>
    </xf>
    <xf numFmtId="0" fontId="14" fillId="0" borderId="9" xfId="19" applyFont="1" applyBorder="1" applyAlignment="1">
      <alignment horizontal="center" vertical="center"/>
    </xf>
    <xf numFmtId="0" fontId="14" fillId="0" borderId="0" xfId="19" quotePrefix="1" applyFont="1"/>
    <xf numFmtId="0" fontId="14" fillId="0" borderId="6" xfId="19" applyFont="1" applyBorder="1" applyAlignment="1">
      <alignment horizontal="center" vertical="center" wrapText="1"/>
    </xf>
    <xf numFmtId="0" fontId="14" fillId="0" borderId="41" xfId="19" applyFont="1" applyBorder="1" applyAlignment="1">
      <alignment horizontal="justify" vertical="center"/>
    </xf>
    <xf numFmtId="0" fontId="14" fillId="0" borderId="41" xfId="19" applyFont="1" applyBorder="1" applyAlignment="1">
      <alignment horizontal="center" vertical="center"/>
    </xf>
    <xf numFmtId="0" fontId="14" fillId="0" borderId="58" xfId="19" applyFont="1" applyBorder="1" applyAlignment="1">
      <alignment horizontal="center" vertical="center"/>
    </xf>
    <xf numFmtId="9" fontId="14" fillId="0" borderId="0" xfId="6" applyFont="1" applyFill="1" applyBorder="1" applyAlignment="1">
      <alignment horizontal="center" vertical="center"/>
    </xf>
    <xf numFmtId="1" fontId="21" fillId="0" borderId="42" xfId="19" applyNumberFormat="1" applyFont="1" applyBorder="1" applyAlignment="1">
      <alignment horizontal="center" vertical="center"/>
    </xf>
    <xf numFmtId="1" fontId="14" fillId="0" borderId="6" xfId="19" applyNumberFormat="1" applyFont="1" applyBorder="1" applyAlignment="1">
      <alignment horizontal="center" vertical="center"/>
    </xf>
    <xf numFmtId="0" fontId="14" fillId="5" borderId="34" xfId="0" applyFont="1" applyFill="1" applyBorder="1"/>
    <xf numFmtId="0" fontId="24" fillId="5" borderId="34" xfId="19" applyFont="1" applyFill="1" applyBorder="1" applyAlignment="1">
      <alignment vertical="center"/>
    </xf>
    <xf numFmtId="0" fontId="14" fillId="0" borderId="10" xfId="0" applyFont="1" applyBorder="1"/>
    <xf numFmtId="0" fontId="14" fillId="0" borderId="40" xfId="0" applyFont="1" applyBorder="1"/>
    <xf numFmtId="0" fontId="14" fillId="0" borderId="9" xfId="0" applyFont="1" applyBorder="1"/>
    <xf numFmtId="1" fontId="14" fillId="0" borderId="4" xfId="19" applyNumberFormat="1" applyFont="1" applyBorder="1" applyAlignment="1">
      <alignment horizontal="center" vertical="center"/>
    </xf>
    <xf numFmtId="1" fontId="21" fillId="0" borderId="52" xfId="19" applyNumberFormat="1" applyFont="1" applyBorder="1" applyAlignment="1">
      <alignment horizontal="center" vertical="center"/>
    </xf>
    <xf numFmtId="0" fontId="22" fillId="6" borderId="0" xfId="0" applyFont="1" applyFill="1"/>
    <xf numFmtId="0" fontId="30" fillId="6" borderId="4" xfId="7" applyFont="1" applyFill="1" applyBorder="1" applyAlignment="1">
      <alignment horizontal="center"/>
    </xf>
    <xf numFmtId="6" fontId="30" fillId="0" borderId="4" xfId="7" applyNumberFormat="1" applyFont="1" applyBorder="1" applyAlignment="1">
      <alignment horizontal="center"/>
    </xf>
    <xf numFmtId="8" fontId="30" fillId="0" borderId="4" xfId="7" applyNumberFormat="1" applyFont="1" applyBorder="1" applyAlignment="1">
      <alignment horizontal="center"/>
    </xf>
    <xf numFmtId="2" fontId="35" fillId="0" borderId="4" xfId="7" applyNumberFormat="1" applyFont="1" applyBorder="1" applyAlignment="1">
      <alignment horizontal="center"/>
    </xf>
    <xf numFmtId="2" fontId="30" fillId="0" borderId="4" xfId="7" applyNumberFormat="1" applyFont="1" applyBorder="1" applyAlignment="1">
      <alignment horizontal="left"/>
    </xf>
    <xf numFmtId="2" fontId="35" fillId="0" borderId="4" xfId="7" applyNumberFormat="1" applyFont="1" applyBorder="1" applyAlignment="1">
      <alignment horizontal="center" wrapText="1"/>
    </xf>
    <xf numFmtId="1" fontId="35" fillId="0" borderId="4" xfId="7" applyNumberFormat="1" applyFont="1" applyBorder="1" applyAlignment="1">
      <alignment horizontal="center" wrapText="1"/>
    </xf>
    <xf numFmtId="1" fontId="31" fillId="0" borderId="4" xfId="7" applyNumberFormat="1" applyFont="1" applyBorder="1" applyAlignment="1">
      <alignment horizontal="center" vertical="distributed" wrapText="1"/>
    </xf>
    <xf numFmtId="1" fontId="30" fillId="0" borderId="4" xfId="7" applyNumberFormat="1" applyFont="1" applyBorder="1" applyAlignment="1">
      <alignment horizontal="center" wrapText="1"/>
    </xf>
    <xf numFmtId="9" fontId="30" fillId="0" borderId="4" xfId="7" applyNumberFormat="1" applyFont="1" applyBorder="1" applyAlignment="1">
      <alignment horizontal="center" vertical="center"/>
    </xf>
    <xf numFmtId="1" fontId="30" fillId="0" borderId="4" xfId="7" applyNumberFormat="1" applyFont="1" applyBorder="1" applyAlignment="1">
      <alignment horizontal="center"/>
    </xf>
    <xf numFmtId="167" fontId="30" fillId="0" borderId="57" xfId="7" applyNumberFormat="1" applyFont="1" applyBorder="1" applyAlignment="1">
      <alignment horizontal="center" wrapText="1"/>
    </xf>
    <xf numFmtId="0" fontId="25" fillId="4" borderId="53" xfId="7" applyFont="1" applyFill="1" applyBorder="1" applyAlignment="1">
      <alignment horizontal="center"/>
    </xf>
    <xf numFmtId="0" fontId="25" fillId="4" borderId="39" xfId="0" applyFont="1" applyFill="1" applyBorder="1"/>
    <xf numFmtId="0" fontId="22" fillId="4" borderId="39" xfId="0" applyFont="1" applyFill="1" applyBorder="1"/>
    <xf numFmtId="0" fontId="25" fillId="4" borderId="44" xfId="7" applyFont="1" applyFill="1" applyBorder="1" applyAlignment="1">
      <alignment horizontal="center" vertical="center"/>
    </xf>
    <xf numFmtId="0" fontId="14" fillId="0" borderId="50" xfId="19" applyFont="1" applyBorder="1" applyAlignment="1">
      <alignment horizontal="center"/>
    </xf>
    <xf numFmtId="1" fontId="36" fillId="0" borderId="16" xfId="7" applyNumberFormat="1" applyFont="1" applyBorder="1" applyAlignment="1">
      <alignment horizontal="center" wrapText="1"/>
    </xf>
    <xf numFmtId="1" fontId="21" fillId="0" borderId="16" xfId="7" applyNumberFormat="1" applyFont="1" applyBorder="1" applyAlignment="1">
      <alignment horizontal="center" wrapText="1"/>
    </xf>
    <xf numFmtId="9" fontId="14" fillId="0" borderId="4" xfId="6" applyFont="1" applyFill="1" applyBorder="1" applyAlignment="1">
      <alignment horizontal="center" vertical="center"/>
    </xf>
    <xf numFmtId="9" fontId="15" fillId="0" borderId="8" xfId="19" applyNumberFormat="1" applyFont="1" applyBorder="1" applyAlignment="1">
      <alignment horizontal="center" vertical="center"/>
    </xf>
    <xf numFmtId="1" fontId="15" fillId="0" borderId="57" xfId="19" applyNumberFormat="1" applyFont="1" applyBorder="1" applyAlignment="1">
      <alignment horizontal="center" vertical="center"/>
    </xf>
    <xf numFmtId="9" fontId="15" fillId="0" borderId="41" xfId="19" applyNumberFormat="1" applyFont="1" applyBorder="1" applyAlignment="1">
      <alignment horizontal="center" vertical="center"/>
    </xf>
    <xf numFmtId="1" fontId="21" fillId="0" borderId="41" xfId="19" applyNumberFormat="1" applyFont="1" applyBorder="1" applyAlignment="1">
      <alignment horizontal="center" vertical="center"/>
    </xf>
    <xf numFmtId="1" fontId="21" fillId="0" borderId="58" xfId="19" applyNumberFormat="1" applyFont="1" applyBorder="1" applyAlignment="1">
      <alignment horizontal="center" vertical="center"/>
    </xf>
    <xf numFmtId="1" fontId="14" fillId="0" borderId="57" xfId="19" applyNumberFormat="1" applyFont="1" applyBorder="1" applyAlignment="1">
      <alignment horizontal="center" vertical="center"/>
    </xf>
    <xf numFmtId="9" fontId="14" fillId="0" borderId="41" xfId="6" applyFont="1" applyFill="1" applyBorder="1" applyAlignment="1">
      <alignment horizontal="center" vertical="center"/>
    </xf>
    <xf numFmtId="1" fontId="14" fillId="0" borderId="41" xfId="19" applyNumberFormat="1" applyFont="1" applyBorder="1" applyAlignment="1">
      <alignment horizontal="center" vertical="center"/>
    </xf>
    <xf numFmtId="1" fontId="14" fillId="0" borderId="58" xfId="19" applyNumberFormat="1" applyFont="1" applyBorder="1" applyAlignment="1">
      <alignment horizontal="center" vertical="center"/>
    </xf>
    <xf numFmtId="0" fontId="32" fillId="2" borderId="29" xfId="0" applyFont="1" applyFill="1" applyBorder="1" applyAlignment="1">
      <alignment wrapText="1"/>
    </xf>
    <xf numFmtId="1" fontId="22" fillId="2" borderId="35" xfId="0" applyNumberFormat="1" applyFont="1" applyFill="1" applyBorder="1" applyAlignment="1">
      <alignment wrapText="1"/>
    </xf>
    <xf numFmtId="1" fontId="32" fillId="2" borderId="20" xfId="0" applyNumberFormat="1" applyFont="1" applyFill="1" applyBorder="1" applyAlignment="1">
      <alignment wrapText="1"/>
    </xf>
    <xf numFmtId="1" fontId="32" fillId="2" borderId="24" xfId="0" applyNumberFormat="1" applyFont="1" applyFill="1" applyBorder="1" applyAlignment="1">
      <alignment wrapText="1"/>
    </xf>
    <xf numFmtId="0" fontId="32" fillId="2" borderId="35" xfId="0" applyFont="1" applyFill="1" applyBorder="1" applyAlignment="1">
      <alignment wrapText="1"/>
    </xf>
    <xf numFmtId="0" fontId="32" fillId="2" borderId="24" xfId="0" applyFont="1" applyFill="1" applyBorder="1" applyAlignment="1">
      <alignment wrapText="1"/>
    </xf>
    <xf numFmtId="1" fontId="14" fillId="2" borderId="35" xfId="0" applyNumberFormat="1" applyFont="1" applyFill="1" applyBorder="1" applyAlignment="1">
      <alignment wrapText="1"/>
    </xf>
    <xf numFmtId="0" fontId="14" fillId="2" borderId="35" xfId="0" applyFont="1" applyFill="1" applyBorder="1" applyAlignment="1">
      <alignment wrapText="1"/>
    </xf>
    <xf numFmtId="0" fontId="20" fillId="0" borderId="50" xfId="7" applyFont="1" applyBorder="1" applyAlignment="1">
      <alignment vertical="distributed"/>
    </xf>
    <xf numFmtId="1" fontId="22" fillId="0" borderId="50" xfId="7" applyNumberFormat="1" applyFont="1" applyBorder="1"/>
    <xf numFmtId="0" fontId="22" fillId="6" borderId="50" xfId="7" applyFont="1" applyFill="1" applyBorder="1" applyAlignment="1">
      <alignment horizontal="center"/>
    </xf>
    <xf numFmtId="0" fontId="22" fillId="6" borderId="50" xfId="7" applyFont="1" applyFill="1" applyBorder="1" applyAlignment="1">
      <alignment horizontal="left"/>
    </xf>
    <xf numFmtId="0" fontId="22" fillId="6" borderId="50" xfId="7" applyFont="1" applyFill="1" applyBorder="1"/>
    <xf numFmtId="0" fontId="22" fillId="5" borderId="0" xfId="7" applyFont="1" applyFill="1" applyAlignment="1">
      <alignment horizontal="left"/>
    </xf>
    <xf numFmtId="0" fontId="25" fillId="4" borderId="14" xfId="7" applyFont="1" applyFill="1" applyBorder="1" applyAlignment="1">
      <alignment horizontal="center" vertical="center" wrapText="1"/>
    </xf>
    <xf numFmtId="0" fontId="32" fillId="0" borderId="50" xfId="7" applyFont="1" applyBorder="1" applyAlignment="1">
      <alignment horizontal="center"/>
    </xf>
    <xf numFmtId="0" fontId="33" fillId="0" borderId="50" xfId="7" applyFont="1" applyBorder="1"/>
    <xf numFmtId="0" fontId="32" fillId="0" borderId="50" xfId="7" applyFont="1" applyBorder="1"/>
    <xf numFmtId="6" fontId="32" fillId="0" borderId="50" xfId="7" applyNumberFormat="1" applyFont="1" applyBorder="1" applyAlignment="1">
      <alignment horizontal="center"/>
    </xf>
    <xf numFmtId="0" fontId="22" fillId="5" borderId="0" xfId="0" applyFont="1" applyFill="1" applyAlignment="1">
      <alignment horizontal="left"/>
    </xf>
    <xf numFmtId="173" fontId="22" fillId="2" borderId="35" xfId="4" quotePrefix="1" applyNumberFormat="1" applyFont="1" applyFill="1" applyBorder="1" applyAlignment="1">
      <alignment horizontal="center" vertical="center"/>
    </xf>
    <xf numFmtId="173" fontId="22" fillId="2" borderId="20" xfId="4" quotePrefix="1" applyNumberFormat="1" applyFont="1" applyFill="1" applyBorder="1" applyAlignment="1">
      <alignment horizontal="left"/>
    </xf>
    <xf numFmtId="173" fontId="22" fillId="2" borderId="24" xfId="4" quotePrefix="1" applyNumberFormat="1" applyFont="1" applyFill="1" applyBorder="1" applyAlignment="1">
      <alignment horizontal="left" wrapText="1"/>
    </xf>
    <xf numFmtId="173" fontId="22" fillId="2" borderId="35" xfId="4" quotePrefix="1" applyNumberFormat="1" applyFont="1" applyFill="1" applyBorder="1" applyAlignment="1">
      <alignment horizontal="left"/>
    </xf>
    <xf numFmtId="173" fontId="22" fillId="2" borderId="24" xfId="4" quotePrefix="1" applyNumberFormat="1" applyFont="1" applyFill="1" applyBorder="1" applyAlignment="1">
      <alignment horizontal="left"/>
    </xf>
    <xf numFmtId="44" fontId="22" fillId="2" borderId="35" xfId="4" quotePrefix="1" applyFont="1" applyFill="1" applyBorder="1" applyAlignment="1">
      <alignment horizontal="left" wrapText="1"/>
    </xf>
    <xf numFmtId="0" fontId="14" fillId="5" borderId="17" xfId="0" applyFont="1" applyFill="1" applyBorder="1"/>
    <xf numFmtId="10" fontId="14" fillId="5" borderId="0" xfId="0" applyNumberFormat="1" applyFont="1" applyFill="1"/>
    <xf numFmtId="44" fontId="14" fillId="5" borderId="0" xfId="0" applyNumberFormat="1" applyFont="1" applyFill="1"/>
    <xf numFmtId="173" fontId="14" fillId="5" borderId="0" xfId="0" applyNumberFormat="1" applyFont="1" applyFill="1"/>
    <xf numFmtId="0" fontId="0" fillId="0" borderId="17" xfId="0" applyBorder="1"/>
    <xf numFmtId="169" fontId="22" fillId="0" borderId="50" xfId="44" applyNumberFormat="1" applyFont="1" applyBorder="1"/>
    <xf numFmtId="43" fontId="22" fillId="0" borderId="50" xfId="1" applyFont="1" applyBorder="1"/>
    <xf numFmtId="9" fontId="22" fillId="5" borderId="0" xfId="0" applyNumberFormat="1" applyFont="1" applyFill="1"/>
    <xf numFmtId="0" fontId="22" fillId="5" borderId="17" xfId="0" applyFont="1" applyFill="1" applyBorder="1"/>
    <xf numFmtId="0" fontId="24" fillId="4" borderId="27" xfId="7" applyFont="1" applyFill="1" applyBorder="1" applyAlignment="1">
      <alignment horizontal="left" vertical="center"/>
    </xf>
    <xf numFmtId="0" fontId="24" fillId="4" borderId="23" xfId="7" applyFont="1" applyFill="1" applyBorder="1" applyAlignment="1">
      <alignment horizontal="left" vertical="center"/>
    </xf>
    <xf numFmtId="1" fontId="17" fillId="6" borderId="29" xfId="7" applyNumberFormat="1" applyFont="1" applyFill="1" applyBorder="1" applyAlignment="1">
      <alignment horizontal="center" wrapText="1"/>
    </xf>
    <xf numFmtId="9" fontId="32" fillId="0" borderId="31" xfId="6" applyFont="1" applyFill="1" applyBorder="1" applyAlignment="1">
      <alignment horizontal="center" vertical="center"/>
    </xf>
    <xf numFmtId="9" fontId="32" fillId="0" borderId="6" xfId="44" applyFont="1" applyFill="1" applyBorder="1" applyAlignment="1">
      <alignment horizontal="center"/>
    </xf>
    <xf numFmtId="9" fontId="32" fillId="0" borderId="4" xfId="44" applyFont="1" applyFill="1" applyBorder="1" applyAlignment="1">
      <alignment horizontal="center"/>
    </xf>
    <xf numFmtId="0" fontId="22" fillId="8" borderId="0" xfId="7" applyFont="1" applyFill="1" applyAlignment="1">
      <alignment horizontal="center" vertical="top" wrapText="1"/>
    </xf>
    <xf numFmtId="0" fontId="21" fillId="8" borderId="0" xfId="19" applyFont="1" applyFill="1"/>
    <xf numFmtId="0" fontId="22" fillId="8" borderId="0" xfId="0" applyFont="1" applyFill="1"/>
    <xf numFmtId="1" fontId="22" fillId="8" borderId="4" xfId="7" applyNumberFormat="1" applyFont="1" applyFill="1" applyBorder="1"/>
    <xf numFmtId="1" fontId="22" fillId="8" borderId="6" xfId="7" applyNumberFormat="1" applyFont="1" applyFill="1" applyBorder="1" applyAlignment="1">
      <alignment horizontal="center"/>
    </xf>
    <xf numFmtId="1" fontId="22" fillId="8" borderId="4" xfId="7" applyNumberFormat="1" applyFont="1" applyFill="1" applyBorder="1" applyAlignment="1">
      <alignment horizontal="center"/>
    </xf>
    <xf numFmtId="1" fontId="22" fillId="8" borderId="0" xfId="7" applyNumberFormat="1" applyFont="1" applyFill="1" applyAlignment="1">
      <alignment horizontal="center"/>
    </xf>
    <xf numFmtId="167" fontId="22" fillId="8" borderId="4" xfId="7" applyNumberFormat="1" applyFont="1" applyFill="1" applyBorder="1" applyAlignment="1">
      <alignment horizontal="center"/>
    </xf>
    <xf numFmtId="167" fontId="22" fillId="8" borderId="0" xfId="7" applyNumberFormat="1" applyFont="1" applyFill="1" applyAlignment="1">
      <alignment horizontal="center"/>
    </xf>
    <xf numFmtId="167" fontId="22" fillId="8" borderId="6" xfId="7" applyNumberFormat="1" applyFont="1" applyFill="1" applyBorder="1" applyAlignment="1">
      <alignment horizontal="center"/>
    </xf>
    <xf numFmtId="2" fontId="22" fillId="8" borderId="4" xfId="7" applyNumberFormat="1" applyFont="1" applyFill="1" applyBorder="1" applyAlignment="1">
      <alignment horizontal="center"/>
    </xf>
    <xf numFmtId="2" fontId="22" fillId="8" borderId="6" xfId="7" applyNumberFormat="1" applyFont="1" applyFill="1" applyBorder="1" applyAlignment="1">
      <alignment horizontal="center"/>
    </xf>
    <xf numFmtId="0" fontId="22" fillId="8" borderId="4" xfId="19" applyFont="1" applyFill="1" applyBorder="1" applyAlignment="1">
      <alignment horizontal="center" vertical="center"/>
    </xf>
    <xf numFmtId="0" fontId="22" fillId="8" borderId="0" xfId="19" applyFont="1" applyFill="1" applyAlignment="1">
      <alignment horizontal="center" vertical="center"/>
    </xf>
    <xf numFmtId="1" fontId="22" fillId="8" borderId="4" xfId="7" applyNumberFormat="1" applyFont="1" applyFill="1" applyBorder="1" applyAlignment="1">
      <alignment horizontal="center" vertical="center"/>
    </xf>
    <xf numFmtId="1" fontId="22" fillId="8" borderId="0" xfId="7" applyNumberFormat="1" applyFont="1" applyFill="1" applyAlignment="1">
      <alignment horizontal="center" vertical="center"/>
    </xf>
    <xf numFmtId="1" fontId="22" fillId="8" borderId="6" xfId="7" applyNumberFormat="1" applyFont="1" applyFill="1" applyBorder="1" applyAlignment="1">
      <alignment horizontal="center" vertical="center"/>
    </xf>
    <xf numFmtId="0" fontId="22" fillId="8" borderId="4" xfId="11" applyNumberFormat="1" applyFont="1" applyFill="1" applyBorder="1" applyAlignment="1">
      <alignment horizontal="left"/>
    </xf>
    <xf numFmtId="166" fontId="17" fillId="8" borderId="6" xfId="11" applyNumberFormat="1" applyFont="1" applyFill="1" applyBorder="1" applyAlignment="1"/>
    <xf numFmtId="166" fontId="22" fillId="8" borderId="4" xfId="11" applyNumberFormat="1" applyFont="1" applyFill="1" applyBorder="1" applyAlignment="1"/>
    <xf numFmtId="166" fontId="22" fillId="8" borderId="0" xfId="11" applyNumberFormat="1" applyFont="1" applyFill="1" applyBorder="1" applyAlignment="1"/>
    <xf numFmtId="166" fontId="22" fillId="8" borderId="6" xfId="11" applyNumberFormat="1" applyFont="1" applyFill="1" applyBorder="1" applyAlignment="1"/>
    <xf numFmtId="166" fontId="22" fillId="8" borderId="0" xfId="11" applyNumberFormat="1" applyFont="1" applyFill="1" applyBorder="1"/>
    <xf numFmtId="1" fontId="22" fillId="8" borderId="6" xfId="19" applyNumberFormat="1" applyFont="1" applyFill="1" applyBorder="1" applyAlignment="1">
      <alignment horizontal="center" vertical="center"/>
    </xf>
    <xf numFmtId="9" fontId="22" fillId="5" borderId="17" xfId="44" applyFont="1" applyFill="1" applyBorder="1"/>
    <xf numFmtId="0" fontId="22" fillId="5" borderId="27" xfId="0" applyFont="1" applyFill="1" applyBorder="1"/>
    <xf numFmtId="0" fontId="22" fillId="5" borderId="29" xfId="0" applyFont="1" applyFill="1" applyBorder="1"/>
    <xf numFmtId="171" fontId="32" fillId="0" borderId="6" xfId="19" applyNumberFormat="1" applyFont="1" applyBorder="1" applyAlignment="1">
      <alignment vertical="center"/>
    </xf>
    <xf numFmtId="174" fontId="22" fillId="8" borderId="6" xfId="19" applyNumberFormat="1" applyFont="1" applyFill="1" applyBorder="1" applyAlignment="1">
      <alignment horizontal="center" vertical="center"/>
    </xf>
    <xf numFmtId="1" fontId="22" fillId="5" borderId="17" xfId="0" applyNumberFormat="1" applyFont="1" applyFill="1" applyBorder="1"/>
    <xf numFmtId="0" fontId="22" fillId="5" borderId="19" xfId="0" applyFont="1" applyFill="1" applyBorder="1"/>
    <xf numFmtId="2" fontId="22" fillId="5" borderId="19" xfId="0" applyNumberFormat="1" applyFont="1" applyFill="1" applyBorder="1"/>
    <xf numFmtId="2" fontId="22" fillId="5" borderId="23" xfId="0" applyNumberFormat="1" applyFont="1" applyFill="1" applyBorder="1"/>
    <xf numFmtId="0" fontId="22" fillId="5" borderId="28" xfId="0" applyFont="1" applyFill="1" applyBorder="1"/>
    <xf numFmtId="9" fontId="22" fillId="5" borderId="25" xfId="44" applyFont="1" applyFill="1" applyBorder="1"/>
    <xf numFmtId="1" fontId="22" fillId="5" borderId="25" xfId="0" applyNumberFormat="1" applyFont="1" applyFill="1" applyBorder="1"/>
    <xf numFmtId="1" fontId="21" fillId="5" borderId="30" xfId="0" applyNumberFormat="1" applyFont="1" applyFill="1" applyBorder="1"/>
    <xf numFmtId="0" fontId="21" fillId="5" borderId="29" xfId="0" applyFont="1" applyFill="1" applyBorder="1" applyAlignment="1">
      <alignment wrapText="1"/>
    </xf>
    <xf numFmtId="0" fontId="22" fillId="5" borderId="20" xfId="0" applyFont="1" applyFill="1" applyBorder="1"/>
    <xf numFmtId="1" fontId="22" fillId="5" borderId="20" xfId="0" applyNumberFormat="1" applyFont="1" applyFill="1" applyBorder="1"/>
    <xf numFmtId="0" fontId="24" fillId="4" borderId="44" xfId="19" applyFont="1" applyFill="1" applyBorder="1" applyAlignment="1">
      <alignment vertical="center"/>
    </xf>
    <xf numFmtId="9" fontId="18" fillId="5" borderId="32" xfId="44" applyFont="1" applyFill="1" applyBorder="1" applyAlignment="1">
      <alignment horizontal="center"/>
    </xf>
    <xf numFmtId="0" fontId="14" fillId="5" borderId="29" xfId="0" applyFont="1" applyFill="1" applyBorder="1"/>
    <xf numFmtId="9" fontId="32" fillId="0" borderId="51" xfId="44" applyFont="1" applyBorder="1" applyAlignment="1">
      <alignment horizontal="center" vertical="center"/>
    </xf>
    <xf numFmtId="0" fontId="15" fillId="5" borderId="27" xfId="0" applyFont="1" applyFill="1" applyBorder="1"/>
    <xf numFmtId="0" fontId="15" fillId="5" borderId="23" xfId="0" applyFont="1" applyFill="1" applyBorder="1"/>
    <xf numFmtId="0" fontId="22" fillId="0" borderId="10" xfId="7" applyFont="1" applyBorder="1" applyAlignment="1">
      <alignment horizontal="center"/>
    </xf>
    <xf numFmtId="0" fontId="22" fillId="0" borderId="40" xfId="7" applyFont="1" applyBorder="1" applyAlignment="1">
      <alignment horizontal="center"/>
    </xf>
    <xf numFmtId="0" fontId="22" fillId="0" borderId="9" xfId="7" applyFont="1" applyBorder="1" applyAlignment="1">
      <alignment horizontal="center"/>
    </xf>
    <xf numFmtId="1" fontId="22" fillId="0" borderId="40" xfId="7" applyNumberFormat="1" applyFont="1" applyBorder="1" applyAlignment="1">
      <alignment horizontal="center"/>
    </xf>
    <xf numFmtId="167" fontId="22" fillId="0" borderId="40" xfId="7" applyNumberFormat="1" applyFont="1" applyBorder="1" applyAlignment="1">
      <alignment horizontal="center"/>
    </xf>
    <xf numFmtId="2" fontId="22" fillId="0" borderId="9" xfId="7" applyNumberFormat="1" applyFont="1" applyBorder="1" applyAlignment="1">
      <alignment horizontal="center"/>
    </xf>
    <xf numFmtId="1" fontId="22" fillId="0" borderId="41" xfId="7" applyNumberFormat="1" applyFont="1" applyBorder="1" applyAlignment="1">
      <alignment horizontal="center"/>
    </xf>
    <xf numFmtId="1" fontId="22" fillId="0" borderId="57" xfId="7" applyNumberFormat="1" applyFont="1" applyBorder="1" applyAlignment="1">
      <alignment horizontal="center" vertical="top" wrapText="1"/>
    </xf>
    <xf numFmtId="1" fontId="22" fillId="0" borderId="41" xfId="7" applyNumberFormat="1" applyFont="1" applyBorder="1" applyAlignment="1">
      <alignment horizontal="center" vertical="top" wrapText="1"/>
    </xf>
    <xf numFmtId="1" fontId="22" fillId="0" borderId="58" xfId="7" applyNumberFormat="1" applyFont="1" applyBorder="1" applyAlignment="1">
      <alignment horizontal="center" vertical="top" wrapText="1"/>
    </xf>
    <xf numFmtId="6" fontId="22" fillId="0" borderId="4" xfId="7" applyNumberFormat="1" applyFont="1" applyBorder="1" applyAlignment="1">
      <alignment wrapText="1"/>
    </xf>
    <xf numFmtId="9" fontId="32" fillId="0" borderId="50" xfId="44" applyFont="1" applyFill="1" applyBorder="1" applyAlignment="1">
      <alignment horizontal="center"/>
    </xf>
    <xf numFmtId="9" fontId="32" fillId="0" borderId="0" xfId="44" applyFont="1" applyFill="1" applyBorder="1" applyAlignment="1">
      <alignment horizontal="center"/>
    </xf>
    <xf numFmtId="9" fontId="32" fillId="0" borderId="44" xfId="6" applyFont="1" applyFill="1" applyBorder="1" applyAlignment="1">
      <alignment horizontal="center"/>
    </xf>
    <xf numFmtId="6" fontId="22" fillId="5" borderId="20" xfId="0" applyNumberFormat="1" applyFont="1" applyFill="1" applyBorder="1"/>
    <xf numFmtId="9" fontId="32" fillId="5" borderId="20" xfId="44" applyFont="1" applyFill="1" applyBorder="1"/>
    <xf numFmtId="175" fontId="22" fillId="5" borderId="20" xfId="44" applyNumberFormat="1" applyFont="1" applyFill="1" applyBorder="1"/>
    <xf numFmtId="175" fontId="22" fillId="5" borderId="20" xfId="0" applyNumberFormat="1" applyFont="1" applyFill="1" applyBorder="1"/>
    <xf numFmtId="0" fontId="22" fillId="5" borderId="35" xfId="0" applyFont="1" applyFill="1" applyBorder="1" applyAlignment="1">
      <alignment wrapText="1"/>
    </xf>
    <xf numFmtId="0" fontId="21" fillId="5" borderId="35" xfId="0" applyFont="1" applyFill="1" applyBorder="1" applyAlignment="1">
      <alignment wrapText="1"/>
    </xf>
    <xf numFmtId="0" fontId="21" fillId="5" borderId="61" xfId="0" applyFont="1" applyFill="1" applyBorder="1"/>
    <xf numFmtId="0" fontId="21" fillId="5" borderId="17" xfId="0" applyFont="1" applyFill="1" applyBorder="1"/>
    <xf numFmtId="8" fontId="22" fillId="5" borderId="17" xfId="0" applyNumberFormat="1" applyFont="1" applyFill="1" applyBorder="1"/>
    <xf numFmtId="1" fontId="17" fillId="0" borderId="29" xfId="7" applyNumberFormat="1" applyFont="1" applyBorder="1" applyAlignment="1">
      <alignment horizontal="center" wrapText="1"/>
    </xf>
    <xf numFmtId="175" fontId="21" fillId="5" borderId="30" xfId="0" applyNumberFormat="1" applyFont="1" applyFill="1" applyBorder="1"/>
    <xf numFmtId="9" fontId="14" fillId="5" borderId="17" xfId="0" applyNumberFormat="1" applyFont="1" applyFill="1" applyBorder="1"/>
    <xf numFmtId="175" fontId="14" fillId="5" borderId="17" xfId="0" applyNumberFormat="1" applyFont="1" applyFill="1" applyBorder="1"/>
    <xf numFmtId="166" fontId="20" fillId="5" borderId="17" xfId="11" applyNumberFormat="1" applyFont="1" applyFill="1" applyBorder="1" applyAlignment="1">
      <alignment horizontal="left"/>
    </xf>
    <xf numFmtId="0" fontId="14" fillId="5" borderId="19" xfId="0" applyFont="1" applyFill="1" applyBorder="1"/>
    <xf numFmtId="1" fontId="14" fillId="5" borderId="19" xfId="0" applyNumberFormat="1" applyFont="1" applyFill="1" applyBorder="1"/>
    <xf numFmtId="1" fontId="14" fillId="5" borderId="23" xfId="0" applyNumberFormat="1" applyFont="1" applyFill="1" applyBorder="1"/>
    <xf numFmtId="9" fontId="14" fillId="5" borderId="25" xfId="0" applyNumberFormat="1" applyFont="1" applyFill="1" applyBorder="1"/>
    <xf numFmtId="175" fontId="14" fillId="5" borderId="25" xfId="0" applyNumberFormat="1" applyFont="1" applyFill="1" applyBorder="1"/>
    <xf numFmtId="166" fontId="21" fillId="5" borderId="30" xfId="11" applyNumberFormat="1" applyFont="1" applyFill="1" applyBorder="1"/>
    <xf numFmtId="0" fontId="14" fillId="5" borderId="27" xfId="0" applyFont="1" applyFill="1" applyBorder="1" applyAlignment="1">
      <alignment wrapText="1"/>
    </xf>
    <xf numFmtId="0" fontId="14" fillId="5" borderId="28" xfId="0" applyFont="1" applyFill="1" applyBorder="1" applyAlignment="1">
      <alignment wrapText="1"/>
    </xf>
    <xf numFmtId="0" fontId="15" fillId="5" borderId="28" xfId="0" applyFont="1" applyFill="1" applyBorder="1" applyAlignment="1">
      <alignment wrapText="1"/>
    </xf>
    <xf numFmtId="0" fontId="15" fillId="5" borderId="29" xfId="0" applyFont="1" applyFill="1" applyBorder="1" applyAlignment="1">
      <alignment wrapText="1"/>
    </xf>
    <xf numFmtId="175" fontId="14" fillId="5" borderId="0" xfId="0" applyNumberFormat="1" applyFont="1" applyFill="1"/>
    <xf numFmtId="166" fontId="21" fillId="5" borderId="17" xfId="11" applyNumberFormat="1" applyFont="1" applyFill="1" applyBorder="1"/>
    <xf numFmtId="0" fontId="15" fillId="5" borderId="17" xfId="19" applyFont="1" applyFill="1" applyBorder="1"/>
    <xf numFmtId="175" fontId="15" fillId="5" borderId="17" xfId="19" applyNumberFormat="1" applyFont="1" applyFill="1" applyBorder="1"/>
    <xf numFmtId="175" fontId="15" fillId="5" borderId="25" xfId="19" applyNumberFormat="1" applyFont="1" applyFill="1" applyBorder="1"/>
    <xf numFmtId="0" fontId="15" fillId="5" borderId="30" xfId="0" applyFont="1" applyFill="1" applyBorder="1"/>
    <xf numFmtId="175" fontId="15" fillId="5" borderId="30" xfId="0" applyNumberFormat="1" applyFont="1" applyFill="1" applyBorder="1"/>
    <xf numFmtId="175" fontId="15" fillId="5" borderId="31" xfId="0" applyNumberFormat="1" applyFont="1" applyFill="1" applyBorder="1"/>
    <xf numFmtId="166" fontId="20" fillId="5" borderId="20" xfId="11" applyNumberFormat="1" applyFont="1" applyFill="1" applyBorder="1" applyAlignment="1">
      <alignment horizontal="left"/>
    </xf>
    <xf numFmtId="0" fontId="15" fillId="5" borderId="20" xfId="19" applyFont="1" applyFill="1" applyBorder="1"/>
    <xf numFmtId="175" fontId="15" fillId="5" borderId="20" xfId="19" applyNumberFormat="1" applyFont="1" applyFill="1" applyBorder="1"/>
    <xf numFmtId="1" fontId="0" fillId="0" borderId="17" xfId="0" applyNumberFormat="1" applyBorder="1"/>
    <xf numFmtId="175" fontId="0" fillId="0" borderId="17" xfId="0" applyNumberFormat="1" applyBorder="1"/>
    <xf numFmtId="175" fontId="0" fillId="0" borderId="0" xfId="0" applyNumberFormat="1"/>
    <xf numFmtId="2" fontId="0" fillId="0" borderId="17" xfId="0" applyNumberFormat="1" applyBorder="1"/>
    <xf numFmtId="6" fontId="32" fillId="0" borderId="6" xfId="7" applyNumberFormat="1" applyFont="1" applyBorder="1" applyAlignment="1">
      <alignment horizontal="center"/>
    </xf>
    <xf numFmtId="168" fontId="14" fillId="5" borderId="0" xfId="0" applyNumberFormat="1" applyFont="1" applyFill="1" applyAlignment="1">
      <alignment wrapText="1"/>
    </xf>
    <xf numFmtId="168" fontId="14" fillId="5" borderId="0" xfId="0" applyNumberFormat="1" applyFont="1" applyFill="1"/>
    <xf numFmtId="0" fontId="40" fillId="0" borderId="0" xfId="0" applyFont="1"/>
    <xf numFmtId="175" fontId="40" fillId="10" borderId="17" xfId="0" applyNumberFormat="1" applyFont="1" applyFill="1" applyBorder="1"/>
    <xf numFmtId="175" fontId="40" fillId="0" borderId="28" xfId="0" applyNumberFormat="1" applyFont="1" applyBorder="1"/>
    <xf numFmtId="2" fontId="0" fillId="0" borderId="25" xfId="0" applyNumberFormat="1" applyBorder="1"/>
    <xf numFmtId="175" fontId="0" fillId="0" borderId="25" xfId="0" applyNumberFormat="1" applyBorder="1"/>
    <xf numFmtId="175" fontId="40" fillId="9" borderId="28" xfId="0" applyNumberFormat="1" applyFont="1" applyFill="1" applyBorder="1"/>
    <xf numFmtId="175" fontId="40" fillId="10" borderId="28" xfId="0" applyNumberFormat="1" applyFont="1" applyFill="1" applyBorder="1"/>
    <xf numFmtId="175" fontId="40" fillId="10" borderId="25" xfId="0" applyNumberFormat="1" applyFont="1" applyFill="1" applyBorder="1"/>
    <xf numFmtId="0" fontId="0" fillId="0" borderId="25" xfId="0" applyBorder="1"/>
    <xf numFmtId="175" fontId="40" fillId="10" borderId="29" xfId="0" applyNumberFormat="1" applyFont="1" applyFill="1" applyBorder="1"/>
    <xf numFmtId="175" fontId="40" fillId="10" borderId="30" xfId="0" applyNumberFormat="1" applyFont="1" applyFill="1" applyBorder="1"/>
    <xf numFmtId="175" fontId="40" fillId="10" borderId="31" xfId="0" applyNumberFormat="1" applyFont="1" applyFill="1" applyBorder="1"/>
    <xf numFmtId="0" fontId="0" fillId="0" borderId="27" xfId="0" applyBorder="1"/>
    <xf numFmtId="0" fontId="0" fillId="0" borderId="28" xfId="0" applyBorder="1"/>
    <xf numFmtId="0" fontId="0" fillId="0" borderId="29" xfId="0" applyBorder="1"/>
    <xf numFmtId="44" fontId="0" fillId="0" borderId="30" xfId="0" applyNumberFormat="1" applyBorder="1"/>
    <xf numFmtId="0" fontId="0" fillId="0" borderId="30" xfId="0" applyBorder="1"/>
    <xf numFmtId="0" fontId="0" fillId="0" borderId="41" xfId="0" applyBorder="1"/>
    <xf numFmtId="0" fontId="0" fillId="0" borderId="58" xfId="0" applyBorder="1"/>
    <xf numFmtId="1" fontId="22" fillId="8" borderId="0" xfId="19" applyNumberFormat="1" applyFont="1" applyFill="1" applyAlignment="1">
      <alignment horizontal="center" vertical="center"/>
    </xf>
    <xf numFmtId="1" fontId="32" fillId="11" borderId="6" xfId="19" applyNumberFormat="1" applyFont="1" applyFill="1" applyBorder="1" applyAlignment="1">
      <alignment horizontal="center" vertical="center"/>
    </xf>
    <xf numFmtId="0" fontId="14" fillId="6" borderId="39" xfId="19" applyFont="1" applyFill="1" applyBorder="1" applyAlignment="1">
      <alignment horizontal="center" vertical="center" wrapText="1"/>
    </xf>
    <xf numFmtId="167" fontId="15" fillId="11" borderId="39" xfId="19" applyNumberFormat="1" applyFont="1" applyFill="1" applyBorder="1" applyAlignment="1">
      <alignment horizontal="center"/>
    </xf>
    <xf numFmtId="0" fontId="24" fillId="5" borderId="0" xfId="0" applyFont="1" applyFill="1" applyAlignment="1">
      <alignment horizontal="center" vertical="center"/>
    </xf>
    <xf numFmtId="173" fontId="22" fillId="5" borderId="0" xfId="4" applyNumberFormat="1" applyFont="1" applyFill="1" applyBorder="1"/>
    <xf numFmtId="43" fontId="22" fillId="5" borderId="0" xfId="1" applyFont="1" applyFill="1" applyBorder="1"/>
    <xf numFmtId="169" fontId="22" fillId="5" borderId="0" xfId="44" applyNumberFormat="1" applyFont="1" applyFill="1" applyBorder="1"/>
    <xf numFmtId="0" fontId="14" fillId="5" borderId="28" xfId="0" applyFont="1" applyFill="1" applyBorder="1" applyAlignment="1">
      <alignment horizontal="center"/>
    </xf>
    <xf numFmtId="0" fontId="14" fillId="5" borderId="25" xfId="0" applyFont="1" applyFill="1" applyBorder="1" applyAlignment="1">
      <alignment horizontal="center"/>
    </xf>
    <xf numFmtId="0" fontId="42" fillId="0" borderId="0" xfId="0" applyFont="1"/>
    <xf numFmtId="0" fontId="12" fillId="0" borderId="0" xfId="0" applyFont="1"/>
    <xf numFmtId="0" fontId="12" fillId="0" borderId="59" xfId="0" applyFont="1" applyBorder="1"/>
    <xf numFmtId="0" fontId="42" fillId="0" borderId="9" xfId="0" applyFont="1" applyBorder="1"/>
    <xf numFmtId="0" fontId="42" fillId="0" borderId="59" xfId="0" applyFont="1" applyBorder="1"/>
    <xf numFmtId="0" fontId="12" fillId="0" borderId="51" xfId="0" applyFont="1" applyBorder="1"/>
    <xf numFmtId="0" fontId="42" fillId="0" borderId="57" xfId="0" applyFont="1" applyBorder="1" applyAlignment="1">
      <alignment horizontal="center" vertical="center"/>
    </xf>
    <xf numFmtId="0" fontId="42" fillId="0" borderId="58" xfId="0" applyFont="1" applyBorder="1" applyAlignment="1">
      <alignment horizontal="center" vertical="center"/>
    </xf>
    <xf numFmtId="0" fontId="12" fillId="0" borderId="58" xfId="0" applyFont="1" applyBorder="1"/>
    <xf numFmtId="0" fontId="42" fillId="0" borderId="41" xfId="0" applyFont="1" applyBorder="1" applyAlignment="1">
      <alignment horizontal="center" vertical="center"/>
    </xf>
    <xf numFmtId="0" fontId="12" fillId="0" borderId="50" xfId="0" applyFont="1" applyBorder="1"/>
    <xf numFmtId="173" fontId="12" fillId="0" borderId="4" xfId="4" applyNumberFormat="1" applyFont="1" applyBorder="1" applyAlignment="1">
      <alignment horizontal="left"/>
    </xf>
    <xf numFmtId="173" fontId="12" fillId="0" borderId="6" xfId="4" applyNumberFormat="1" applyFont="1" applyBorder="1" applyAlignment="1">
      <alignment horizontal="left"/>
    </xf>
    <xf numFmtId="0" fontId="12" fillId="0" borderId="59" xfId="0" applyFont="1" applyBorder="1" applyAlignment="1">
      <alignment horizontal="left"/>
    </xf>
    <xf numFmtId="0" fontId="43" fillId="0" borderId="0" xfId="34" applyFont="1"/>
    <xf numFmtId="44" fontId="12" fillId="0" borderId="4" xfId="4" applyFont="1" applyBorder="1" applyAlignment="1">
      <alignment horizontal="left"/>
    </xf>
    <xf numFmtId="44" fontId="12" fillId="0" borderId="6" xfId="4" applyFont="1" applyBorder="1" applyAlignment="1">
      <alignment horizontal="left"/>
    </xf>
    <xf numFmtId="0" fontId="12" fillId="0" borderId="50" xfId="0" applyFont="1" applyBorder="1" applyAlignment="1">
      <alignment horizontal="left"/>
    </xf>
    <xf numFmtId="3" fontId="12" fillId="0" borderId="4" xfId="0" applyNumberFormat="1" applyFont="1" applyBorder="1" applyAlignment="1">
      <alignment horizontal="left"/>
    </xf>
    <xf numFmtId="3" fontId="12" fillId="0" borderId="6" xfId="0" applyNumberFormat="1" applyFont="1" applyBorder="1" applyAlignment="1">
      <alignment horizontal="left"/>
    </xf>
    <xf numFmtId="3" fontId="12" fillId="0" borderId="0" xfId="0" applyNumberFormat="1" applyFont="1" applyAlignment="1">
      <alignment horizontal="left"/>
    </xf>
    <xf numFmtId="0" fontId="12" fillId="0" borderId="4" xfId="0" applyFont="1" applyBorder="1" applyAlignment="1">
      <alignment horizontal="left"/>
    </xf>
    <xf numFmtId="0" fontId="12" fillId="0" borderId="6" xfId="0" applyFont="1" applyBorder="1" applyAlignment="1">
      <alignment horizontal="left"/>
    </xf>
    <xf numFmtId="0" fontId="12" fillId="0" borderId="0" xfId="0" applyFont="1" applyAlignment="1">
      <alignment horizontal="left"/>
    </xf>
    <xf numFmtId="0" fontId="12" fillId="0" borderId="57" xfId="0" applyFont="1" applyBorder="1" applyAlignment="1">
      <alignment horizontal="left"/>
    </xf>
    <xf numFmtId="0" fontId="12" fillId="0" borderId="58" xfId="0" applyFont="1" applyBorder="1" applyAlignment="1">
      <alignment horizontal="left"/>
    </xf>
    <xf numFmtId="0" fontId="12" fillId="0" borderId="51" xfId="0" applyFont="1" applyBorder="1" applyAlignment="1">
      <alignment horizontal="left"/>
    </xf>
    <xf numFmtId="173" fontId="12" fillId="0" borderId="41" xfId="4" applyNumberFormat="1" applyFont="1" applyBorder="1" applyAlignment="1">
      <alignment horizontal="left"/>
    </xf>
    <xf numFmtId="2" fontId="44" fillId="0" borderId="0" xfId="34" applyNumberFormat="1" applyFont="1"/>
    <xf numFmtId="44" fontId="12" fillId="0" borderId="0" xfId="4" applyFont="1" applyBorder="1" applyAlignment="1">
      <alignment horizontal="left"/>
    </xf>
    <xf numFmtId="2" fontId="44" fillId="0" borderId="0" xfId="0" applyNumberFormat="1" applyFont="1"/>
    <xf numFmtId="173" fontId="12" fillId="0" borderId="0" xfId="4" applyNumberFormat="1" applyFont="1" applyBorder="1" applyAlignment="1">
      <alignment horizontal="left"/>
    </xf>
    <xf numFmtId="2" fontId="12" fillId="0" borderId="0" xfId="0" applyNumberFormat="1" applyFont="1"/>
    <xf numFmtId="173" fontId="12" fillId="0" borderId="57" xfId="4" applyNumberFormat="1" applyFont="1" applyBorder="1" applyAlignment="1">
      <alignment horizontal="left"/>
    </xf>
    <xf numFmtId="173" fontId="12" fillId="0" borderId="58" xfId="4" applyNumberFormat="1" applyFont="1" applyBorder="1" applyAlignment="1">
      <alignment horizontal="left"/>
    </xf>
    <xf numFmtId="173" fontId="12" fillId="0" borderId="0" xfId="4" applyNumberFormat="1" applyFont="1"/>
    <xf numFmtId="0" fontId="13" fillId="0" borderId="0" xfId="34"/>
    <xf numFmtId="173" fontId="12" fillId="11" borderId="0" xfId="4" applyNumberFormat="1" applyFont="1" applyFill="1"/>
    <xf numFmtId="173" fontId="14" fillId="5" borderId="28" xfId="4" applyNumberFormat="1" applyFont="1" applyFill="1" applyBorder="1"/>
    <xf numFmtId="173" fontId="14" fillId="5" borderId="25" xfId="4" applyNumberFormat="1" applyFont="1" applyFill="1" applyBorder="1"/>
    <xf numFmtId="173" fontId="14" fillId="5" borderId="29" xfId="4" applyNumberFormat="1" applyFont="1" applyFill="1" applyBorder="1"/>
    <xf numFmtId="173" fontId="14" fillId="5" borderId="31" xfId="4" applyNumberFormat="1" applyFont="1" applyFill="1" applyBorder="1"/>
    <xf numFmtId="0" fontId="14" fillId="6" borderId="51" xfId="0" applyFont="1" applyFill="1" applyBorder="1"/>
    <xf numFmtId="0" fontId="14" fillId="6" borderId="59" xfId="0" applyFont="1" applyFill="1" applyBorder="1"/>
    <xf numFmtId="0" fontId="14" fillId="0" borderId="21" xfId="0" applyFont="1" applyBorder="1" applyAlignment="1">
      <alignment vertical="top"/>
    </xf>
    <xf numFmtId="0" fontId="22" fillId="0" borderId="21" xfId="0" applyFont="1" applyBorder="1"/>
    <xf numFmtId="0" fontId="22" fillId="11" borderId="0" xfId="0" applyFont="1" applyFill="1"/>
    <xf numFmtId="1" fontId="22" fillId="11" borderId="4" xfId="7" applyNumberFormat="1" applyFont="1" applyFill="1" applyBorder="1" applyAlignment="1">
      <alignment wrapText="1"/>
    </xf>
    <xf numFmtId="167" fontId="22" fillId="11" borderId="0" xfId="7" applyNumberFormat="1" applyFont="1" applyFill="1"/>
    <xf numFmtId="2" fontId="32" fillId="11" borderId="50" xfId="7" applyNumberFormat="1" applyFont="1" applyFill="1" applyBorder="1" applyAlignment="1">
      <alignment horizontal="center" wrapText="1"/>
    </xf>
    <xf numFmtId="2" fontId="30" fillId="11" borderId="0" xfId="7" applyNumberFormat="1" applyFont="1" applyFill="1" applyAlignment="1">
      <alignment horizontal="left"/>
    </xf>
    <xf numFmtId="2" fontId="30" fillId="11" borderId="0" xfId="7" applyNumberFormat="1" applyFont="1" applyFill="1" applyAlignment="1">
      <alignment horizontal="center"/>
    </xf>
    <xf numFmtId="2" fontId="22" fillId="11" borderId="0" xfId="7" applyNumberFormat="1" applyFont="1" applyFill="1" applyAlignment="1">
      <alignment horizontal="center"/>
    </xf>
    <xf numFmtId="2" fontId="32" fillId="11" borderId="50" xfId="7" applyNumberFormat="1" applyFont="1" applyFill="1" applyBorder="1" applyAlignment="1">
      <alignment horizontal="center"/>
    </xf>
    <xf numFmtId="2" fontId="32" fillId="11" borderId="4" xfId="7" applyNumberFormat="1" applyFont="1" applyFill="1" applyBorder="1" applyAlignment="1">
      <alignment horizontal="center"/>
    </xf>
    <xf numFmtId="2" fontId="32" fillId="11" borderId="6" xfId="7" applyNumberFormat="1" applyFont="1" applyFill="1" applyBorder="1" applyAlignment="1">
      <alignment horizontal="center"/>
    </xf>
    <xf numFmtId="2" fontId="30" fillId="11" borderId="4" xfId="7" applyNumberFormat="1" applyFont="1" applyFill="1" applyBorder="1" applyAlignment="1">
      <alignment horizontal="left"/>
    </xf>
    <xf numFmtId="0" fontId="18" fillId="11" borderId="50" xfId="7" applyFont="1" applyFill="1" applyBorder="1" applyAlignment="1">
      <alignment horizontal="center"/>
    </xf>
    <xf numFmtId="0" fontId="32" fillId="11" borderId="50" xfId="7" applyFont="1" applyFill="1" applyBorder="1" applyAlignment="1">
      <alignment horizontal="center"/>
    </xf>
    <xf numFmtId="43" fontId="14" fillId="5" borderId="0" xfId="1" applyFont="1" applyFill="1" applyBorder="1"/>
    <xf numFmtId="0" fontId="14" fillId="0" borderId="0" xfId="0" applyFont="1" applyAlignment="1">
      <alignment wrapText="1"/>
    </xf>
    <xf numFmtId="0" fontId="40" fillId="0" borderId="17" xfId="0" applyFont="1" applyBorder="1"/>
    <xf numFmtId="0" fontId="32" fillId="13" borderId="6" xfId="19" applyFont="1" applyFill="1" applyBorder="1" applyAlignment="1">
      <alignment horizontal="center" vertical="top"/>
    </xf>
    <xf numFmtId="9" fontId="0" fillId="0" borderId="17" xfId="0" applyNumberFormat="1" applyBorder="1"/>
    <xf numFmtId="0" fontId="14" fillId="10" borderId="17" xfId="0" applyFont="1" applyFill="1" applyBorder="1" applyAlignment="1">
      <alignment horizontal="center" vertical="center" wrapText="1"/>
    </xf>
    <xf numFmtId="9" fontId="14" fillId="10" borderId="17" xfId="44" applyFont="1" applyFill="1" applyBorder="1" applyAlignment="1">
      <alignment horizontal="center" vertical="center" wrapText="1"/>
    </xf>
    <xf numFmtId="0" fontId="15" fillId="15" borderId="17" xfId="0" applyFont="1" applyFill="1" applyBorder="1" applyAlignment="1">
      <alignment horizontal="center" vertical="center" wrapText="1"/>
    </xf>
    <xf numFmtId="0" fontId="15" fillId="15" borderId="17" xfId="0" applyFont="1" applyFill="1" applyBorder="1" applyAlignment="1">
      <alignment horizontal="center" vertical="center"/>
    </xf>
    <xf numFmtId="0" fontId="14" fillId="14" borderId="17" xfId="0" applyFont="1" applyFill="1" applyBorder="1" applyAlignment="1">
      <alignment horizontal="center" vertical="center" wrapText="1"/>
    </xf>
    <xf numFmtId="175" fontId="14" fillId="5" borderId="0" xfId="0" applyNumberFormat="1" applyFont="1" applyFill="1" applyAlignment="1">
      <alignment wrapText="1"/>
    </xf>
    <xf numFmtId="9" fontId="32" fillId="0" borderId="40" xfId="19" applyNumberFormat="1" applyFont="1" applyBorder="1" applyAlignment="1">
      <alignment horizontal="center" vertical="center"/>
    </xf>
    <xf numFmtId="1" fontId="14" fillId="0" borderId="40" xfId="19" applyNumberFormat="1" applyFont="1" applyBorder="1" applyAlignment="1">
      <alignment horizontal="center" vertical="center"/>
    </xf>
    <xf numFmtId="167" fontId="14" fillId="0" borderId="40" xfId="19" applyNumberFormat="1" applyFont="1" applyBorder="1" applyAlignment="1">
      <alignment horizontal="center" vertical="center"/>
    </xf>
    <xf numFmtId="167" fontId="22" fillId="0" borderId="9" xfId="19" applyNumberFormat="1" applyFont="1" applyBorder="1" applyAlignment="1">
      <alignment horizontal="center" vertical="center"/>
    </xf>
    <xf numFmtId="0" fontId="22" fillId="11" borderId="4" xfId="11" applyNumberFormat="1" applyFont="1" applyFill="1" applyBorder="1" applyAlignment="1">
      <alignment horizontal="left"/>
    </xf>
    <xf numFmtId="166" fontId="17" fillId="11" borderId="6" xfId="11" applyNumberFormat="1" applyFont="1" applyFill="1" applyBorder="1" applyAlignment="1"/>
    <xf numFmtId="171" fontId="22" fillId="11" borderId="4" xfId="11" applyNumberFormat="1" applyFont="1" applyFill="1" applyBorder="1" applyAlignment="1"/>
    <xf numFmtId="171" fontId="22" fillId="11" borderId="0" xfId="11" applyNumberFormat="1" applyFont="1" applyFill="1" applyBorder="1" applyAlignment="1"/>
    <xf numFmtId="171" fontId="22" fillId="11" borderId="6" xfId="11" applyNumberFormat="1" applyFont="1" applyFill="1" applyBorder="1" applyAlignment="1"/>
    <xf numFmtId="2" fontId="21" fillId="0" borderId="42" xfId="19" applyNumberFormat="1" applyFont="1" applyBorder="1" applyAlignment="1">
      <alignment horizontal="center"/>
    </xf>
    <xf numFmtId="2" fontId="14" fillId="0" borderId="0" xfId="19" applyNumberFormat="1" applyFont="1" applyAlignment="1">
      <alignment horizontal="center" vertical="center"/>
    </xf>
    <xf numFmtId="2" fontId="14" fillId="0" borderId="41" xfId="19" applyNumberFormat="1" applyFont="1" applyBorder="1" applyAlignment="1">
      <alignment horizontal="center" vertical="center"/>
    </xf>
    <xf numFmtId="2" fontId="21" fillId="0" borderId="41" xfId="19" applyNumberFormat="1" applyFont="1" applyBorder="1" applyAlignment="1">
      <alignment horizontal="center" vertical="center"/>
    </xf>
    <xf numFmtId="2" fontId="21" fillId="0" borderId="42" xfId="19" applyNumberFormat="1" applyFont="1" applyBorder="1" applyAlignment="1">
      <alignment horizontal="center" vertical="center"/>
    </xf>
    <xf numFmtId="2" fontId="22" fillId="7" borderId="0" xfId="19" applyNumberFormat="1" applyFont="1" applyFill="1" applyAlignment="1">
      <alignment horizontal="center" vertical="center"/>
    </xf>
    <xf numFmtId="0" fontId="14" fillId="0" borderId="21" xfId="0" applyFont="1" applyBorder="1" applyAlignment="1">
      <alignment wrapText="1"/>
    </xf>
    <xf numFmtId="2" fontId="21" fillId="0" borderId="52" xfId="19" applyNumberFormat="1" applyFont="1" applyBorder="1" applyAlignment="1">
      <alignment horizontal="center"/>
    </xf>
    <xf numFmtId="1" fontId="14" fillId="5" borderId="0" xfId="19" applyNumberFormat="1" applyFont="1" applyFill="1"/>
    <xf numFmtId="2" fontId="15" fillId="5" borderId="0" xfId="44" applyNumberFormat="1" applyFont="1" applyFill="1" applyAlignment="1">
      <alignment horizontal="center"/>
    </xf>
    <xf numFmtId="1" fontId="14" fillId="5" borderId="0" xfId="0" applyNumberFormat="1" applyFont="1" applyFill="1" applyAlignment="1">
      <alignment wrapText="1"/>
    </xf>
    <xf numFmtId="0" fontId="24" fillId="4" borderId="10" xfId="19" applyFont="1" applyFill="1" applyBorder="1" applyAlignment="1">
      <alignment horizontal="center" vertical="center"/>
    </xf>
    <xf numFmtId="9" fontId="14" fillId="0" borderId="21" xfId="44" applyFont="1" applyFill="1" applyBorder="1"/>
    <xf numFmtId="1" fontId="14" fillId="0" borderId="0" xfId="0" applyNumberFormat="1" applyFont="1"/>
    <xf numFmtId="1" fontId="14" fillId="11" borderId="0" xfId="19" applyNumberFormat="1" applyFont="1" applyFill="1" applyAlignment="1">
      <alignment horizontal="center"/>
    </xf>
    <xf numFmtId="9" fontId="14" fillId="0" borderId="0" xfId="44" applyFont="1" applyFill="1"/>
    <xf numFmtId="173" fontId="15" fillId="2" borderId="29" xfId="4" applyNumberFormat="1" applyFont="1" applyFill="1" applyBorder="1"/>
    <xf numFmtId="0" fontId="0" fillId="0" borderId="0" xfId="0" applyAlignment="1">
      <alignment wrapText="1"/>
    </xf>
    <xf numFmtId="173" fontId="14" fillId="2" borderId="17" xfId="4" applyNumberFormat="1" applyFont="1" applyFill="1" applyBorder="1"/>
    <xf numFmtId="44" fontId="14" fillId="5" borderId="0" xfId="0" applyNumberFormat="1" applyFont="1" applyFill="1" applyAlignment="1">
      <alignment wrapText="1"/>
    </xf>
    <xf numFmtId="0" fontId="0" fillId="0" borderId="40" xfId="0" applyBorder="1"/>
    <xf numFmtId="0" fontId="0" fillId="0" borderId="9" xfId="0" applyBorder="1"/>
    <xf numFmtId="0" fontId="0" fillId="0" borderId="6" xfId="0" applyBorder="1"/>
    <xf numFmtId="0" fontId="14" fillId="6" borderId="51" xfId="19" applyFont="1" applyFill="1" applyBorder="1" applyAlignment="1">
      <alignment vertical="center"/>
    </xf>
    <xf numFmtId="0" fontId="14" fillId="6" borderId="44" xfId="19" applyFont="1" applyFill="1" applyBorder="1" applyAlignment="1">
      <alignment vertical="center"/>
    </xf>
    <xf numFmtId="0" fontId="0" fillId="0" borderId="4" xfId="0" applyBorder="1"/>
    <xf numFmtId="0" fontId="0" fillId="0" borderId="57" xfId="0" applyBorder="1"/>
    <xf numFmtId="0" fontId="0" fillId="0" borderId="10" xfId="0" applyBorder="1"/>
    <xf numFmtId="0" fontId="5" fillId="0" borderId="9" xfId="9" applyBorder="1"/>
    <xf numFmtId="0" fontId="5" fillId="0" borderId="6" xfId="9" applyBorder="1"/>
    <xf numFmtId="0" fontId="48" fillId="0" borderId="6" xfId="9" applyFont="1" applyBorder="1"/>
    <xf numFmtId="2" fontId="0" fillId="0" borderId="39" xfId="0" applyNumberFormat="1" applyBorder="1"/>
    <xf numFmtId="2" fontId="0" fillId="0" borderId="0" xfId="0" applyNumberFormat="1"/>
    <xf numFmtId="2" fontId="0" fillId="0" borderId="53" xfId="0" applyNumberFormat="1" applyBorder="1"/>
    <xf numFmtId="2" fontId="0" fillId="0" borderId="4" xfId="0" applyNumberFormat="1" applyBorder="1"/>
    <xf numFmtId="2" fontId="0" fillId="0" borderId="6" xfId="0" applyNumberFormat="1" applyBorder="1"/>
    <xf numFmtId="2" fontId="0" fillId="0" borderId="54" xfId="0" applyNumberFormat="1" applyBorder="1"/>
    <xf numFmtId="2" fontId="0" fillId="0" borderId="10" xfId="0" applyNumberFormat="1" applyBorder="1"/>
    <xf numFmtId="2" fontId="0" fillId="0" borderId="9" xfId="0" applyNumberFormat="1" applyBorder="1"/>
    <xf numFmtId="0" fontId="14" fillId="6" borderId="57" xfId="19" applyFont="1" applyFill="1" applyBorder="1" applyAlignment="1">
      <alignment vertical="center"/>
    </xf>
    <xf numFmtId="176" fontId="0" fillId="0" borderId="4" xfId="0" applyNumberFormat="1" applyBorder="1"/>
    <xf numFmtId="176" fontId="0" fillId="0" borderId="53" xfId="0" applyNumberFormat="1" applyBorder="1"/>
    <xf numFmtId="176" fontId="0" fillId="0" borderId="39" xfId="0" applyNumberFormat="1" applyBorder="1"/>
    <xf numFmtId="176" fontId="0" fillId="0" borderId="54" xfId="0" applyNumberFormat="1" applyBorder="1"/>
    <xf numFmtId="0" fontId="15" fillId="6" borderId="57" xfId="19" applyFont="1" applyFill="1" applyBorder="1" applyAlignment="1">
      <alignment vertical="center"/>
    </xf>
    <xf numFmtId="176" fontId="40" fillId="0" borderId="53" xfId="0" applyNumberFormat="1" applyFont="1" applyBorder="1"/>
    <xf numFmtId="176" fontId="40" fillId="0" borderId="39" xfId="0" applyNumberFormat="1" applyFont="1" applyBorder="1"/>
    <xf numFmtId="176" fontId="40" fillId="0" borderId="54" xfId="0" applyNumberFormat="1" applyFont="1" applyBorder="1"/>
    <xf numFmtId="0" fontId="40" fillId="0" borderId="63" xfId="0" applyFont="1" applyBorder="1"/>
    <xf numFmtId="0" fontId="0" fillId="0" borderId="63" xfId="0" applyBorder="1"/>
    <xf numFmtId="168" fontId="0" fillId="0" borderId="17" xfId="0" applyNumberFormat="1" applyBorder="1"/>
    <xf numFmtId="0" fontId="14" fillId="2" borderId="45" xfId="0" applyFont="1" applyFill="1" applyBorder="1" applyAlignment="1">
      <alignment wrapText="1"/>
    </xf>
    <xf numFmtId="0" fontId="14" fillId="2" borderId="64" xfId="0" applyFont="1" applyFill="1" applyBorder="1"/>
    <xf numFmtId="0" fontId="14" fillId="2" borderId="43" xfId="0" applyFont="1" applyFill="1" applyBorder="1"/>
    <xf numFmtId="173" fontId="14" fillId="2" borderId="35" xfId="4" applyNumberFormat="1" applyFont="1" applyFill="1" applyBorder="1" applyAlignment="1"/>
    <xf numFmtId="173" fontId="14" fillId="2" borderId="24" xfId="4" applyNumberFormat="1" applyFont="1" applyFill="1" applyBorder="1" applyAlignment="1"/>
    <xf numFmtId="0" fontId="14" fillId="3" borderId="46" xfId="0" applyFont="1" applyFill="1" applyBorder="1" applyAlignment="1">
      <alignment wrapText="1"/>
    </xf>
    <xf numFmtId="173" fontId="14" fillId="3" borderId="43" xfId="0" applyNumberFormat="1" applyFont="1" applyFill="1" applyBorder="1" applyAlignment="1">
      <alignment wrapText="1"/>
    </xf>
    <xf numFmtId="0" fontId="14" fillId="3" borderId="47" xfId="0" applyFont="1" applyFill="1" applyBorder="1" applyAlignment="1">
      <alignment wrapText="1"/>
    </xf>
    <xf numFmtId="173" fontId="14" fillId="3" borderId="46" xfId="4" applyNumberFormat="1" applyFont="1" applyFill="1" applyBorder="1" applyAlignment="1"/>
    <xf numFmtId="173" fontId="14" fillId="3" borderId="47" xfId="4" applyNumberFormat="1" applyFont="1" applyFill="1" applyBorder="1" applyAlignment="1"/>
    <xf numFmtId="175" fontId="14" fillId="2" borderId="29" xfId="4" applyNumberFormat="1" applyFont="1" applyFill="1" applyBorder="1" applyAlignment="1"/>
    <xf numFmtId="44" fontId="14" fillId="2" borderId="20" xfId="4" applyFont="1" applyFill="1" applyBorder="1" applyAlignment="1">
      <alignment wrapText="1"/>
    </xf>
    <xf numFmtId="173" fontId="14" fillId="2" borderId="35" xfId="4" applyNumberFormat="1" applyFont="1" applyFill="1" applyBorder="1" applyAlignment="1">
      <alignment wrapText="1"/>
    </xf>
    <xf numFmtId="0" fontId="14" fillId="3" borderId="62" xfId="0" applyFont="1" applyFill="1" applyBorder="1" applyAlignment="1">
      <alignment wrapText="1"/>
    </xf>
    <xf numFmtId="0" fontId="14" fillId="3" borderId="65" xfId="0" applyFont="1" applyFill="1" applyBorder="1" applyAlignment="1">
      <alignment wrapText="1"/>
    </xf>
    <xf numFmtId="0" fontId="14" fillId="3" borderId="60" xfId="0" applyFont="1" applyFill="1" applyBorder="1" applyAlignment="1">
      <alignment wrapText="1"/>
    </xf>
    <xf numFmtId="173" fontId="14" fillId="3" borderId="62" xfId="4" applyNumberFormat="1" applyFont="1" applyFill="1" applyBorder="1" applyAlignment="1"/>
    <xf numFmtId="173" fontId="14" fillId="3" borderId="60" xfId="4" applyNumberFormat="1" applyFont="1" applyFill="1" applyBorder="1" applyAlignment="1"/>
    <xf numFmtId="175" fontId="14" fillId="2" borderId="30" xfId="4" applyNumberFormat="1" applyFont="1" applyFill="1" applyBorder="1" applyAlignment="1"/>
    <xf numFmtId="175" fontId="14" fillId="2" borderId="31" xfId="4" applyNumberFormat="1" applyFont="1" applyFill="1" applyBorder="1" applyAlignment="1"/>
    <xf numFmtId="168" fontId="45" fillId="2" borderId="66" xfId="0" applyNumberFormat="1" applyFont="1" applyFill="1" applyBorder="1" applyAlignment="1">
      <alignment horizontal="right" wrapText="1"/>
    </xf>
    <xf numFmtId="168" fontId="45" fillId="2" borderId="67" xfId="0" applyNumberFormat="1" applyFont="1" applyFill="1" applyBorder="1" applyAlignment="1">
      <alignment horizontal="right" wrapText="1"/>
    </xf>
    <xf numFmtId="168" fontId="45" fillId="2" borderId="68" xfId="0" applyNumberFormat="1" applyFont="1" applyFill="1" applyBorder="1" applyAlignment="1">
      <alignment horizontal="right" wrapText="1"/>
    </xf>
    <xf numFmtId="1" fontId="15" fillId="0" borderId="54" xfId="0" applyNumberFormat="1" applyFont="1" applyBorder="1" applyAlignment="1">
      <alignment horizontal="center"/>
    </xf>
    <xf numFmtId="1" fontId="15" fillId="0" borderId="39" xfId="0" applyNumberFormat="1" applyFont="1" applyBorder="1" applyAlignment="1">
      <alignment horizontal="center"/>
    </xf>
    <xf numFmtId="0" fontId="15" fillId="0" borderId="39" xfId="0" applyFont="1" applyBorder="1" applyAlignment="1">
      <alignment horizontal="center"/>
    </xf>
    <xf numFmtId="1" fontId="15" fillId="11" borderId="39" xfId="0" applyNumberFormat="1" applyFont="1" applyFill="1" applyBorder="1" applyAlignment="1">
      <alignment horizontal="center"/>
    </xf>
    <xf numFmtId="0" fontId="14" fillId="0" borderId="39" xfId="0" applyFont="1" applyBorder="1"/>
    <xf numFmtId="0" fontId="14" fillId="6" borderId="44" xfId="0" applyFont="1" applyFill="1" applyBorder="1"/>
    <xf numFmtId="0" fontId="14" fillId="5" borderId="53" xfId="0" applyFont="1" applyFill="1" applyBorder="1"/>
    <xf numFmtId="0" fontId="14" fillId="5" borderId="39" xfId="0" applyFont="1" applyFill="1" applyBorder="1"/>
    <xf numFmtId="0" fontId="14" fillId="5" borderId="39" xfId="0" applyFont="1" applyFill="1" applyBorder="1" applyAlignment="1">
      <alignment horizontal="center"/>
    </xf>
    <xf numFmtId="1" fontId="15" fillId="5" borderId="39" xfId="0" applyNumberFormat="1" applyFont="1" applyFill="1" applyBorder="1" applyAlignment="1">
      <alignment horizontal="center" vertical="center"/>
    </xf>
    <xf numFmtId="2" fontId="14" fillId="5" borderId="39" xfId="0" applyNumberFormat="1" applyFont="1" applyFill="1" applyBorder="1" applyAlignment="1">
      <alignment horizontal="center"/>
    </xf>
    <xf numFmtId="2" fontId="15" fillId="5" borderId="39" xfId="0" applyNumberFormat="1" applyFont="1" applyFill="1" applyBorder="1" applyAlignment="1">
      <alignment horizontal="center"/>
    </xf>
    <xf numFmtId="1" fontId="15" fillId="5" borderId="39" xfId="0" applyNumberFormat="1" applyFont="1" applyFill="1" applyBorder="1" applyAlignment="1">
      <alignment horizontal="center"/>
    </xf>
    <xf numFmtId="1" fontId="14" fillId="5" borderId="39" xfId="0" applyNumberFormat="1" applyFont="1" applyFill="1" applyBorder="1" applyAlignment="1">
      <alignment horizontal="center"/>
    </xf>
    <xf numFmtId="2" fontId="15" fillId="5" borderId="54" xfId="0" applyNumberFormat="1" applyFont="1" applyFill="1" applyBorder="1" applyAlignment="1">
      <alignment horizontal="center"/>
    </xf>
    <xf numFmtId="164" fontId="37" fillId="3" borderId="27" xfId="3" applyNumberFormat="1" applyFont="1" applyFill="1" applyBorder="1" applyAlignment="1">
      <alignment horizontal="right" wrapText="1"/>
    </xf>
    <xf numFmtId="0" fontId="37" fillId="3" borderId="27" xfId="0" applyFont="1" applyFill="1" applyBorder="1" applyAlignment="1">
      <alignment wrapText="1"/>
    </xf>
    <xf numFmtId="173" fontId="37" fillId="3" borderId="27" xfId="4" applyNumberFormat="1" applyFont="1" applyFill="1" applyBorder="1" applyAlignment="1"/>
    <xf numFmtId="173" fontId="37" fillId="3" borderId="46" xfId="4" applyNumberFormat="1" applyFont="1" applyFill="1" applyBorder="1" applyAlignment="1"/>
    <xf numFmtId="0" fontId="37" fillId="3" borderId="62" xfId="0" applyFont="1" applyFill="1" applyBorder="1" applyAlignment="1">
      <alignment wrapText="1"/>
    </xf>
    <xf numFmtId="43" fontId="14" fillId="5" borderId="0" xfId="1" applyFont="1" applyFill="1" applyBorder="1" applyAlignment="1">
      <alignment wrapText="1"/>
    </xf>
    <xf numFmtId="9" fontId="0" fillId="0" borderId="0" xfId="44" applyFont="1"/>
    <xf numFmtId="2" fontId="0" fillId="0" borderId="0" xfId="44" applyNumberFormat="1" applyFont="1"/>
    <xf numFmtId="1" fontId="14" fillId="5" borderId="0" xfId="0" applyNumberFormat="1" applyFont="1" applyFill="1"/>
    <xf numFmtId="0" fontId="24" fillId="4" borderId="10" xfId="19" applyFont="1" applyFill="1" applyBorder="1" applyAlignment="1">
      <alignment vertical="center" wrapText="1"/>
    </xf>
    <xf numFmtId="0" fontId="49" fillId="16" borderId="69" xfId="0" applyFont="1" applyFill="1" applyBorder="1" applyAlignment="1">
      <alignment horizontal="center" vertical="center" wrapText="1"/>
    </xf>
    <xf numFmtId="0" fontId="49" fillId="17" borderId="69" xfId="0" applyFont="1" applyFill="1" applyBorder="1" applyAlignment="1">
      <alignment horizontal="center" vertical="center" wrapText="1"/>
    </xf>
    <xf numFmtId="0" fontId="49" fillId="16" borderId="69" xfId="0" applyFont="1" applyFill="1" applyBorder="1" applyAlignment="1">
      <alignment horizontal="left" vertical="center" wrapText="1" indent="1"/>
    </xf>
    <xf numFmtId="0" fontId="49" fillId="17" borderId="69" xfId="0" applyFont="1" applyFill="1" applyBorder="1" applyAlignment="1">
      <alignment horizontal="left" vertical="center" wrapText="1" indent="1"/>
    </xf>
    <xf numFmtId="0" fontId="49" fillId="17" borderId="70" xfId="0" applyFont="1" applyFill="1" applyBorder="1" applyAlignment="1">
      <alignment horizontal="center" vertical="center" wrapText="1"/>
    </xf>
    <xf numFmtId="167" fontId="15" fillId="5" borderId="39" xfId="0" applyNumberFormat="1" applyFont="1" applyFill="1" applyBorder="1" applyAlignment="1">
      <alignment horizontal="center"/>
    </xf>
    <xf numFmtId="168" fontId="14" fillId="5" borderId="0" xfId="4" applyNumberFormat="1" applyFont="1" applyFill="1"/>
    <xf numFmtId="0" fontId="14" fillId="14" borderId="28" xfId="0" applyFont="1" applyFill="1" applyBorder="1" applyAlignment="1">
      <alignment horizontal="center" vertical="center" wrapText="1"/>
    </xf>
    <xf numFmtId="0" fontId="14" fillId="14" borderId="29" xfId="0" applyFont="1" applyFill="1" applyBorder="1" applyAlignment="1">
      <alignment horizontal="center" vertical="center" wrapText="1"/>
    </xf>
    <xf numFmtId="0" fontId="5" fillId="0" borderId="0" xfId="9"/>
    <xf numFmtId="0" fontId="14" fillId="2" borderId="28" xfId="0" applyFont="1" applyFill="1" applyBorder="1"/>
    <xf numFmtId="173" fontId="14" fillId="2" borderId="25" xfId="4" applyNumberFormat="1" applyFont="1" applyFill="1" applyBorder="1"/>
    <xf numFmtId="173" fontId="15" fillId="2" borderId="31" xfId="4" applyNumberFormat="1" applyFont="1" applyFill="1" applyBorder="1"/>
    <xf numFmtId="173" fontId="15" fillId="2" borderId="29" xfId="4" applyNumberFormat="1" applyFont="1" applyFill="1" applyBorder="1" applyAlignment="1">
      <alignment wrapText="1"/>
    </xf>
    <xf numFmtId="0" fontId="15" fillId="15" borderId="27" xfId="0" applyFont="1" applyFill="1" applyBorder="1" applyAlignment="1">
      <alignment horizontal="center" vertical="center" wrapText="1"/>
    </xf>
    <xf numFmtId="167" fontId="14" fillId="2" borderId="25" xfId="4" applyNumberFormat="1" applyFont="1" applyFill="1" applyBorder="1"/>
    <xf numFmtId="167" fontId="14" fillId="2" borderId="31" xfId="4" applyNumberFormat="1" applyFont="1" applyFill="1" applyBorder="1"/>
    <xf numFmtId="167" fontId="14" fillId="2" borderId="28" xfId="4" applyNumberFormat="1" applyFont="1" applyFill="1" applyBorder="1" applyAlignment="1">
      <alignment wrapText="1"/>
    </xf>
    <xf numFmtId="0" fontId="15" fillId="2" borderId="29" xfId="0" applyFont="1" applyFill="1" applyBorder="1"/>
    <xf numFmtId="173" fontId="15" fillId="2" borderId="30" xfId="4" applyNumberFormat="1" applyFont="1" applyFill="1" applyBorder="1"/>
    <xf numFmtId="167" fontId="14" fillId="2" borderId="25" xfId="4" applyNumberFormat="1" applyFont="1" applyFill="1" applyBorder="1" applyAlignment="1">
      <alignment wrapText="1"/>
    </xf>
    <xf numFmtId="0" fontId="14" fillId="2" borderId="17" xfId="0" applyFont="1" applyFill="1" applyBorder="1" applyAlignment="1">
      <alignment wrapText="1"/>
    </xf>
    <xf numFmtId="1" fontId="14" fillId="2" borderId="17" xfId="4" applyNumberFormat="1" applyFont="1" applyFill="1" applyBorder="1" applyAlignment="1">
      <alignment wrapText="1"/>
    </xf>
    <xf numFmtId="0" fontId="15" fillId="2" borderId="29" xfId="0" applyFont="1" applyFill="1" applyBorder="1" applyAlignment="1">
      <alignment wrapText="1"/>
    </xf>
    <xf numFmtId="173" fontId="15" fillId="2" borderId="30" xfId="4" applyNumberFormat="1" applyFont="1" applyFill="1" applyBorder="1" applyAlignment="1">
      <alignment wrapText="1"/>
    </xf>
    <xf numFmtId="173" fontId="15" fillId="2" borderId="31" xfId="4" applyNumberFormat="1" applyFont="1" applyFill="1" applyBorder="1" applyAlignment="1">
      <alignment wrapText="1"/>
    </xf>
    <xf numFmtId="0" fontId="14" fillId="2" borderId="29" xfId="0" applyFont="1" applyFill="1" applyBorder="1" applyAlignment="1">
      <alignment wrapText="1"/>
    </xf>
    <xf numFmtId="173" fontId="14" fillId="2" borderId="30" xfId="4" applyNumberFormat="1" applyFont="1" applyFill="1" applyBorder="1" applyAlignment="1">
      <alignment wrapText="1"/>
    </xf>
    <xf numFmtId="1" fontId="14" fillId="2" borderId="25" xfId="4" applyNumberFormat="1" applyFont="1" applyFill="1" applyBorder="1" applyAlignment="1">
      <alignment wrapText="1"/>
    </xf>
    <xf numFmtId="1" fontId="14" fillId="2" borderId="30" xfId="4" applyNumberFormat="1" applyFont="1" applyFill="1" applyBorder="1" applyAlignment="1">
      <alignment wrapText="1"/>
    </xf>
    <xf numFmtId="1" fontId="14" fillId="2" borderId="31" xfId="4" applyNumberFormat="1" applyFont="1" applyFill="1" applyBorder="1" applyAlignment="1">
      <alignment wrapText="1"/>
    </xf>
    <xf numFmtId="167" fontId="14" fillId="2" borderId="29" xfId="4" applyNumberFormat="1" applyFont="1" applyFill="1" applyBorder="1" applyAlignment="1">
      <alignment wrapText="1"/>
    </xf>
    <xf numFmtId="167" fontId="14" fillId="2" borderId="31" xfId="4" applyNumberFormat="1" applyFont="1" applyFill="1" applyBorder="1" applyAlignment="1">
      <alignment wrapText="1"/>
    </xf>
    <xf numFmtId="0" fontId="24" fillId="4" borderId="10" xfId="2" applyFont="1" applyFill="1" applyBorder="1" applyAlignment="1">
      <alignment horizontal="left" vertical="center"/>
    </xf>
    <xf numFmtId="1" fontId="21" fillId="3" borderId="25" xfId="3" applyNumberFormat="1" applyFont="1" applyFill="1" applyBorder="1" applyAlignment="1" applyProtection="1">
      <alignment horizontal="left" vertical="top" wrapText="1"/>
      <protection locked="0"/>
    </xf>
    <xf numFmtId="164" fontId="22" fillId="3" borderId="23" xfId="3" applyNumberFormat="1" applyFont="1" applyFill="1" applyBorder="1" applyAlignment="1">
      <alignment horizontal="left" wrapText="1"/>
    </xf>
    <xf numFmtId="0" fontId="14" fillId="3" borderId="23" xfId="0" applyFont="1" applyFill="1" applyBorder="1" applyAlignment="1">
      <alignment horizontal="left" wrapText="1"/>
    </xf>
    <xf numFmtId="173" fontId="14" fillId="2" borderId="25" xfId="4" applyNumberFormat="1" applyFont="1" applyFill="1" applyBorder="1" applyAlignment="1">
      <alignment horizontal="left"/>
    </xf>
    <xf numFmtId="173" fontId="14" fillId="3" borderId="23" xfId="4" applyNumberFormat="1" applyFont="1" applyFill="1" applyBorder="1" applyAlignment="1">
      <alignment horizontal="left"/>
    </xf>
    <xf numFmtId="173" fontId="14" fillId="2" borderId="47" xfId="4" applyNumberFormat="1" applyFont="1" applyFill="1" applyBorder="1" applyAlignment="1">
      <alignment horizontal="left"/>
    </xf>
    <xf numFmtId="173" fontId="22" fillId="2" borderId="25" xfId="4" applyNumberFormat="1" applyFont="1" applyFill="1" applyBorder="1" applyAlignment="1">
      <alignment horizontal="left"/>
    </xf>
    <xf numFmtId="175" fontId="14" fillId="2" borderId="29" xfId="4" applyNumberFormat="1" applyFont="1" applyFill="1" applyBorder="1" applyAlignment="1">
      <alignment horizontal="left"/>
    </xf>
    <xf numFmtId="173" fontId="14" fillId="2" borderId="28" xfId="4" applyNumberFormat="1" applyFont="1" applyFill="1" applyBorder="1" applyAlignment="1">
      <alignment horizontal="left"/>
    </xf>
    <xf numFmtId="177" fontId="14" fillId="2" borderId="25" xfId="4" applyNumberFormat="1" applyFont="1" applyFill="1" applyBorder="1" applyAlignment="1">
      <alignment horizontal="left"/>
    </xf>
    <xf numFmtId="1" fontId="21" fillId="6" borderId="28" xfId="3" applyNumberFormat="1" applyFont="1" applyFill="1" applyBorder="1" applyAlignment="1" applyProtection="1">
      <alignment horizontal="center" vertical="center" wrapText="1"/>
      <protection locked="0"/>
    </xf>
    <xf numFmtId="1" fontId="21" fillId="6" borderId="17" xfId="3" applyNumberFormat="1" applyFont="1" applyFill="1" applyBorder="1" applyAlignment="1" applyProtection="1">
      <alignment horizontal="center" vertical="center" wrapText="1"/>
      <protection locked="0"/>
    </xf>
    <xf numFmtId="1" fontId="21" fillId="6" borderId="25" xfId="3" applyNumberFormat="1" applyFont="1" applyFill="1" applyBorder="1" applyAlignment="1" applyProtection="1">
      <alignment horizontal="center" vertical="center" wrapText="1"/>
      <protection locked="0"/>
    </xf>
    <xf numFmtId="0" fontId="15" fillId="15" borderId="19" xfId="0" applyFont="1" applyFill="1" applyBorder="1" applyAlignment="1">
      <alignment horizontal="center" vertical="center"/>
    </xf>
    <xf numFmtId="0" fontId="0" fillId="0" borderId="0" xfId="0" applyAlignment="1">
      <alignment vertical="center"/>
    </xf>
    <xf numFmtId="0" fontId="0" fillId="0" borderId="0" xfId="0" applyAlignment="1">
      <alignment vertical="top"/>
    </xf>
    <xf numFmtId="0" fontId="0" fillId="6" borderId="0" xfId="0" applyFill="1" applyAlignment="1">
      <alignment vertical="top" wrapText="1"/>
    </xf>
    <xf numFmtId="0" fontId="0" fillId="6" borderId="0" xfId="0" applyFill="1" applyAlignment="1">
      <alignment vertical="center" wrapText="1"/>
    </xf>
    <xf numFmtId="0" fontId="51" fillId="6" borderId="0" xfId="0" applyFont="1" applyFill="1" applyAlignment="1">
      <alignment vertical="top" wrapText="1"/>
    </xf>
    <xf numFmtId="0" fontId="40" fillId="6" borderId="0" xfId="0" applyFont="1" applyFill="1" applyAlignment="1">
      <alignment vertical="top" wrapText="1"/>
    </xf>
    <xf numFmtId="0" fontId="52" fillId="6" borderId="0" xfId="0" applyFont="1" applyFill="1" applyAlignment="1">
      <alignment vertical="center" wrapText="1"/>
    </xf>
    <xf numFmtId="0" fontId="52" fillId="6" borderId="0" xfId="0" applyFont="1" applyFill="1" applyAlignment="1">
      <alignment vertical="top" wrapText="1"/>
    </xf>
    <xf numFmtId="1" fontId="14" fillId="2" borderId="28" xfId="3" applyNumberFormat="1" applyFont="1" applyFill="1" applyBorder="1" applyAlignment="1" applyProtection="1">
      <alignment horizontal="right" wrapText="1"/>
      <protection locked="0"/>
    </xf>
    <xf numFmtId="1" fontId="14" fillId="2" borderId="17" xfId="3" applyNumberFormat="1" applyFont="1" applyFill="1" applyBorder="1" applyAlignment="1" applyProtection="1">
      <alignment horizontal="right" wrapText="1"/>
      <protection locked="0"/>
    </xf>
    <xf numFmtId="1" fontId="14" fillId="2" borderId="25" xfId="3" applyNumberFormat="1" applyFont="1" applyFill="1" applyBorder="1" applyAlignment="1" applyProtection="1">
      <alignment horizontal="right" wrapText="1"/>
      <protection locked="0"/>
    </xf>
    <xf numFmtId="0" fontId="14" fillId="2" borderId="25" xfId="0" applyFont="1" applyFill="1" applyBorder="1" applyAlignment="1">
      <alignment wrapText="1"/>
    </xf>
    <xf numFmtId="1" fontId="14" fillId="2" borderId="25" xfId="0" applyNumberFormat="1" applyFont="1" applyFill="1" applyBorder="1" applyAlignment="1">
      <alignment wrapText="1"/>
    </xf>
    <xf numFmtId="1" fontId="14" fillId="2" borderId="17" xfId="0" applyNumberFormat="1" applyFont="1" applyFill="1" applyBorder="1" applyAlignment="1">
      <alignment wrapText="1"/>
    </xf>
    <xf numFmtId="1" fontId="14" fillId="2" borderId="25" xfId="1" applyNumberFormat="1" applyFont="1" applyFill="1" applyBorder="1" applyAlignment="1">
      <alignment wrapText="1"/>
    </xf>
    <xf numFmtId="1" fontId="14" fillId="2" borderId="20" xfId="0" applyNumberFormat="1" applyFont="1" applyFill="1" applyBorder="1" applyAlignment="1">
      <alignment wrapText="1"/>
    </xf>
    <xf numFmtId="1" fontId="14" fillId="2" borderId="24" xfId="0" applyNumberFormat="1" applyFont="1" applyFill="1" applyBorder="1" applyAlignment="1">
      <alignment wrapText="1"/>
    </xf>
    <xf numFmtId="0" fontId="14" fillId="2" borderId="24" xfId="0" applyFont="1" applyFill="1" applyBorder="1" applyAlignment="1">
      <alignment wrapText="1"/>
    </xf>
    <xf numFmtId="1" fontId="14" fillId="2" borderId="30" xfId="0" applyNumberFormat="1" applyFont="1" applyFill="1" applyBorder="1" applyAlignment="1">
      <alignment wrapText="1"/>
    </xf>
    <xf numFmtId="0" fontId="14" fillId="2" borderId="31" xfId="0" applyFont="1" applyFill="1" applyBorder="1" applyAlignment="1">
      <alignment wrapText="1"/>
    </xf>
    <xf numFmtId="165" fontId="15" fillId="2" borderId="29" xfId="3" quotePrefix="1" applyNumberFormat="1" applyFont="1" applyFill="1" applyBorder="1" applyAlignment="1">
      <alignment horizontal="right"/>
    </xf>
    <xf numFmtId="165" fontId="15" fillId="2" borderId="30" xfId="3" quotePrefix="1" applyNumberFormat="1" applyFont="1" applyFill="1" applyBorder="1" applyAlignment="1">
      <alignment horizontal="right"/>
    </xf>
    <xf numFmtId="165" fontId="15" fillId="2" borderId="31" xfId="3" quotePrefix="1" applyNumberFormat="1" applyFont="1" applyFill="1" applyBorder="1" applyAlignment="1">
      <alignment horizontal="right"/>
    </xf>
    <xf numFmtId="173" fontId="14" fillId="2" borderId="28" xfId="4" quotePrefix="1" applyNumberFormat="1" applyFont="1" applyFill="1" applyBorder="1" applyAlignment="1">
      <alignment horizontal="left"/>
    </xf>
    <xf numFmtId="173" fontId="14" fillId="2" borderId="35" xfId="4" quotePrefix="1" applyNumberFormat="1" applyFont="1" applyFill="1" applyBorder="1" applyAlignment="1">
      <alignment horizontal="left"/>
    </xf>
    <xf numFmtId="168" fontId="45" fillId="2" borderId="73" xfId="0" applyNumberFormat="1" applyFont="1" applyFill="1" applyBorder="1" applyAlignment="1">
      <alignment horizontal="right" wrapText="1"/>
    </xf>
    <xf numFmtId="168" fontId="50" fillId="2" borderId="74" xfId="0" applyNumberFormat="1" applyFont="1" applyFill="1" applyBorder="1" applyAlignment="1">
      <alignment horizontal="left" wrapText="1"/>
    </xf>
    <xf numFmtId="9" fontId="14" fillId="9" borderId="17" xfId="44" applyFont="1" applyFill="1" applyBorder="1" applyAlignment="1" applyProtection="1">
      <alignment horizontal="center" vertical="center" wrapText="1"/>
      <protection locked="0"/>
    </xf>
    <xf numFmtId="9" fontId="14" fillId="9" borderId="30" xfId="44" applyFont="1" applyFill="1" applyBorder="1" applyAlignment="1" applyProtection="1">
      <alignment horizontal="center" vertical="center" wrapText="1"/>
      <protection locked="0"/>
    </xf>
    <xf numFmtId="168" fontId="14" fillId="9" borderId="30" xfId="44" applyNumberFormat="1" applyFont="1" applyFill="1" applyBorder="1" applyAlignment="1" applyProtection="1">
      <alignment horizontal="center" vertical="center" wrapText="1"/>
      <protection locked="0"/>
    </xf>
    <xf numFmtId="0" fontId="0" fillId="18" borderId="0" xfId="0" applyFill="1" applyAlignment="1">
      <alignment horizontal="left" vertical="top" wrapText="1"/>
    </xf>
    <xf numFmtId="0" fontId="0" fillId="5" borderId="0" xfId="0" applyFill="1" applyAlignment="1">
      <alignment horizontal="left" vertical="top" wrapText="1"/>
    </xf>
    <xf numFmtId="0" fontId="40" fillId="5" borderId="0" xfId="0" applyFont="1" applyFill="1" applyAlignment="1">
      <alignment horizontal="left" vertical="top" wrapText="1"/>
    </xf>
    <xf numFmtId="0" fontId="0" fillId="5" borderId="0" xfId="0" applyFill="1" applyAlignment="1">
      <alignment horizontal="center" vertical="top" wrapText="1"/>
    </xf>
    <xf numFmtId="0" fontId="14" fillId="0" borderId="72" xfId="0" applyFont="1" applyBorder="1" applyAlignment="1">
      <alignment horizontal="left" vertical="center" wrapText="1"/>
    </xf>
    <xf numFmtId="0" fontId="14" fillId="0" borderId="42" xfId="0" applyFont="1" applyBorder="1" applyAlignment="1">
      <alignment horizontal="left" vertical="center" wrapText="1"/>
    </xf>
    <xf numFmtId="0" fontId="14" fillId="0" borderId="52" xfId="0" applyFont="1" applyBorder="1" applyAlignment="1">
      <alignment horizontal="left" vertical="center" wrapText="1"/>
    </xf>
    <xf numFmtId="0" fontId="55" fillId="4" borderId="10" xfId="9" applyFont="1" applyFill="1" applyBorder="1" applyAlignment="1">
      <alignment horizontal="center" vertical="center"/>
    </xf>
    <xf numFmtId="0" fontId="55" fillId="4" borderId="9" xfId="9" applyFont="1" applyFill="1" applyBorder="1" applyAlignment="1">
      <alignment horizontal="center" vertical="center"/>
    </xf>
    <xf numFmtId="0" fontId="14" fillId="0" borderId="21" xfId="0" applyFont="1" applyBorder="1" applyAlignment="1">
      <alignment horizontal="left" vertical="top" wrapText="1"/>
    </xf>
    <xf numFmtId="0" fontId="14" fillId="0" borderId="0" xfId="0" applyFont="1" applyAlignment="1">
      <alignment horizontal="left" vertical="top" wrapText="1"/>
    </xf>
    <xf numFmtId="0" fontId="55" fillId="4" borderId="2" xfId="9" applyFont="1" applyFill="1" applyBorder="1" applyAlignment="1">
      <alignment horizontal="center" vertical="center"/>
    </xf>
    <xf numFmtId="0" fontId="55" fillId="4" borderId="1" xfId="9" applyFont="1" applyFill="1" applyBorder="1" applyAlignment="1">
      <alignment horizontal="center" vertical="center"/>
    </xf>
    <xf numFmtId="0" fontId="55" fillId="4" borderId="3" xfId="9" applyFont="1" applyFill="1" applyBorder="1" applyAlignment="1">
      <alignment horizontal="center" vertical="center"/>
    </xf>
    <xf numFmtId="173" fontId="14" fillId="2" borderId="35" xfId="4" applyNumberFormat="1" applyFont="1" applyFill="1" applyBorder="1" applyAlignment="1">
      <alignment horizontal="left" vertical="center"/>
    </xf>
    <xf numFmtId="173" fontId="14" fillId="2" borderId="36" xfId="4" applyNumberFormat="1" applyFont="1" applyFill="1" applyBorder="1" applyAlignment="1">
      <alignment horizontal="left" vertical="center"/>
    </xf>
    <xf numFmtId="173" fontId="14" fillId="2" borderId="71" xfId="4" applyNumberFormat="1" applyFont="1" applyFill="1" applyBorder="1" applyAlignment="1">
      <alignment horizontal="left" vertical="center"/>
    </xf>
    <xf numFmtId="0" fontId="15" fillId="15" borderId="19" xfId="0" applyFont="1" applyFill="1" applyBorder="1" applyAlignment="1">
      <alignment horizontal="left" vertical="center"/>
    </xf>
    <xf numFmtId="0" fontId="15" fillId="15" borderId="23" xfId="0" applyFont="1" applyFill="1" applyBorder="1" applyAlignment="1">
      <alignment horizontal="left" vertical="center"/>
    </xf>
    <xf numFmtId="0" fontId="14" fillId="0" borderId="17" xfId="0" applyFont="1" applyBorder="1" applyAlignment="1">
      <alignment horizontal="left" vertical="center" wrapText="1"/>
    </xf>
    <xf numFmtId="0" fontId="14" fillId="0" borderId="25" xfId="0" applyFont="1" applyBorder="1" applyAlignment="1">
      <alignment horizontal="left" vertical="center" wrapText="1"/>
    </xf>
    <xf numFmtId="0" fontId="24" fillId="4" borderId="27" xfId="2" applyFont="1" applyFill="1" applyBorder="1" applyAlignment="1">
      <alignment horizontal="center" vertical="center" wrapText="1"/>
    </xf>
    <xf numFmtId="0" fontId="24" fillId="4" borderId="19" xfId="2" applyFont="1" applyFill="1" applyBorder="1" applyAlignment="1">
      <alignment horizontal="center" vertical="center" wrapText="1"/>
    </xf>
    <xf numFmtId="0" fontId="24" fillId="4" borderId="23" xfId="2" applyFont="1" applyFill="1" applyBorder="1" applyAlignment="1">
      <alignment horizontal="center" vertical="center" wrapText="1"/>
    </xf>
    <xf numFmtId="1" fontId="21" fillId="6" borderId="20" xfId="3" applyNumberFormat="1" applyFont="1" applyFill="1" applyBorder="1" applyAlignment="1" applyProtection="1">
      <alignment horizontal="center" vertical="center" wrapText="1"/>
      <protection locked="0"/>
    </xf>
    <xf numFmtId="1" fontId="21" fillId="6" borderId="43" xfId="3" applyNumberFormat="1" applyFont="1" applyFill="1" applyBorder="1" applyAlignment="1" applyProtection="1">
      <alignment horizontal="center" vertical="center" wrapText="1"/>
      <protection locked="0"/>
    </xf>
    <xf numFmtId="1" fontId="21" fillId="6" borderId="35" xfId="3" applyNumberFormat="1" applyFont="1" applyFill="1" applyBorder="1" applyAlignment="1" applyProtection="1">
      <alignment horizontal="center" vertical="center" wrapText="1"/>
      <protection locked="0"/>
    </xf>
    <xf numFmtId="1" fontId="21" fillId="6" borderId="46" xfId="3" applyNumberFormat="1" applyFont="1" applyFill="1" applyBorder="1" applyAlignment="1" applyProtection="1">
      <alignment horizontal="center" vertical="center" wrapText="1"/>
      <protection locked="0"/>
    </xf>
    <xf numFmtId="0" fontId="15" fillId="15" borderId="63" xfId="0" applyFont="1" applyFill="1" applyBorder="1" applyAlignment="1">
      <alignment horizontal="center" vertical="center" wrapText="1"/>
    </xf>
    <xf numFmtId="0" fontId="15" fillId="15" borderId="26" xfId="0" applyFont="1" applyFill="1" applyBorder="1" applyAlignment="1">
      <alignment horizontal="center" vertical="center" wrapText="1"/>
    </xf>
    <xf numFmtId="1" fontId="21" fillId="6" borderId="17" xfId="3" applyNumberFormat="1" applyFont="1" applyFill="1" applyBorder="1" applyAlignment="1" applyProtection="1">
      <alignment horizontal="center" vertical="center" wrapText="1"/>
      <protection locked="0"/>
    </xf>
    <xf numFmtId="1" fontId="21" fillId="6" borderId="25" xfId="3" applyNumberFormat="1" applyFont="1" applyFill="1" applyBorder="1" applyAlignment="1" applyProtection="1">
      <alignment horizontal="center" vertical="center" wrapText="1"/>
      <protection locked="0"/>
    </xf>
    <xf numFmtId="0" fontId="24" fillId="4" borderId="2" xfId="2" applyFont="1" applyFill="1" applyBorder="1" applyAlignment="1">
      <alignment horizontal="center" vertical="center"/>
    </xf>
    <xf numFmtId="0" fontId="24" fillId="4" borderId="3" xfId="2" applyFont="1" applyFill="1" applyBorder="1" applyAlignment="1">
      <alignment horizontal="center" vertical="center"/>
    </xf>
    <xf numFmtId="0" fontId="24" fillId="4" borderId="27" xfId="2" applyFont="1" applyFill="1" applyBorder="1" applyAlignment="1">
      <alignment horizontal="center" vertical="center"/>
    </xf>
    <xf numFmtId="0" fontId="24" fillId="4" borderId="19" xfId="2" applyFont="1" applyFill="1" applyBorder="1" applyAlignment="1">
      <alignment horizontal="center" vertical="center"/>
    </xf>
    <xf numFmtId="0" fontId="24" fillId="4" borderId="23" xfId="2" applyFont="1" applyFill="1" applyBorder="1" applyAlignment="1">
      <alignment horizontal="center" vertical="center"/>
    </xf>
    <xf numFmtId="0" fontId="24" fillId="4" borderId="1" xfId="2" applyFont="1" applyFill="1" applyBorder="1" applyAlignment="1">
      <alignment horizontal="center" vertical="center"/>
    </xf>
    <xf numFmtId="1" fontId="21" fillId="6" borderId="63" xfId="3" applyNumberFormat="1" applyFont="1" applyFill="1" applyBorder="1" applyAlignment="1" applyProtection="1">
      <alignment horizontal="center" vertical="center" wrapText="1"/>
      <protection locked="0"/>
    </xf>
    <xf numFmtId="1" fontId="21" fillId="6" borderId="13" xfId="3" applyNumberFormat="1" applyFont="1" applyFill="1" applyBorder="1" applyAlignment="1" applyProtection="1">
      <alignment horizontal="center" vertical="center" wrapText="1"/>
      <protection locked="0"/>
    </xf>
    <xf numFmtId="0" fontId="24" fillId="4" borderId="2" xfId="2" applyFont="1" applyFill="1" applyBorder="1" applyAlignment="1">
      <alignment horizontal="center" vertical="center" wrapText="1"/>
    </xf>
    <xf numFmtId="0" fontId="24" fillId="4" borderId="3" xfId="2" applyFont="1" applyFill="1" applyBorder="1" applyAlignment="1">
      <alignment horizontal="center" vertical="center" wrapText="1"/>
    </xf>
    <xf numFmtId="0" fontId="24" fillId="4" borderId="1" xfId="2" applyFont="1" applyFill="1" applyBorder="1" applyAlignment="1">
      <alignment horizontal="center" vertical="center" wrapText="1"/>
    </xf>
    <xf numFmtId="0" fontId="24" fillId="4" borderId="53" xfId="0" applyFont="1" applyFill="1" applyBorder="1" applyAlignment="1">
      <alignment horizontal="center" vertical="center"/>
    </xf>
    <xf numFmtId="0" fontId="24" fillId="4" borderId="39" xfId="0" applyFont="1" applyFill="1" applyBorder="1" applyAlignment="1">
      <alignment horizontal="center" vertical="center"/>
    </xf>
    <xf numFmtId="0" fontId="24" fillId="4" borderId="54" xfId="0" applyFont="1" applyFill="1" applyBorder="1" applyAlignment="1">
      <alignment horizontal="center" vertical="center"/>
    </xf>
    <xf numFmtId="0" fontId="17" fillId="5" borderId="0" xfId="19" applyFont="1" applyFill="1" applyAlignment="1">
      <alignment horizontal="left" wrapText="1"/>
    </xf>
    <xf numFmtId="0" fontId="16" fillId="5" borderId="0" xfId="19" applyFont="1" applyFill="1" applyAlignment="1">
      <alignment wrapText="1"/>
    </xf>
    <xf numFmtId="0" fontId="16" fillId="5" borderId="0" xfId="19" applyFont="1" applyFill="1" applyAlignment="1">
      <alignment horizontal="left" vertical="top" wrapText="1"/>
    </xf>
    <xf numFmtId="0" fontId="24" fillId="4" borderId="10" xfId="7" applyFont="1" applyFill="1" applyBorder="1" applyAlignment="1">
      <alignment horizontal="center" vertical="center" wrapText="1"/>
    </xf>
    <xf numFmtId="0" fontId="24" fillId="4" borderId="9" xfId="7" applyFont="1" applyFill="1" applyBorder="1" applyAlignment="1">
      <alignment horizontal="center" vertical="center" wrapText="1"/>
    </xf>
    <xf numFmtId="0" fontId="24" fillId="4" borderId="53" xfId="19" applyFont="1" applyFill="1" applyBorder="1" applyAlignment="1">
      <alignment horizontal="center" vertical="center" wrapText="1"/>
    </xf>
    <xf numFmtId="0" fontId="24" fillId="4" borderId="39" xfId="19" applyFont="1" applyFill="1" applyBorder="1" applyAlignment="1">
      <alignment horizontal="center" vertical="center" wrapText="1"/>
    </xf>
    <xf numFmtId="0" fontId="24" fillId="4" borderId="54" xfId="19" applyFont="1" applyFill="1" applyBorder="1" applyAlignment="1">
      <alignment horizontal="center" vertical="center" wrapText="1"/>
    </xf>
    <xf numFmtId="0" fontId="24" fillId="4" borderId="10" xfId="19" applyFont="1" applyFill="1" applyBorder="1" applyAlignment="1">
      <alignment horizontal="center" vertical="center" wrapText="1"/>
    </xf>
    <xf numFmtId="0" fontId="24" fillId="4" borderId="40" xfId="19" applyFont="1" applyFill="1" applyBorder="1" applyAlignment="1">
      <alignment horizontal="center" vertical="center" wrapText="1"/>
    </xf>
    <xf numFmtId="0" fontId="24" fillId="4" borderId="9" xfId="19" applyFont="1" applyFill="1" applyBorder="1" applyAlignment="1">
      <alignment horizontal="center" vertical="center" wrapText="1"/>
    </xf>
    <xf numFmtId="166" fontId="24" fillId="4" borderId="10" xfId="11" applyNumberFormat="1" applyFont="1" applyFill="1" applyBorder="1" applyAlignment="1">
      <alignment horizontal="center" vertical="center" wrapText="1"/>
    </xf>
    <xf numFmtId="166" fontId="24" fillId="4" borderId="9" xfId="11" applyNumberFormat="1" applyFont="1" applyFill="1" applyBorder="1" applyAlignment="1">
      <alignment horizontal="center" vertical="center" wrapText="1"/>
    </xf>
    <xf numFmtId="166" fontId="22" fillId="6" borderId="41" xfId="11" applyNumberFormat="1" applyFont="1" applyFill="1" applyBorder="1" applyAlignment="1">
      <alignment horizontal="center" vertical="center" wrapText="1"/>
    </xf>
    <xf numFmtId="166" fontId="22" fillId="6" borderId="58" xfId="11" applyNumberFormat="1" applyFont="1" applyFill="1" applyBorder="1" applyAlignment="1">
      <alignment horizontal="center" vertical="center" wrapText="1"/>
    </xf>
    <xf numFmtId="1" fontId="21" fillId="0" borderId="10" xfId="7" applyNumberFormat="1" applyFont="1" applyBorder="1" applyAlignment="1">
      <alignment horizontal="left" vertical="distributed" wrapText="1"/>
    </xf>
    <xf numFmtId="1" fontId="21" fillId="0" borderId="57" xfId="7" applyNumberFormat="1" applyFont="1" applyBorder="1" applyAlignment="1">
      <alignment horizontal="left" vertical="distributed" wrapText="1"/>
    </xf>
    <xf numFmtId="1" fontId="21" fillId="0" borderId="48" xfId="7" applyNumberFormat="1" applyFont="1" applyBorder="1" applyAlignment="1">
      <alignment horizontal="left" vertical="distributed" wrapText="1"/>
    </xf>
    <xf numFmtId="0" fontId="24" fillId="4" borderId="10" xfId="19" applyFont="1" applyFill="1" applyBorder="1" applyAlignment="1">
      <alignment horizontal="center" vertical="center"/>
    </xf>
    <xf numFmtId="0" fontId="24" fillId="4" borderId="40" xfId="19" applyFont="1" applyFill="1" applyBorder="1" applyAlignment="1">
      <alignment horizontal="center" vertical="center"/>
    </xf>
    <xf numFmtId="0" fontId="24" fillId="4" borderId="9" xfId="19" applyFont="1" applyFill="1" applyBorder="1" applyAlignment="1">
      <alignment horizontal="center" vertical="center"/>
    </xf>
    <xf numFmtId="0" fontId="24" fillId="4" borderId="39" xfId="19" applyFont="1" applyFill="1" applyBorder="1" applyAlignment="1">
      <alignment horizontal="center" vertical="center"/>
    </xf>
    <xf numFmtId="0" fontId="24" fillId="4" borderId="54" xfId="19" applyFont="1" applyFill="1" applyBorder="1" applyAlignment="1">
      <alignment horizontal="center" vertical="center"/>
    </xf>
    <xf numFmtId="0" fontId="24" fillId="4" borderId="53" xfId="19" applyFont="1" applyFill="1" applyBorder="1" applyAlignment="1">
      <alignment horizontal="center" vertical="center"/>
    </xf>
    <xf numFmtId="0" fontId="24" fillId="4" borderId="4" xfId="19" applyFont="1" applyFill="1" applyBorder="1" applyAlignment="1">
      <alignment horizontal="center" vertical="center"/>
    </xf>
    <xf numFmtId="0" fontId="24" fillId="4" borderId="0" xfId="19" applyFont="1" applyFill="1" applyAlignment="1">
      <alignment horizontal="center" vertical="center"/>
    </xf>
    <xf numFmtId="0" fontId="24" fillId="4" borderId="27" xfId="7" applyFont="1" applyFill="1" applyBorder="1" applyAlignment="1">
      <alignment horizontal="center" vertical="center"/>
    </xf>
    <xf numFmtId="0" fontId="24" fillId="4" borderId="19" xfId="7" applyFont="1" applyFill="1" applyBorder="1" applyAlignment="1">
      <alignment horizontal="center" vertical="center"/>
    </xf>
    <xf numFmtId="0" fontId="24" fillId="4" borderId="23" xfId="7" applyFont="1" applyFill="1" applyBorder="1" applyAlignment="1">
      <alignment horizontal="center" vertical="center"/>
    </xf>
    <xf numFmtId="0" fontId="21" fillId="6" borderId="2" xfId="7" applyFont="1" applyFill="1" applyBorder="1" applyAlignment="1">
      <alignment horizontal="center" vertical="center"/>
    </xf>
    <xf numFmtId="0" fontId="21" fillId="6" borderId="1" xfId="7" applyFont="1" applyFill="1" applyBorder="1" applyAlignment="1">
      <alignment horizontal="center" vertical="center"/>
    </xf>
    <xf numFmtId="0" fontId="21" fillId="6" borderId="3" xfId="7" applyFont="1" applyFill="1" applyBorder="1" applyAlignment="1">
      <alignment horizontal="center" vertical="center"/>
    </xf>
    <xf numFmtId="0" fontId="24" fillId="12" borderId="62" xfId="0" applyFont="1" applyFill="1" applyBorder="1" applyAlignment="1">
      <alignment horizontal="center"/>
    </xf>
    <xf numFmtId="0" fontId="24" fillId="12" borderId="60" xfId="0" applyFont="1" applyFill="1" applyBorder="1" applyAlignment="1">
      <alignment horizontal="center"/>
    </xf>
    <xf numFmtId="0" fontId="24" fillId="12" borderId="27" xfId="0" applyFont="1" applyFill="1" applyBorder="1" applyAlignment="1">
      <alignment horizontal="center"/>
    </xf>
    <xf numFmtId="0" fontId="24" fillId="12" borderId="23" xfId="0" applyFont="1" applyFill="1" applyBorder="1" applyAlignment="1">
      <alignment horizontal="center"/>
    </xf>
    <xf numFmtId="0" fontId="42" fillId="0" borderId="10" xfId="0" applyFont="1" applyBorder="1" applyAlignment="1">
      <alignment horizontal="center" vertical="center"/>
    </xf>
    <xf numFmtId="0" fontId="42" fillId="0" borderId="9" xfId="0" applyFont="1" applyBorder="1" applyAlignment="1">
      <alignment horizontal="center" vertical="center"/>
    </xf>
    <xf numFmtId="0" fontId="42" fillId="0" borderId="40" xfId="0" applyFont="1" applyBorder="1" applyAlignment="1">
      <alignment horizontal="center" vertical="center"/>
    </xf>
    <xf numFmtId="175" fontId="40" fillId="10" borderId="27" xfId="0" applyNumberFormat="1" applyFont="1" applyFill="1" applyBorder="1" applyAlignment="1">
      <alignment horizontal="center"/>
    </xf>
    <xf numFmtId="175" fontId="40" fillId="10" borderId="28" xfId="0" applyNumberFormat="1" applyFont="1" applyFill="1" applyBorder="1" applyAlignment="1">
      <alignment horizontal="center"/>
    </xf>
    <xf numFmtId="0" fontId="0" fillId="0" borderId="19" xfId="0" applyBorder="1" applyAlignment="1">
      <alignment horizontal="center" vertical="center" wrapText="1"/>
    </xf>
    <xf numFmtId="0" fontId="0" fillId="0" borderId="23" xfId="0" applyBorder="1" applyAlignment="1">
      <alignment horizontal="center" vertical="center" wrapText="1"/>
    </xf>
    <xf numFmtId="175" fontId="40" fillId="10" borderId="19" xfId="0" applyNumberFormat="1" applyFont="1" applyFill="1" applyBorder="1" applyAlignment="1">
      <alignment horizontal="center"/>
    </xf>
    <xf numFmtId="175" fontId="40" fillId="10" borderId="23" xfId="0" applyNumberFormat="1" applyFont="1" applyFill="1" applyBorder="1" applyAlignment="1">
      <alignment horizontal="center"/>
    </xf>
    <xf numFmtId="0" fontId="0" fillId="0" borderId="19" xfId="0" applyBorder="1" applyAlignment="1">
      <alignment horizontal="center" wrapText="1"/>
    </xf>
    <xf numFmtId="0" fontId="41" fillId="0" borderId="19" xfId="0" applyFont="1" applyBorder="1" applyAlignment="1">
      <alignment horizontal="center" vertical="center" wrapText="1"/>
    </xf>
    <xf numFmtId="0" fontId="24" fillId="4" borderId="10" xfId="2" applyFont="1" applyFill="1" applyBorder="1" applyAlignment="1">
      <alignment horizontal="center" vertical="center"/>
    </xf>
    <xf numFmtId="0" fontId="24" fillId="4" borderId="9" xfId="2" applyFont="1" applyFill="1" applyBorder="1" applyAlignment="1">
      <alignment horizontal="center" vertical="center"/>
    </xf>
  </cellXfs>
  <cellStyles count="45">
    <cellStyle name="Comma" xfId="1" builtinId="3"/>
    <cellStyle name="Comma 2" xfId="11" xr:uid="{F57C96C2-7367-406B-AB93-91FA4EA4C35E}"/>
    <cellStyle name="Comma 2 2" xfId="22" xr:uid="{3A3E6521-4711-4FDC-9085-CCD1752B4F82}"/>
    <cellStyle name="Comma 2 2 2" xfId="41" xr:uid="{CA72A3C2-F1C7-4687-A937-5B6B51819C02}"/>
    <cellStyle name="Comma 2 3" xfId="39" xr:uid="{25FA1815-FDF0-4086-BDE3-CB6A09ACE0B2}"/>
    <cellStyle name="Comma 3" xfId="23" xr:uid="{19E7F5C7-76D0-4978-8D47-8A3E4C5252AB}"/>
    <cellStyle name="Comma 3 2" xfId="42" xr:uid="{C00DA240-9065-4B24-9D4F-168E7D863990}"/>
    <cellStyle name="Comma 4" xfId="32" xr:uid="{0013A8FB-0927-4877-9D66-3A092C019020}"/>
    <cellStyle name="Comma 4 2" xfId="43" xr:uid="{8DA739EF-D33A-4F0F-B87B-72D948DB1CAC}"/>
    <cellStyle name="Comma 5" xfId="20" xr:uid="{DA5D90AA-8BEC-4446-A0D3-B3D20299260A}"/>
    <cellStyle name="Comma 6" xfId="40" xr:uid="{2788AB09-FB7A-41E8-AF7A-1B4E173CAB2A}"/>
    <cellStyle name="Currency" xfId="4" builtinId="4"/>
    <cellStyle name="Hyperlink" xfId="9" builtinId="8"/>
    <cellStyle name="Hyperlink 2" xfId="10" xr:uid="{8E730038-6F74-437C-9E63-2C524A4B339A}"/>
    <cellStyle name="Hyperlink 2 2" xfId="30" xr:uid="{9DE2A8D7-8F93-4401-AC62-BC5E6A6EC19D}"/>
    <cellStyle name="Hyperlink 3" xfId="18" xr:uid="{D5A118B7-61F0-4B93-922A-594F0FCAF4D2}"/>
    <cellStyle name="Hyperlink 4" xfId="34" xr:uid="{E7E656B8-8181-4AD7-9AB0-F3982F278062}"/>
    <cellStyle name="Normal" xfId="0" builtinId="0"/>
    <cellStyle name="Normal 10" xfId="17" xr:uid="{989C88C1-030C-47CA-A3F8-26EC4C5A5390}"/>
    <cellStyle name="Normal 2" xfId="7" xr:uid="{786996F6-F354-47E5-800B-B45ABB06EB99}"/>
    <cellStyle name="Normal 2 2" xfId="3" xr:uid="{9299DBBF-618B-4504-B689-A88357760D91}"/>
    <cellStyle name="Normal 2 2 2" xfId="14" xr:uid="{9DBFBAD2-79C6-4426-BF4B-69B0A3F44A5E}"/>
    <cellStyle name="Normal 3" xfId="12" xr:uid="{94FEBCA4-9983-4035-84EA-AC3DC29410E6}"/>
    <cellStyle name="Normal 3 2" xfId="31" xr:uid="{568D8FE3-ECD9-4E1E-A7FB-61D03D5FA6E0}"/>
    <cellStyle name="Normal 4" xfId="19" xr:uid="{4DADEA90-71FA-44A4-A14B-9229C6A0CCA2}"/>
    <cellStyle name="Normal 4 5" xfId="15" xr:uid="{17B38587-2D0F-4629-90C0-EF5F8DA43693}"/>
    <cellStyle name="Normal 5" xfId="21" xr:uid="{17D43416-DED1-4C39-A822-1A79BE8E49D0}"/>
    <cellStyle name="Normal 5 2" xfId="24" xr:uid="{9A7E2E99-F879-4108-AC99-35832521614E}"/>
    <cellStyle name="Normal 5 3" xfId="29" xr:uid="{FC14AFC2-2E13-4E34-835F-296A2981332C}"/>
    <cellStyle name="Normal 6" xfId="25" xr:uid="{660B821D-CC44-4B8D-AACF-8F7F12B541D2}"/>
    <cellStyle name="Normal 6 2" xfId="28" xr:uid="{7897B62F-786B-481D-9209-3FFC016962FC}"/>
    <cellStyle name="Normal 7" xfId="33" xr:uid="{EC22A67E-1885-4E86-9B68-B4FF5E3C4EFF}"/>
    <cellStyle name="Normal 8" xfId="35" xr:uid="{4B228BC8-45D8-4E4A-9A91-14A49DF20F96}"/>
    <cellStyle name="Normal 9" xfId="5" xr:uid="{D397FED1-46C0-48AE-9014-4AB5D36CDABF}"/>
    <cellStyle name="Normal_Sheet1" xfId="2" xr:uid="{DAD65D07-923F-477D-A180-F93747F298CB}"/>
    <cellStyle name="Percent" xfId="44" builtinId="5"/>
    <cellStyle name="Percent 2" xfId="8" xr:uid="{D36FB458-7B54-440C-8538-0463CC027A73}"/>
    <cellStyle name="Percent 2 3" xfId="16" xr:uid="{A02EECC1-A6D5-4B11-AE44-58DF24ABEFE1}"/>
    <cellStyle name="Percent 3" xfId="13" xr:uid="{16D0955D-E0C3-45DC-9AED-F1257AE0F7B3}"/>
    <cellStyle name="Percent 4" xfId="36" xr:uid="{51094DF8-C63C-48E0-B17D-0602B1A7F1A1}"/>
    <cellStyle name="Percent 5" xfId="6" xr:uid="{BEAE291A-B463-40DA-A2FB-25C98D02CD98}"/>
    <cellStyle name="Style 1" xfId="26" xr:uid="{00544217-768F-4AEF-A310-271544ABF4E3}"/>
    <cellStyle name="Style 2" xfId="27" xr:uid="{9272A59D-15D6-4D96-9E4D-0E34281C83EB}"/>
    <cellStyle name="Style 3" xfId="37" xr:uid="{23EA5371-3E05-4D07-BF7D-BB22ECA1289B}"/>
    <cellStyle name="Style 4" xfId="38" xr:uid="{D86C6D5A-9500-445C-9B09-A43B5B801145}"/>
  </cellStyles>
  <dxfs count="29">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s>
  <tableStyles count="0" defaultTableStyle="TableStyleMedium2" defaultPivotStyle="PivotStyleLight16"/>
  <colors>
    <mruColors>
      <color rgb="FFF6FAF4"/>
      <color rgb="FF009B74"/>
      <color rgb="FF0067B2"/>
      <color rgb="FFA5A5A5"/>
      <color rgb="FF003973"/>
      <color rgb="FF385723"/>
      <color rgb="FF4472C4"/>
      <color rgb="FF2A39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farm incomes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Dashboard!$D$109</c:f>
              <c:strCache>
                <c:ptCount val="1"/>
                <c:pt idx="0">
                  <c:v>Conventional</c:v>
                </c:pt>
              </c:strCache>
            </c:strRef>
          </c:tx>
          <c:spPr>
            <a:solidFill>
              <a:srgbClr val="0067B2"/>
            </a:solidFill>
            <a:ln>
              <a:noFill/>
            </a:ln>
            <a:effectLst/>
          </c:spPr>
          <c:invertIfNegative val="0"/>
          <c:dLbls>
            <c:dLbl>
              <c:idx val="0"/>
              <c:layout>
                <c:manualLayout>
                  <c:x val="0"/>
                  <c:y val="-0.1581712862889886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9FC-4152-B75C-C8D5A8F09388}"/>
                </c:ext>
              </c:extLst>
            </c:dLbl>
            <c:dLbl>
              <c:idx val="1"/>
              <c:layout>
                <c:manualLayout>
                  <c:x val="0"/>
                  <c:y val="-0.1609935678518556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FC-4152-B75C-C8D5A8F09388}"/>
                </c:ext>
              </c:extLst>
            </c:dLbl>
            <c:dLbl>
              <c:idx val="5"/>
              <c:layout>
                <c:manualLayout>
                  <c:x val="0"/>
                  <c:y val="-6.1783907828695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FC-4152-B75C-C8D5A8F09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Dashboard!$C$110:$C$116</c:f>
              <c:strCache>
                <c:ptCount val="7"/>
                <c:pt idx="0">
                  <c:v>Cereals with grazier</c:v>
                </c:pt>
                <c:pt idx="1">
                  <c:v>Cereals with integrated livestock</c:v>
                </c:pt>
                <c:pt idx="2">
                  <c:v>Horticulture</c:v>
                </c:pt>
                <c:pt idx="3">
                  <c:v>Dairy</c:v>
                </c:pt>
                <c:pt idx="4">
                  <c:v>Lowland grazing</c:v>
                </c:pt>
                <c:pt idx="5">
                  <c:v>LFA grazing </c:v>
                </c:pt>
                <c:pt idx="6">
                  <c:v>Mixed</c:v>
                </c:pt>
              </c:strCache>
            </c:strRef>
          </c:cat>
          <c:val>
            <c:numRef>
              <c:f>Dashboard!$D$110:$D$116</c:f>
              <c:numCache>
                <c:formatCode>"£"#,##0</c:formatCode>
                <c:ptCount val="7"/>
                <c:pt idx="0">
                  <c:v>-17629.507599242395</c:v>
                </c:pt>
                <c:pt idx="1">
                  <c:v>-17629.507599242395</c:v>
                </c:pt>
                <c:pt idx="2">
                  <c:v>2515.6991594971951</c:v>
                </c:pt>
                <c:pt idx="3">
                  <c:v>35409.344178782427</c:v>
                </c:pt>
                <c:pt idx="4">
                  <c:v>-39217.308749663585</c:v>
                </c:pt>
                <c:pt idx="5">
                  <c:v>-6993.7256755245908</c:v>
                </c:pt>
                <c:pt idx="6">
                  <c:v>-880.06644645065535</c:v>
                </c:pt>
              </c:numCache>
            </c:numRef>
          </c:val>
          <c:extLst>
            <c:ext xmlns:c16="http://schemas.microsoft.com/office/drawing/2014/chart" uri="{C3380CC4-5D6E-409C-BE32-E72D297353CC}">
              <c16:uniqueId val="{00000000-C9FC-4152-B75C-C8D5A8F09388}"/>
            </c:ext>
          </c:extLst>
        </c:ser>
        <c:ser>
          <c:idx val="1"/>
          <c:order val="1"/>
          <c:tx>
            <c:strRef>
              <c:f>Dashboard!$E$109</c:f>
              <c:strCache>
                <c:ptCount val="1"/>
                <c:pt idx="0">
                  <c:v>Agroecological</c:v>
                </c:pt>
              </c:strCache>
            </c:strRef>
          </c:tx>
          <c:spPr>
            <a:solidFill>
              <a:srgbClr val="009B74"/>
            </a:solidFill>
            <a:ln>
              <a:noFill/>
            </a:ln>
            <a:effectLst/>
          </c:spPr>
          <c:invertIfNegative val="0"/>
          <c:dLbls>
            <c:dLbl>
              <c:idx val="4"/>
              <c:layout>
                <c:manualLayout>
                  <c:x val="7.6516751908146507E-17"/>
                  <c:y val="-8.23785437715936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FC-4152-B75C-C8D5A8F09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Dashboard!$C$110:$C$116</c:f>
              <c:strCache>
                <c:ptCount val="7"/>
                <c:pt idx="0">
                  <c:v>Cereals with grazier</c:v>
                </c:pt>
                <c:pt idx="1">
                  <c:v>Cereals with integrated livestock</c:v>
                </c:pt>
                <c:pt idx="2">
                  <c:v>Horticulture</c:v>
                </c:pt>
                <c:pt idx="3">
                  <c:v>Dairy</c:v>
                </c:pt>
                <c:pt idx="4">
                  <c:v>Lowland grazing</c:v>
                </c:pt>
                <c:pt idx="5">
                  <c:v>LFA grazing </c:v>
                </c:pt>
                <c:pt idx="6">
                  <c:v>Mixed</c:v>
                </c:pt>
              </c:strCache>
            </c:strRef>
          </c:cat>
          <c:val>
            <c:numRef>
              <c:f>Dashboard!$E$110:$E$116</c:f>
              <c:numCache>
                <c:formatCode>"£"#,##0</c:formatCode>
                <c:ptCount val="7"/>
                <c:pt idx="0">
                  <c:v>-24627.788098732199</c:v>
                </c:pt>
                <c:pt idx="1">
                  <c:v>-22232.482632401734</c:v>
                </c:pt>
                <c:pt idx="2">
                  <c:v>-2137.367199999997</c:v>
                </c:pt>
                <c:pt idx="3">
                  <c:v>-22851.179608025181</c:v>
                </c:pt>
                <c:pt idx="4">
                  <c:v>-22084.528107131548</c:v>
                </c:pt>
                <c:pt idx="5">
                  <c:v>-3235.85745398992</c:v>
                </c:pt>
                <c:pt idx="6">
                  <c:v>-29934.450033514906</c:v>
                </c:pt>
              </c:numCache>
            </c:numRef>
          </c:val>
          <c:extLst>
            <c:ext xmlns:c16="http://schemas.microsoft.com/office/drawing/2014/chart" uri="{C3380CC4-5D6E-409C-BE32-E72D297353CC}">
              <c16:uniqueId val="{00000001-C9FC-4152-B75C-C8D5A8F09388}"/>
            </c:ext>
          </c:extLst>
        </c:ser>
        <c:dLbls>
          <c:dLblPos val="outEnd"/>
          <c:showLegendKey val="0"/>
          <c:showVal val="1"/>
          <c:showCatName val="0"/>
          <c:showSerName val="0"/>
          <c:showPercent val="0"/>
          <c:showBubbleSize val="0"/>
        </c:dLbls>
        <c:gapWidth val="219"/>
        <c:overlap val="-27"/>
        <c:axId val="994136752"/>
        <c:axId val="994137584"/>
      </c:barChart>
      <c:catAx>
        <c:axId val="994136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137584"/>
        <c:crosses val="autoZero"/>
        <c:auto val="1"/>
        <c:lblAlgn val="ctr"/>
        <c:lblOffset val="100"/>
        <c:noMultiLvlLbl val="0"/>
      </c:catAx>
      <c:valAx>
        <c:axId val="9941375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13675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t>Horticulture</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barChart>
        <c:barDir val="col"/>
        <c:grouping val="clustered"/>
        <c:varyColors val="0"/>
        <c:ser>
          <c:idx val="0"/>
          <c:order val="0"/>
          <c:tx>
            <c:strRef>
              <c:f>'Results - horticulture'!$P$2:$P$3</c:f>
              <c:strCache>
                <c:ptCount val="2"/>
                <c:pt idx="0">
                  <c:v>Horticulture - whole farm performance</c:v>
                </c:pt>
                <c:pt idx="1">
                  <c:v>Conventional</c:v>
                </c:pt>
              </c:strCache>
            </c:strRef>
          </c:tx>
          <c:spPr>
            <a:solidFill>
              <a:srgbClr val="0067B2"/>
            </a:solidFill>
            <a:ln>
              <a:noFill/>
            </a:ln>
            <a:effectLst/>
          </c:spPr>
          <c:invertIfNegative val="0"/>
          <c:dLbls>
            <c:dLbl>
              <c:idx val="0"/>
              <c:layout>
                <c:manualLayout>
                  <c:x val="-2.7359311817487307E-17"/>
                  <c:y val="-0.1121725972060762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7F-4447-9E4E-697D7FAC8EBD}"/>
                </c:ext>
              </c:extLst>
            </c:dLbl>
            <c:dLbl>
              <c:idx val="1"/>
              <c:layout>
                <c:manualLayout>
                  <c:x val="-5.4718623634974613E-17"/>
                  <c:y val="-0.1781564779155328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7F-4447-9E4E-697D7FAC8EBD}"/>
                </c:ext>
              </c:extLst>
            </c:dLbl>
            <c:dLbl>
              <c:idx val="2"/>
              <c:layout>
                <c:manualLayout>
                  <c:x val="0"/>
                  <c:y val="-1.97951642128370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7F-4447-9E4E-697D7FAC8E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horticulture'!$O$5:$O$8</c:f>
              <c:strCache>
                <c:ptCount val="4"/>
                <c:pt idx="0">
                  <c:v>Gross farm output</c:v>
                </c:pt>
                <c:pt idx="1">
                  <c:v>Gross farm variable costs</c:v>
                </c:pt>
                <c:pt idx="2">
                  <c:v>Fixed costs</c:v>
                </c:pt>
                <c:pt idx="3">
                  <c:v>Net farm income</c:v>
                </c:pt>
              </c:strCache>
            </c:strRef>
          </c:cat>
          <c:val>
            <c:numRef>
              <c:f>'Results - horticulture'!$P$5:$P$8</c:f>
              <c:numCache>
                <c:formatCode>_-"£"* #,##0_-;\-"£"* #,##0_-;_-"£"* "-"??_-;_-@_-</c:formatCode>
                <c:ptCount val="4"/>
                <c:pt idx="0">
                  <c:v>48451.782170199105</c:v>
                </c:pt>
                <c:pt idx="1">
                  <c:v>27788.08301070191</c:v>
                </c:pt>
                <c:pt idx="2">
                  <c:v>18148</c:v>
                </c:pt>
                <c:pt idx="3">
                  <c:v>2515.6991594971951</c:v>
                </c:pt>
              </c:numCache>
            </c:numRef>
          </c:val>
          <c:extLst>
            <c:ext xmlns:c16="http://schemas.microsoft.com/office/drawing/2014/chart" uri="{C3380CC4-5D6E-409C-BE32-E72D297353CC}">
              <c16:uniqueId val="{00000000-0FDE-46FC-9C56-9BF8182C8213}"/>
            </c:ext>
          </c:extLst>
        </c:ser>
        <c:ser>
          <c:idx val="1"/>
          <c:order val="1"/>
          <c:tx>
            <c:strRef>
              <c:f>'Results - horticulture'!$Q$2:$Q$3</c:f>
              <c:strCache>
                <c:ptCount val="2"/>
                <c:pt idx="0">
                  <c:v>Horticulture - whole farm performance</c:v>
                </c:pt>
                <c:pt idx="1">
                  <c:v>Agroecological</c:v>
                </c:pt>
              </c:strCache>
            </c:strRef>
          </c:tx>
          <c:spPr>
            <a:solidFill>
              <a:srgbClr val="009B74"/>
            </a:solidFill>
            <a:ln>
              <a:noFill/>
            </a:ln>
            <a:effectLst/>
          </c:spPr>
          <c:invertIfNegative val="0"/>
          <c:dLbls>
            <c:dLbl>
              <c:idx val="0"/>
              <c:layout>
                <c:manualLayout>
                  <c:x val="0"/>
                  <c:y val="-6.59838807094566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F-4447-9E4E-697D7FAC8EBD}"/>
                </c:ext>
              </c:extLst>
            </c:dLbl>
            <c:dLbl>
              <c:idx val="1"/>
              <c:layout>
                <c:manualLayout>
                  <c:x val="0"/>
                  <c:y val="-5.608629860303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7F-4447-9E4E-697D7FAC8EBD}"/>
                </c:ext>
              </c:extLst>
            </c:dLbl>
            <c:dLbl>
              <c:idx val="2"/>
              <c:layout>
                <c:manualLayout>
                  <c:x val="0"/>
                  <c:y val="-4.28895224611467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7F-4447-9E4E-697D7FAC8EBD}"/>
                </c:ext>
              </c:extLst>
            </c:dLbl>
            <c:dLbl>
              <c:idx val="3"/>
              <c:layout>
                <c:manualLayout>
                  <c:x val="-1.0943724726994923E-16"/>
                  <c:y val="-1.97951642128369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7F-4447-9E4E-697D7FAC8E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horticulture'!$O$5:$O$8</c:f>
              <c:strCache>
                <c:ptCount val="4"/>
                <c:pt idx="0">
                  <c:v>Gross farm output</c:v>
                </c:pt>
                <c:pt idx="1">
                  <c:v>Gross farm variable costs</c:v>
                </c:pt>
                <c:pt idx="2">
                  <c:v>Fixed costs</c:v>
                </c:pt>
                <c:pt idx="3">
                  <c:v>Net farm income</c:v>
                </c:pt>
              </c:strCache>
            </c:strRef>
          </c:cat>
          <c:val>
            <c:numRef>
              <c:f>'Results - horticulture'!$Q$5:$Q$8</c:f>
              <c:numCache>
                <c:formatCode>_-"£"* #,##0_-;\-"£"* #,##0_-;_-"£"* "-"??_-;_-@_-</c:formatCode>
                <c:ptCount val="4"/>
                <c:pt idx="0">
                  <c:v>62530.731299999999</c:v>
                </c:pt>
                <c:pt idx="1">
                  <c:v>48334.898499999996</c:v>
                </c:pt>
                <c:pt idx="2">
                  <c:v>16333.2</c:v>
                </c:pt>
                <c:pt idx="3">
                  <c:v>-2137.367199999997</c:v>
                </c:pt>
              </c:numCache>
            </c:numRef>
          </c:val>
          <c:extLst>
            <c:ext xmlns:c16="http://schemas.microsoft.com/office/drawing/2014/chart" uri="{C3380CC4-5D6E-409C-BE32-E72D297353CC}">
              <c16:uniqueId val="{00000001-0FDE-46FC-9C56-9BF8182C8213}"/>
            </c:ext>
          </c:extLst>
        </c:ser>
        <c:dLbls>
          <c:dLblPos val="outEnd"/>
          <c:showLegendKey val="0"/>
          <c:showVal val="1"/>
          <c:showCatName val="0"/>
          <c:showSerName val="0"/>
          <c:showPercent val="0"/>
          <c:showBubbleSize val="0"/>
        </c:dLbls>
        <c:gapWidth val="219"/>
        <c:overlap val="-27"/>
        <c:axId val="671048784"/>
        <c:axId val="671065008"/>
      </c:barChart>
      <c:catAx>
        <c:axId val="67104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671065008"/>
        <c:crosses val="autoZero"/>
        <c:auto val="1"/>
        <c:lblAlgn val="ctr"/>
        <c:lblOffset val="100"/>
        <c:noMultiLvlLbl val="0"/>
      </c:catAx>
      <c:valAx>
        <c:axId val="671065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671048784"/>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a:t>
            </a:r>
            <a:r>
              <a:rPr lang="en-GB" baseline="0">
                <a:solidFill>
                  <a:sysClr val="windowText" lastClr="000000"/>
                </a:solidFill>
              </a:rPr>
              <a:t> farm output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horticulture'!$P$3</c:f>
              <c:strCache>
                <c:ptCount val="1"/>
                <c:pt idx="0">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horticulture'!$O$13</c:f>
              <c:strCache>
                <c:ptCount val="1"/>
                <c:pt idx="0">
                  <c:v>Gross farm output / ha</c:v>
                </c:pt>
              </c:strCache>
            </c:strRef>
          </c:cat>
          <c:val>
            <c:numRef>
              <c:f>'Results - horticulture'!$P$13</c:f>
              <c:numCache>
                <c:formatCode>_-"£"* #,##0_-;\-"£"* #,##0_-;_-"£"* "-"??_-;_-@_-</c:formatCode>
                <c:ptCount val="1"/>
                <c:pt idx="0">
                  <c:v>1863.5300834691964</c:v>
                </c:pt>
              </c:numCache>
            </c:numRef>
          </c:val>
          <c:extLst>
            <c:ext xmlns:c16="http://schemas.microsoft.com/office/drawing/2014/chart" uri="{C3380CC4-5D6E-409C-BE32-E72D297353CC}">
              <c16:uniqueId val="{00000000-21AF-42A6-A6CC-5CFFAA84A0C6}"/>
            </c:ext>
          </c:extLst>
        </c:ser>
        <c:ser>
          <c:idx val="1"/>
          <c:order val="1"/>
          <c:tx>
            <c:strRef>
              <c:f>'Results - horticulture'!$Q$3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horticulture'!$O$13</c:f>
              <c:strCache>
                <c:ptCount val="1"/>
                <c:pt idx="0">
                  <c:v>Gross farm output / ha</c:v>
                </c:pt>
              </c:strCache>
            </c:strRef>
          </c:cat>
          <c:val>
            <c:numRef>
              <c:f>'Results - horticulture'!$Q$13</c:f>
              <c:numCache>
                <c:formatCode>_-"£"* #,##0_-;\-"£"* #,##0_-;_-"£"* "-"??_-;_-@_-</c:formatCode>
                <c:ptCount val="1"/>
                <c:pt idx="0">
                  <c:v>2405.0281269230768</c:v>
                </c:pt>
              </c:numCache>
            </c:numRef>
          </c:val>
          <c:extLst>
            <c:ext xmlns:c16="http://schemas.microsoft.com/office/drawing/2014/chart" uri="{C3380CC4-5D6E-409C-BE32-E72D297353CC}">
              <c16:uniqueId val="{00000003-21AF-42A6-A6CC-5CFFAA84A0C6}"/>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variable</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horticulture'!$P$3</c:f>
              <c:strCache>
                <c:ptCount val="1"/>
                <c:pt idx="0">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horticulture'!$O$14</c:f>
              <c:strCache>
                <c:ptCount val="1"/>
                <c:pt idx="0">
                  <c:v>Gross farm variable costs / ha</c:v>
                </c:pt>
              </c:strCache>
            </c:strRef>
          </c:cat>
          <c:val>
            <c:numRef>
              <c:f>'Results - horticulture'!$P$14</c:f>
              <c:numCache>
                <c:formatCode>_-"£"* #,##0_-;\-"£"* #,##0_-;_-"£"* "-"??_-;_-@_-</c:formatCode>
                <c:ptCount val="1"/>
                <c:pt idx="0">
                  <c:v>1068.772423488535</c:v>
                </c:pt>
              </c:numCache>
            </c:numRef>
          </c:val>
          <c:extLst>
            <c:ext xmlns:c16="http://schemas.microsoft.com/office/drawing/2014/chart" uri="{C3380CC4-5D6E-409C-BE32-E72D297353CC}">
              <c16:uniqueId val="{00000002-140A-458D-9EC2-ED00E752AB31}"/>
            </c:ext>
          </c:extLst>
        </c:ser>
        <c:ser>
          <c:idx val="1"/>
          <c:order val="1"/>
          <c:tx>
            <c:strRef>
              <c:f>'Results - horticulture'!$Q$3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horticulture'!$O$14</c:f>
              <c:strCache>
                <c:ptCount val="1"/>
                <c:pt idx="0">
                  <c:v>Gross farm variable costs / ha</c:v>
                </c:pt>
              </c:strCache>
            </c:strRef>
          </c:cat>
          <c:val>
            <c:numRef>
              <c:f>'Results - horticulture'!$Q$14</c:f>
              <c:numCache>
                <c:formatCode>_-"£"* #,##0_-;\-"£"* #,##0_-;_-"£"* "-"??_-;_-@_-</c:formatCode>
                <c:ptCount val="1"/>
                <c:pt idx="0">
                  <c:v>1859.0345576923075</c:v>
                </c:pt>
              </c:numCache>
            </c:numRef>
          </c:val>
          <c:extLst>
            <c:ext xmlns:c16="http://schemas.microsoft.com/office/drawing/2014/chart" uri="{C3380CC4-5D6E-409C-BE32-E72D297353CC}">
              <c16:uniqueId val="{00000003-140A-458D-9EC2-ED00E752AB31}"/>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fixed</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horticulture'!$P$3</c:f>
              <c:strCache>
                <c:ptCount val="1"/>
                <c:pt idx="0">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horticulture'!$O$15</c:f>
              <c:strCache>
                <c:ptCount val="1"/>
                <c:pt idx="0">
                  <c:v>Fixed costs / ha</c:v>
                </c:pt>
              </c:strCache>
            </c:strRef>
          </c:cat>
          <c:val>
            <c:numRef>
              <c:f>'Results - horticulture'!$P$15</c:f>
              <c:numCache>
                <c:formatCode>_-"£"* #,##0_-;\-"£"* #,##0_-;_-"£"* "-"??_-;_-@_-</c:formatCode>
                <c:ptCount val="1"/>
                <c:pt idx="0">
                  <c:v>698</c:v>
                </c:pt>
              </c:numCache>
            </c:numRef>
          </c:val>
          <c:extLst>
            <c:ext xmlns:c16="http://schemas.microsoft.com/office/drawing/2014/chart" uri="{C3380CC4-5D6E-409C-BE32-E72D297353CC}">
              <c16:uniqueId val="{00000000-08AB-484C-8284-D9E7F2447FD1}"/>
            </c:ext>
          </c:extLst>
        </c:ser>
        <c:ser>
          <c:idx val="1"/>
          <c:order val="1"/>
          <c:tx>
            <c:strRef>
              <c:f>'Results - horticulture'!$Q$3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horticulture'!$O$15</c:f>
              <c:strCache>
                <c:ptCount val="1"/>
                <c:pt idx="0">
                  <c:v>Fixed costs / ha</c:v>
                </c:pt>
              </c:strCache>
            </c:strRef>
          </c:cat>
          <c:val>
            <c:numRef>
              <c:f>'Results - horticulture'!$Q$15</c:f>
              <c:numCache>
                <c:formatCode>_-"£"* #,##0_-;\-"£"* #,##0_-;_-"£"* "-"??_-;_-@_-</c:formatCode>
                <c:ptCount val="1"/>
                <c:pt idx="0">
                  <c:v>628.20000000000005</c:v>
                </c:pt>
              </c:numCache>
            </c:numRef>
          </c:val>
          <c:extLst>
            <c:ext xmlns:c16="http://schemas.microsoft.com/office/drawing/2014/chart" uri="{C3380CC4-5D6E-409C-BE32-E72D297353CC}">
              <c16:uniqueId val="{00000001-08AB-484C-8284-D9E7F2447FD1}"/>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Net farm</a:t>
            </a:r>
            <a:r>
              <a:rPr lang="en-GB" baseline="0">
                <a:solidFill>
                  <a:sysClr val="windowText" lastClr="000000"/>
                </a:solidFill>
              </a:rPr>
              <a:t> income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horticulture'!$P$3</c:f>
              <c:strCache>
                <c:ptCount val="1"/>
                <c:pt idx="0">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horticulture'!$O$16</c:f>
              <c:strCache>
                <c:ptCount val="1"/>
                <c:pt idx="0">
                  <c:v>Net farm income / ha</c:v>
                </c:pt>
              </c:strCache>
            </c:strRef>
          </c:cat>
          <c:val>
            <c:numRef>
              <c:f>'Results - horticulture'!$P$16</c:f>
              <c:numCache>
                <c:formatCode>_-"£"* #,##0_-;\-"£"* #,##0_-;_-"£"* "-"??_-;_-@_-</c:formatCode>
                <c:ptCount val="1"/>
                <c:pt idx="0">
                  <c:v>96.757659980661344</c:v>
                </c:pt>
              </c:numCache>
            </c:numRef>
          </c:val>
          <c:extLst>
            <c:ext xmlns:c16="http://schemas.microsoft.com/office/drawing/2014/chart" uri="{C3380CC4-5D6E-409C-BE32-E72D297353CC}">
              <c16:uniqueId val="{00000002-CD69-4581-BC4A-68730D8DAEB3}"/>
            </c:ext>
          </c:extLst>
        </c:ser>
        <c:ser>
          <c:idx val="1"/>
          <c:order val="1"/>
          <c:tx>
            <c:strRef>
              <c:f>'Results - horticulture'!$Q$3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horticulture'!$O$16</c:f>
              <c:strCache>
                <c:ptCount val="1"/>
                <c:pt idx="0">
                  <c:v>Net farm income / ha</c:v>
                </c:pt>
              </c:strCache>
            </c:strRef>
          </c:cat>
          <c:val>
            <c:numRef>
              <c:f>'Results - horticulture'!$Q$16</c:f>
              <c:numCache>
                <c:formatCode>_-"£"* #,##0_-;\-"£"* #,##0_-;_-"£"* "-"??_-;_-@_-</c:formatCode>
                <c:ptCount val="1"/>
                <c:pt idx="0">
                  <c:v>-82.20643076923065</c:v>
                </c:pt>
              </c:numCache>
            </c:numRef>
          </c:val>
          <c:extLst>
            <c:ext xmlns:c16="http://schemas.microsoft.com/office/drawing/2014/chart" uri="{C3380CC4-5D6E-409C-BE32-E72D297353CC}">
              <c16:uniqueId val="{00000005-CD69-4581-BC4A-68730D8DAEB3}"/>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Roboto" panose="02000000000000000000" pitchFamily="2" charset="0"/>
                <a:ea typeface="Roboto" panose="02000000000000000000" pitchFamily="2" charset="0"/>
                <a:cs typeface="+mn-cs"/>
              </a:defRPr>
            </a:pPr>
            <a:r>
              <a:rPr lang="en-US">
                <a:latin typeface="Roboto" panose="02000000000000000000" pitchFamily="2" charset="0"/>
                <a:ea typeface="Roboto" panose="02000000000000000000" pitchFamily="2" charset="0"/>
              </a:rPr>
              <a:t>horticulture -</a:t>
            </a:r>
            <a:r>
              <a:rPr lang="en-US" baseline="0">
                <a:latin typeface="Roboto" panose="02000000000000000000" pitchFamily="2" charset="0"/>
                <a:ea typeface="Roboto" panose="02000000000000000000" pitchFamily="2" charset="0"/>
              </a:rPr>
              <a:t> </a:t>
            </a:r>
            <a:r>
              <a:rPr lang="en-US">
                <a:latin typeface="Roboto" panose="02000000000000000000" pitchFamily="2" charset="0"/>
                <a:ea typeface="Roboto" panose="02000000000000000000" pitchFamily="2" charset="0"/>
              </a:rPr>
              <a:t>Crop rotation </a:t>
            </a:r>
          </a:p>
        </c:rich>
      </c:tx>
      <c:layout>
        <c:manualLayout>
          <c:xMode val="edge"/>
          <c:yMode val="edge"/>
          <c:x val="0.13915138888888889"/>
          <c:y val="5.690079365079365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horticulture'!$P$19:$P$20</c:f>
              <c:strCache>
                <c:ptCount val="2"/>
                <c:pt idx="0">
                  <c:v>Horticulture - crop rotation</c:v>
                </c:pt>
                <c:pt idx="1">
                  <c:v>Area</c:v>
                </c:pt>
              </c:strCache>
            </c:strRef>
          </c:tx>
          <c:dPt>
            <c:idx val="0"/>
            <c:bubble3D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24C-4A17-B967-AC6FF28D6668}"/>
              </c:ext>
            </c:extLst>
          </c:dPt>
          <c:dPt>
            <c:idx val="1"/>
            <c:bubble3D val="0"/>
            <c:spPr>
              <a:solidFill>
                <a:schemeClr val="accent5">
                  <a:lumMod val="40000"/>
                  <a:lumOff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24C-4A17-B967-AC6FF28D6668}"/>
              </c:ext>
            </c:extLst>
          </c:dPt>
          <c:dPt>
            <c:idx val="2"/>
            <c:bubble3D val="0"/>
            <c:spPr>
              <a:solidFill>
                <a:srgbClr val="00397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24C-4A17-B967-AC6FF28D6668}"/>
              </c:ext>
            </c:extLst>
          </c:dPt>
          <c:dPt>
            <c:idx val="3"/>
            <c:bubble3D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24C-4A17-B967-AC6FF28D6668}"/>
              </c:ext>
            </c:extLst>
          </c:dPt>
          <c:dPt>
            <c:idx val="4"/>
            <c:bubble3D val="0"/>
            <c:spPr>
              <a:solidFill>
                <a:srgbClr val="F6FAF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24C-4A17-B967-AC6FF28D6668}"/>
              </c:ext>
            </c:extLst>
          </c:dPt>
          <c:dPt>
            <c:idx val="5"/>
            <c:bubble3D val="0"/>
            <c:spPr>
              <a:solidFill>
                <a:srgbClr val="A5A5A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24C-4A17-B967-AC6FF28D666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C24C-4A17-B967-AC6FF28D666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24C-4A17-B967-AC6FF28D666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C24C-4A17-B967-AC6FF28D666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C24C-4A17-B967-AC6FF28D666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C24C-4A17-B967-AC6FF28D666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C24C-4A17-B967-AC6FF28D666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horticulture'!$O$21:$O$26</c:f>
              <c:strCache>
                <c:ptCount val="6"/>
                <c:pt idx="0">
                  <c:v> 10.5 ha grazed mixed legume and grass herbal ley </c:v>
                </c:pt>
                <c:pt idx="1">
                  <c:v> 3.5 ha potatoes or brassicas </c:v>
                </c:pt>
                <c:pt idx="2">
                  <c:v> 3.5 ha carrots, leeks, or onions </c:v>
                </c:pt>
                <c:pt idx="3">
                  <c:v> 3.5 ha intercropped legumes </c:v>
                </c:pt>
                <c:pt idx="4">
                  <c:v> 3.5 ha lower nitrogen dependent cereal such as rye or barley  </c:v>
                </c:pt>
                <c:pt idx="5">
                  <c:v> 3 ha flower margins and hedgerows </c:v>
                </c:pt>
              </c:strCache>
            </c:strRef>
          </c:cat>
          <c:val>
            <c:numRef>
              <c:f>'Results - horticulture'!$P$21:$P$26</c:f>
              <c:numCache>
                <c:formatCode>0.0</c:formatCode>
                <c:ptCount val="6"/>
                <c:pt idx="0">
                  <c:v>10.5</c:v>
                </c:pt>
                <c:pt idx="1">
                  <c:v>3.5</c:v>
                </c:pt>
                <c:pt idx="2">
                  <c:v>3.5</c:v>
                </c:pt>
                <c:pt idx="3">
                  <c:v>3.5</c:v>
                </c:pt>
                <c:pt idx="4">
                  <c:v>3.5</c:v>
                </c:pt>
                <c:pt idx="5">
                  <c:v>3</c:v>
                </c:pt>
              </c:numCache>
            </c:numRef>
          </c:val>
          <c:extLst>
            <c:ext xmlns:c16="http://schemas.microsoft.com/office/drawing/2014/chart" uri="{C3380CC4-5D6E-409C-BE32-E72D297353CC}">
              <c16:uniqueId val="{0000000C-C24C-4A17-B967-AC6FF28D666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t>Lowland</a:t>
            </a:r>
            <a:r>
              <a:rPr lang="en-GB" baseline="0"/>
              <a:t> dairy</a:t>
            </a:r>
            <a:endParaRPr lang="en-GB"/>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barChart>
        <c:barDir val="col"/>
        <c:grouping val="clustered"/>
        <c:varyColors val="0"/>
        <c:ser>
          <c:idx val="0"/>
          <c:order val="0"/>
          <c:tx>
            <c:strRef>
              <c:f>'Results - lowland dairy'!$P$3</c:f>
              <c:strCache>
                <c:ptCount val="1"/>
                <c:pt idx="0">
                  <c:v>Conventional</c:v>
                </c:pt>
              </c:strCache>
            </c:strRef>
          </c:tx>
          <c:spPr>
            <a:solidFill>
              <a:srgbClr val="0067B2"/>
            </a:solidFill>
            <a:ln>
              <a:noFill/>
            </a:ln>
            <a:effectLst/>
          </c:spPr>
          <c:invertIfNegative val="0"/>
          <c:dLbls>
            <c:dLbl>
              <c:idx val="0"/>
              <c:layout>
                <c:manualLayout>
                  <c:x val="0"/>
                  <c:y val="-4.89715964740450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E6-4343-9587-DE0977A1C201}"/>
                </c:ext>
              </c:extLst>
            </c:dLbl>
            <c:dLbl>
              <c:idx val="1"/>
              <c:layout>
                <c:manualLayout>
                  <c:x val="-4.8257756113579335E-17"/>
                  <c:y val="-5.22363695723147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E6-4343-9587-DE0977A1C201}"/>
                </c:ext>
              </c:extLst>
            </c:dLbl>
            <c:dLbl>
              <c:idx val="2"/>
              <c:layout>
                <c:manualLayout>
                  <c:x val="0"/>
                  <c:y val="-6.52954619653934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E6-4343-9587-DE0977A1C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dairy'!$O$5:$O$8</c:f>
              <c:strCache>
                <c:ptCount val="4"/>
                <c:pt idx="0">
                  <c:v>Gross farm output</c:v>
                </c:pt>
                <c:pt idx="1">
                  <c:v>Gross farm variable costs</c:v>
                </c:pt>
                <c:pt idx="2">
                  <c:v>Fixed costs</c:v>
                </c:pt>
                <c:pt idx="3">
                  <c:v>Net farm income</c:v>
                </c:pt>
              </c:strCache>
            </c:strRef>
          </c:cat>
          <c:val>
            <c:numRef>
              <c:f>'Results - lowland dairy'!$P$5:$P$8</c:f>
              <c:numCache>
                <c:formatCode>_-"£"* #,##0_-;\-"£"* #,##0_-;_-"£"* "-"??_-;_-@_-</c:formatCode>
                <c:ptCount val="4"/>
                <c:pt idx="0">
                  <c:v>599011.20490706828</c:v>
                </c:pt>
                <c:pt idx="1">
                  <c:v>289446.86072828586</c:v>
                </c:pt>
                <c:pt idx="2">
                  <c:v>274155</c:v>
                </c:pt>
                <c:pt idx="3">
                  <c:v>35409.344178782427</c:v>
                </c:pt>
              </c:numCache>
            </c:numRef>
          </c:val>
          <c:extLst>
            <c:ext xmlns:c16="http://schemas.microsoft.com/office/drawing/2014/chart" uri="{C3380CC4-5D6E-409C-BE32-E72D297353CC}">
              <c16:uniqueId val="{00000000-02F7-41B5-9B75-C9F94BE5BF0B}"/>
            </c:ext>
          </c:extLst>
        </c:ser>
        <c:ser>
          <c:idx val="1"/>
          <c:order val="1"/>
          <c:tx>
            <c:strRef>
              <c:f>'Results - lowland dairy'!$Q$3</c:f>
              <c:strCache>
                <c:ptCount val="1"/>
                <c:pt idx="0">
                  <c:v>Agroecological</c:v>
                </c:pt>
              </c:strCache>
            </c:strRef>
          </c:tx>
          <c:spPr>
            <a:solidFill>
              <a:srgbClr val="009B74"/>
            </a:solidFill>
            <a:ln>
              <a:noFill/>
            </a:ln>
            <a:effectLst/>
          </c:spPr>
          <c:invertIfNegative val="0"/>
          <c:dLbls>
            <c:dLbl>
              <c:idx val="0"/>
              <c:layout>
                <c:manualLayout>
                  <c:x val="0"/>
                  <c:y val="-0.2644466209598432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E6-4343-9587-DE0977A1C201}"/>
                </c:ext>
              </c:extLst>
            </c:dLbl>
            <c:dLbl>
              <c:idx val="1"/>
              <c:layout>
                <c:manualLayout>
                  <c:x val="0"/>
                  <c:y val="-0.2056807051909892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E6-4343-9587-DE0977A1C201}"/>
                </c:ext>
              </c:extLst>
            </c:dLbl>
            <c:dLbl>
              <c:idx val="2"/>
              <c:layout>
                <c:manualLayout>
                  <c:x val="-8.2992854447934761E-17"/>
                  <c:y val="-6.20306888671237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E6-4343-9587-DE0977A1C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dairy'!$O$5:$O$8</c:f>
              <c:strCache>
                <c:ptCount val="4"/>
                <c:pt idx="0">
                  <c:v>Gross farm output</c:v>
                </c:pt>
                <c:pt idx="1">
                  <c:v>Gross farm variable costs</c:v>
                </c:pt>
                <c:pt idx="2">
                  <c:v>Fixed costs</c:v>
                </c:pt>
                <c:pt idx="3">
                  <c:v>Net farm income</c:v>
                </c:pt>
              </c:strCache>
            </c:strRef>
          </c:cat>
          <c:val>
            <c:numRef>
              <c:f>'Results - lowland dairy'!$Q$5:$Q$8</c:f>
              <c:numCache>
                <c:formatCode>_-"£"* #,##0_-;\-"£"* #,##0_-;_-"£"* "-"??_-;_-@_-</c:formatCode>
                <c:ptCount val="4"/>
                <c:pt idx="0">
                  <c:v>264738.53288623411</c:v>
                </c:pt>
                <c:pt idx="1">
                  <c:v>77016.642181759278</c:v>
                </c:pt>
                <c:pt idx="2">
                  <c:v>210573.0703125</c:v>
                </c:pt>
                <c:pt idx="3">
                  <c:v>-22851.179608025181</c:v>
                </c:pt>
              </c:numCache>
            </c:numRef>
          </c:val>
          <c:extLst>
            <c:ext xmlns:c16="http://schemas.microsoft.com/office/drawing/2014/chart" uri="{C3380CC4-5D6E-409C-BE32-E72D297353CC}">
              <c16:uniqueId val="{00000001-02F7-41B5-9B75-C9F94BE5BF0B}"/>
            </c:ext>
          </c:extLst>
        </c:ser>
        <c:dLbls>
          <c:dLblPos val="outEnd"/>
          <c:showLegendKey val="0"/>
          <c:showVal val="1"/>
          <c:showCatName val="0"/>
          <c:showSerName val="0"/>
          <c:showPercent val="0"/>
          <c:showBubbleSize val="0"/>
        </c:dLbls>
        <c:gapWidth val="219"/>
        <c:overlap val="-27"/>
        <c:axId val="2086206752"/>
        <c:axId val="2086196768"/>
      </c:barChart>
      <c:catAx>
        <c:axId val="2086206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6196768"/>
        <c:crosses val="autoZero"/>
        <c:auto val="1"/>
        <c:lblAlgn val="ctr"/>
        <c:lblOffset val="100"/>
        <c:noMultiLvlLbl val="0"/>
      </c:catAx>
      <c:valAx>
        <c:axId val="20861967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6206752"/>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cat>
            <c:strRef>
              <c:f>'Results - lowland dairy'!$O$3:$Q$3</c:f>
              <c:strCache>
                <c:ptCount val="3"/>
                <c:pt idx="0">
                  <c:v>Performance variable</c:v>
                </c:pt>
                <c:pt idx="1">
                  <c:v>Conventional</c:v>
                </c:pt>
                <c:pt idx="2">
                  <c:v>Agroecological</c:v>
                </c:pt>
              </c:strCache>
            </c:strRef>
          </c:cat>
          <c:val>
            <c:numRef>
              <c:f>'Results - lowland dairy'!$O$8:$Q$8</c:f>
              <c:numCache>
                <c:formatCode>_-"£"* #,##0_-;\-"£"* #,##0_-;_-"£"* "-"??_-;_-@_-</c:formatCode>
                <c:ptCount val="3"/>
                <c:pt idx="0" formatCode="General">
                  <c:v>0</c:v>
                </c:pt>
                <c:pt idx="1">
                  <c:v>35409.344178782427</c:v>
                </c:pt>
                <c:pt idx="2">
                  <c:v>-22851.179608025181</c:v>
                </c:pt>
              </c:numCache>
            </c:numRef>
          </c:val>
          <c:extLst>
            <c:ext xmlns:c15="http://schemas.microsoft.com/office/drawing/2012/chart" uri="{02D57815-91ED-43cb-92C2-25804820EDAC}">
              <c15:filteredSeriesTitle>
                <c15:tx>
                  <c:strRef>
                    <c:extLst>
                      <c:ext uri="{02D57815-91ED-43cb-92C2-25804820EDAC}">
                        <c15:formulaRef>
                          <c15:sqref>'Results - lowland dairy'!#REF!</c15:sqref>
                        </c15:formulaRef>
                      </c:ext>
                    </c:extLst>
                    <c:strCache>
                      <c:ptCount val="1"/>
                      <c:pt idx="0">
                        <c:v>#REF!</c:v>
                      </c:pt>
                    </c:strCache>
                  </c:strRef>
                </c15:tx>
              </c15:filteredSeriesTitle>
            </c:ext>
            <c:ext xmlns:c16="http://schemas.microsoft.com/office/drawing/2014/chart" uri="{C3380CC4-5D6E-409C-BE32-E72D297353CC}">
              <c16:uniqueId val="{00000000-F76F-4558-AD6A-19243F17778A}"/>
            </c:ext>
          </c:extLst>
        </c:ser>
        <c:dLbls>
          <c:showLegendKey val="0"/>
          <c:showVal val="0"/>
          <c:showCatName val="0"/>
          <c:showSerName val="0"/>
          <c:showPercent val="0"/>
          <c:showBubbleSize val="0"/>
        </c:dLbls>
        <c:gapWidth val="219"/>
        <c:overlap val="-27"/>
        <c:axId val="569268976"/>
        <c:axId val="569267312"/>
      </c:barChart>
      <c:catAx>
        <c:axId val="56926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267312"/>
        <c:crosses val="autoZero"/>
        <c:auto val="1"/>
        <c:lblAlgn val="ctr"/>
        <c:lblOffset val="100"/>
        <c:noMultiLvlLbl val="0"/>
      </c:catAx>
      <c:valAx>
        <c:axId val="569267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26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a:t>
            </a:r>
            <a:r>
              <a:rPr lang="en-GB" baseline="0">
                <a:solidFill>
                  <a:sysClr val="windowText" lastClr="000000"/>
                </a:solidFill>
              </a:rPr>
              <a:t> farm output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dairy'!$P$3</c:f>
              <c:strCache>
                <c:ptCount val="1"/>
                <c:pt idx="0">
                  <c:v>Conventional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dairy'!$O$13</c:f>
              <c:strCache>
                <c:ptCount val="1"/>
                <c:pt idx="0">
                  <c:v> Gross farm output </c:v>
                </c:pt>
              </c:strCache>
            </c:strRef>
          </c:cat>
          <c:val>
            <c:numRef>
              <c:f>'Results - lowland dairy'!$P$13</c:f>
              <c:numCache>
                <c:formatCode>_-"£"* #,##0_-;\-"£"* #,##0_-;_-"£"* "-"??_-;_-@_-</c:formatCode>
                <c:ptCount val="1"/>
                <c:pt idx="0">
                  <c:v>4074.9061558303965</c:v>
                </c:pt>
              </c:numCache>
            </c:numRef>
          </c:val>
          <c:extLst>
            <c:ext xmlns:c16="http://schemas.microsoft.com/office/drawing/2014/chart" uri="{C3380CC4-5D6E-409C-BE32-E72D297353CC}">
              <c16:uniqueId val="{00000000-1AAF-4133-93B2-7CDB0F7F771D}"/>
            </c:ext>
          </c:extLst>
        </c:ser>
        <c:ser>
          <c:idx val="1"/>
          <c:order val="1"/>
          <c:tx>
            <c:strRef>
              <c:f>'Results - lowland dairy'!$Q$3</c:f>
              <c:strCache>
                <c:ptCount val="1"/>
                <c:pt idx="0">
                  <c:v>Agroecological</c:v>
                </c:pt>
              </c:strCache>
            </c:strRef>
          </c:tx>
          <c:spPr>
            <a:solidFill>
              <a:schemeClr val="accent2"/>
            </a:solidFill>
            <a:ln>
              <a:noFill/>
            </a:ln>
            <a:effectLst/>
          </c:spPr>
          <c:invertIfNegative val="0"/>
          <c:dPt>
            <c:idx val="0"/>
            <c:invertIfNegative val="0"/>
            <c:bubble3D val="0"/>
            <c:spPr>
              <a:solidFill>
                <a:srgbClr val="009B74"/>
              </a:solidFill>
              <a:ln>
                <a:noFill/>
              </a:ln>
              <a:effectLst/>
            </c:spPr>
            <c:extLst>
              <c:ext xmlns:c16="http://schemas.microsoft.com/office/drawing/2014/chart" uri="{C3380CC4-5D6E-409C-BE32-E72D297353CC}">
                <c16:uniqueId val="{00000000-43A4-4EF7-A4C5-5218A79E82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dairy'!$O$13</c:f>
              <c:strCache>
                <c:ptCount val="1"/>
                <c:pt idx="0">
                  <c:v> Gross farm output </c:v>
                </c:pt>
              </c:strCache>
            </c:strRef>
          </c:cat>
          <c:val>
            <c:numRef>
              <c:f>'Results - lowland dairy'!$Q$13</c:f>
              <c:numCache>
                <c:formatCode>_-"£"* #,##0_-;\-"£"* #,##0_-;_-"£"* "-"??_-;_-@_-</c:formatCode>
                <c:ptCount val="1"/>
                <c:pt idx="0">
                  <c:v>1800.9424005866267</c:v>
                </c:pt>
              </c:numCache>
            </c:numRef>
          </c:val>
          <c:extLst>
            <c:ext xmlns:c16="http://schemas.microsoft.com/office/drawing/2014/chart" uri="{C3380CC4-5D6E-409C-BE32-E72D297353CC}">
              <c16:uniqueId val="{00000003-1AAF-4133-93B2-7CDB0F7F771D}"/>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variable</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dairy'!$P$3</c:f>
              <c:strCache>
                <c:ptCount val="1"/>
                <c:pt idx="0">
                  <c:v>Conventional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dairy'!$O$14</c:f>
              <c:strCache>
                <c:ptCount val="1"/>
                <c:pt idx="0">
                  <c:v> Gross farm variable costs </c:v>
                </c:pt>
              </c:strCache>
            </c:strRef>
          </c:cat>
          <c:val>
            <c:numRef>
              <c:f>'Results - lowland dairy'!$P$14</c:f>
              <c:numCache>
                <c:formatCode>_-"£"* #,##0_-;\-"£"* #,##0_-;_-"£"* "-"??_-;_-@_-</c:formatCode>
                <c:ptCount val="1"/>
                <c:pt idx="0">
                  <c:v>1969.0262634577268</c:v>
                </c:pt>
              </c:numCache>
            </c:numRef>
          </c:val>
          <c:extLst>
            <c:ext xmlns:c16="http://schemas.microsoft.com/office/drawing/2014/chart" uri="{C3380CC4-5D6E-409C-BE32-E72D297353CC}">
              <c16:uniqueId val="{00000002-1A3E-41EC-BF3B-402FA659A4CA}"/>
            </c:ext>
          </c:extLst>
        </c:ser>
        <c:ser>
          <c:idx val="1"/>
          <c:order val="1"/>
          <c:tx>
            <c:strRef>
              <c:f>'Results - lowland dairy'!$Q$3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dairy'!$O$14</c:f>
              <c:strCache>
                <c:ptCount val="1"/>
                <c:pt idx="0">
                  <c:v> Gross farm variable costs </c:v>
                </c:pt>
              </c:strCache>
            </c:strRef>
          </c:cat>
          <c:val>
            <c:numRef>
              <c:f>'Results - lowland dairy'!$Q$14</c:f>
              <c:numCache>
                <c:formatCode>_-"£"* #,##0_-;\-"£"* #,##0_-;_-"£"* "-"??_-;_-@_-</c:formatCode>
                <c:ptCount val="1"/>
                <c:pt idx="0">
                  <c:v>523.92273593033519</c:v>
                </c:pt>
              </c:numCache>
            </c:numRef>
          </c:val>
          <c:extLst>
            <c:ext xmlns:c16="http://schemas.microsoft.com/office/drawing/2014/chart" uri="{C3380CC4-5D6E-409C-BE32-E72D297353CC}">
              <c16:uniqueId val="{00000003-1A3E-41EC-BF3B-402FA659A4CA}"/>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Cereals</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80548347907288786"/>
          <c:h val="0.64918115013176436"/>
        </c:manualLayout>
      </c:layout>
      <c:barChart>
        <c:barDir val="col"/>
        <c:grouping val="clustered"/>
        <c:varyColors val="0"/>
        <c:ser>
          <c:idx val="0"/>
          <c:order val="0"/>
          <c:tx>
            <c:strRef>
              <c:f>'Results - cereals'!$P$3</c:f>
              <c:strCache>
                <c:ptCount val="1"/>
                <c:pt idx="0">
                  <c:v>Conventional</c:v>
                </c:pt>
              </c:strCache>
            </c:strRef>
          </c:tx>
          <c:spPr>
            <a:solidFill>
              <a:schemeClr val="accent1"/>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A-9A99-4363-B493-FBBC0232ADC4}"/>
              </c:ext>
            </c:extLst>
          </c:dPt>
          <c:dPt>
            <c:idx val="1"/>
            <c:invertIfNegative val="0"/>
            <c:bubble3D val="0"/>
            <c:spPr>
              <a:solidFill>
                <a:srgbClr val="0067B2"/>
              </a:solidFill>
              <a:ln>
                <a:noFill/>
              </a:ln>
              <a:effectLst/>
            </c:spPr>
            <c:extLst>
              <c:ext xmlns:c16="http://schemas.microsoft.com/office/drawing/2014/chart" uri="{C3380CC4-5D6E-409C-BE32-E72D297353CC}">
                <c16:uniqueId val="{0000000E-9A99-4363-B493-FBBC0232ADC4}"/>
              </c:ext>
            </c:extLst>
          </c:dPt>
          <c:dPt>
            <c:idx val="2"/>
            <c:invertIfNegative val="0"/>
            <c:bubble3D val="0"/>
            <c:spPr>
              <a:solidFill>
                <a:srgbClr val="0067B2"/>
              </a:solidFill>
              <a:ln>
                <a:noFill/>
              </a:ln>
              <a:effectLst/>
            </c:spPr>
            <c:extLst>
              <c:ext xmlns:c16="http://schemas.microsoft.com/office/drawing/2014/chart" uri="{C3380CC4-5D6E-409C-BE32-E72D297353CC}">
                <c16:uniqueId val="{0000000D-9A99-4363-B493-FBBC0232ADC4}"/>
              </c:ext>
            </c:extLst>
          </c:dPt>
          <c:dLbls>
            <c:dLbl>
              <c:idx val="0"/>
              <c:layout>
                <c:manualLayout>
                  <c:x val="-1.9897214983320297E-17"/>
                  <c:y val="-7.83228138724424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99-4363-B493-FBBC0232ADC4}"/>
                </c:ext>
              </c:extLst>
            </c:dLbl>
            <c:dLbl>
              <c:idx val="2"/>
              <c:layout>
                <c:manualLayout>
                  <c:x val="0"/>
                  <c:y val="-2.04320384015067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99-4363-B493-FBBC0232ADC4}"/>
                </c:ext>
              </c:extLst>
            </c:dLbl>
            <c:dLbl>
              <c:idx val="3"/>
              <c:layout>
                <c:manualLayout>
                  <c:x val="0"/>
                  <c:y val="-1.0216019200753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99-4363-B493-FBBC0232A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cereals'!$O$5:$O$8</c:f>
              <c:strCache>
                <c:ptCount val="4"/>
                <c:pt idx="0">
                  <c:v>Gross farm output</c:v>
                </c:pt>
                <c:pt idx="1">
                  <c:v>Gross farm variable costs</c:v>
                </c:pt>
                <c:pt idx="2">
                  <c:v>Fixed costs</c:v>
                </c:pt>
                <c:pt idx="3">
                  <c:v>Net farm income</c:v>
                </c:pt>
              </c:strCache>
            </c:strRef>
          </c:cat>
          <c:val>
            <c:numRef>
              <c:f>'Results - cereals'!$P$5:$P$8</c:f>
              <c:numCache>
                <c:formatCode>_-"£"* #,##0_-;\-"£"* #,##0_-;_-"£"* "-"??_-;_-@_-</c:formatCode>
                <c:ptCount val="4"/>
                <c:pt idx="0">
                  <c:v>209547.79620811579</c:v>
                </c:pt>
                <c:pt idx="1">
                  <c:v>105027.30380735818</c:v>
                </c:pt>
                <c:pt idx="2">
                  <c:v>122150</c:v>
                </c:pt>
                <c:pt idx="3">
                  <c:v>-17629.507599242395</c:v>
                </c:pt>
              </c:numCache>
            </c:numRef>
          </c:val>
          <c:extLst>
            <c:ext xmlns:c16="http://schemas.microsoft.com/office/drawing/2014/chart" uri="{C3380CC4-5D6E-409C-BE32-E72D297353CC}">
              <c16:uniqueId val="{00000000-609C-4C07-A594-BAC0D3876F51}"/>
            </c:ext>
          </c:extLst>
        </c:ser>
        <c:ser>
          <c:idx val="1"/>
          <c:order val="1"/>
          <c:tx>
            <c:strRef>
              <c:f>'Results - cereals'!$Q$3</c:f>
              <c:strCache>
                <c:ptCount val="1"/>
                <c:pt idx="0">
                  <c:v>Agroecological (with grazier)</c:v>
                </c:pt>
              </c:strCache>
            </c:strRef>
          </c:tx>
          <c:spPr>
            <a:solidFill>
              <a:srgbClr val="009B74"/>
            </a:solidFill>
            <a:ln>
              <a:noFill/>
            </a:ln>
            <a:effectLst/>
          </c:spPr>
          <c:invertIfNegative val="0"/>
          <c:dLbls>
            <c:dLbl>
              <c:idx val="0"/>
              <c:layout>
                <c:manualLayout>
                  <c:x val="0"/>
                  <c:y val="-0.2009150442814827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99-4363-B493-FBBC0232ADC4}"/>
                </c:ext>
              </c:extLst>
            </c:dLbl>
            <c:dLbl>
              <c:idx val="1"/>
              <c:layout>
                <c:manualLayout>
                  <c:x val="0"/>
                  <c:y val="-0.1532402880113003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99-4363-B493-FBBC0232ADC4}"/>
                </c:ext>
              </c:extLst>
            </c:dLbl>
            <c:dLbl>
              <c:idx val="2"/>
              <c:layout>
                <c:manualLayout>
                  <c:x val="0"/>
                  <c:y val="-9.8754852273949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99-4363-B493-FBBC0232ADC4}"/>
                </c:ext>
              </c:extLst>
            </c:dLbl>
            <c:dLbl>
              <c:idx val="3"/>
              <c:layout>
                <c:manualLayout>
                  <c:x val="0"/>
                  <c:y val="-6.81014319319511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9-4363-B493-FBBC0232A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cereals'!$O$5:$O$8</c:f>
              <c:strCache>
                <c:ptCount val="4"/>
                <c:pt idx="0">
                  <c:v>Gross farm output</c:v>
                </c:pt>
                <c:pt idx="1">
                  <c:v>Gross farm variable costs</c:v>
                </c:pt>
                <c:pt idx="2">
                  <c:v>Fixed costs</c:v>
                </c:pt>
                <c:pt idx="3">
                  <c:v>Net farm income</c:v>
                </c:pt>
              </c:strCache>
            </c:strRef>
          </c:cat>
          <c:val>
            <c:numRef>
              <c:f>'Results - cereals'!$Q$5:$Q$8</c:f>
              <c:numCache>
                <c:formatCode>_-"£"* #,##0_-;\-"£"* #,##0_-;_-"£"* "-"??_-;_-@_-</c:formatCode>
                <c:ptCount val="4"/>
                <c:pt idx="0">
                  <c:v>105868.34919657139</c:v>
                </c:pt>
                <c:pt idx="1">
                  <c:v>20561.137295303572</c:v>
                </c:pt>
                <c:pt idx="2">
                  <c:v>109935.00000000001</c:v>
                </c:pt>
                <c:pt idx="3">
                  <c:v>-24627.788098732199</c:v>
                </c:pt>
              </c:numCache>
            </c:numRef>
          </c:val>
          <c:extLst>
            <c:ext xmlns:c16="http://schemas.microsoft.com/office/drawing/2014/chart" uri="{C3380CC4-5D6E-409C-BE32-E72D297353CC}">
              <c16:uniqueId val="{00000001-609C-4C07-A594-BAC0D3876F51}"/>
            </c:ext>
          </c:extLst>
        </c:ser>
        <c:ser>
          <c:idx val="2"/>
          <c:order val="2"/>
          <c:tx>
            <c:strRef>
              <c:f>'Results - cereals'!$S$3</c:f>
              <c:strCache>
                <c:ptCount val="1"/>
                <c:pt idx="0">
                  <c:v>Agroecological (with integrated livestock)</c:v>
                </c:pt>
              </c:strCache>
            </c:strRef>
          </c:tx>
          <c:spPr>
            <a:solidFill>
              <a:srgbClr val="A5A5A5"/>
            </a:solidFill>
            <a:ln>
              <a:noFill/>
            </a:ln>
            <a:effectLst/>
          </c:spPr>
          <c:invertIfNegative val="0"/>
          <c:dLbls>
            <c:dLbl>
              <c:idx val="0"/>
              <c:layout>
                <c:manualLayout>
                  <c:x val="0"/>
                  <c:y val="-4.76747562701823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99-4363-B493-FBBC0232ADC4}"/>
                </c:ext>
              </c:extLst>
            </c:dLbl>
            <c:dLbl>
              <c:idx val="1"/>
              <c:layout>
                <c:manualLayout>
                  <c:x val="-7.9588859933281187E-17"/>
                  <c:y val="-5.4485435737351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99-4363-B493-FBBC0232ADC4}"/>
                </c:ext>
              </c:extLst>
            </c:dLbl>
            <c:dLbl>
              <c:idx val="2"/>
              <c:layout>
                <c:manualLayout>
                  <c:x val="-7.9588859933281187E-17"/>
                  <c:y val="-0.149834948277715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99-4363-B493-FBBC0232ADC4}"/>
                </c:ext>
              </c:extLst>
            </c:dLbl>
            <c:dLbl>
              <c:idx val="3"/>
              <c:layout>
                <c:manualLayout>
                  <c:x val="-1.6591060224026053E-16"/>
                  <c:y val="-4.78191774772855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99-4363-B493-FBBC0232A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cereals'!$O$5:$O$8</c:f>
              <c:strCache>
                <c:ptCount val="4"/>
                <c:pt idx="0">
                  <c:v>Gross farm output</c:v>
                </c:pt>
                <c:pt idx="1">
                  <c:v>Gross farm variable costs</c:v>
                </c:pt>
                <c:pt idx="2">
                  <c:v>Fixed costs</c:v>
                </c:pt>
                <c:pt idx="3">
                  <c:v>Net farm income</c:v>
                </c:pt>
              </c:strCache>
            </c:strRef>
          </c:cat>
          <c:val>
            <c:numRef>
              <c:f>'Results - cereals'!$S$5:$S$8</c:f>
              <c:numCache>
                <c:formatCode>_-"£"* #,##0_-;\-"£"* #,##0_-;_-"£"* "-"??_-;_-@_-</c:formatCode>
                <c:ptCount val="4"/>
                <c:pt idx="0">
                  <c:v>129636.20730252739</c:v>
                </c:pt>
                <c:pt idx="1">
                  <c:v>41933.689934929105</c:v>
                </c:pt>
                <c:pt idx="2">
                  <c:v>109935.00000000001</c:v>
                </c:pt>
                <c:pt idx="3">
                  <c:v>-22232.482632401734</c:v>
                </c:pt>
              </c:numCache>
            </c:numRef>
          </c:val>
          <c:extLst>
            <c:ext xmlns:c16="http://schemas.microsoft.com/office/drawing/2014/chart" uri="{C3380CC4-5D6E-409C-BE32-E72D297353CC}">
              <c16:uniqueId val="{00000002-609C-4C07-A594-BAC0D3876F51}"/>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dispUnitsLbl>
        </c:dispUnits>
      </c:valAx>
      <c:spPr>
        <a:noFill/>
        <a:ln>
          <a:noFill/>
        </a:ln>
        <a:effectLst/>
      </c:spPr>
    </c:plotArea>
    <c:legend>
      <c:legendPos val="b"/>
      <c:layout>
        <c:manualLayout>
          <c:xMode val="edge"/>
          <c:yMode val="edge"/>
          <c:x val="5.434782608695652E-2"/>
          <c:y val="0.92365070897988089"/>
          <c:w val="0.9"/>
          <c:h val="4.55194123368884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fixed</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dairy'!$P$3</c:f>
              <c:strCache>
                <c:ptCount val="1"/>
                <c:pt idx="0">
                  <c:v>Conventional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dairy'!$O$15</c:f>
              <c:strCache>
                <c:ptCount val="1"/>
                <c:pt idx="0">
                  <c:v> Fixed costs </c:v>
                </c:pt>
              </c:strCache>
            </c:strRef>
          </c:cat>
          <c:val>
            <c:numRef>
              <c:f>'Results - lowland dairy'!$P$15</c:f>
              <c:numCache>
                <c:formatCode>_-"£"* #,##0_-;\-"£"* #,##0_-;_-"£"* "-"??_-;_-@_-</c:formatCode>
                <c:ptCount val="1"/>
                <c:pt idx="0">
                  <c:v>1865</c:v>
                </c:pt>
              </c:numCache>
            </c:numRef>
          </c:val>
          <c:extLst>
            <c:ext xmlns:c16="http://schemas.microsoft.com/office/drawing/2014/chart" uri="{C3380CC4-5D6E-409C-BE32-E72D297353CC}">
              <c16:uniqueId val="{00000000-9A12-490A-9F53-99BF81B47E9B}"/>
            </c:ext>
          </c:extLst>
        </c:ser>
        <c:ser>
          <c:idx val="1"/>
          <c:order val="1"/>
          <c:tx>
            <c:strRef>
              <c:f>'Results - lowland dairy'!$Q$3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dairy'!$O$15</c:f>
              <c:strCache>
                <c:ptCount val="1"/>
                <c:pt idx="0">
                  <c:v> Fixed costs </c:v>
                </c:pt>
              </c:strCache>
            </c:strRef>
          </c:cat>
          <c:val>
            <c:numRef>
              <c:f>'Results - lowland dairy'!$Q$15</c:f>
              <c:numCache>
                <c:formatCode>_-"£"* #,##0_-;\-"£"* #,##0_-;_-"£"* "-"??_-;_-@_-</c:formatCode>
                <c:ptCount val="1"/>
                <c:pt idx="0">
                  <c:v>1432.4698660714287</c:v>
                </c:pt>
              </c:numCache>
            </c:numRef>
          </c:val>
          <c:extLst>
            <c:ext xmlns:c16="http://schemas.microsoft.com/office/drawing/2014/chart" uri="{C3380CC4-5D6E-409C-BE32-E72D297353CC}">
              <c16:uniqueId val="{00000001-9A12-490A-9F53-99BF81B47E9B}"/>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Net farm</a:t>
            </a:r>
            <a:r>
              <a:rPr lang="en-GB" baseline="0">
                <a:solidFill>
                  <a:sysClr val="windowText" lastClr="000000"/>
                </a:solidFill>
              </a:rPr>
              <a:t> income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dairy'!$P$3</c:f>
              <c:strCache>
                <c:ptCount val="1"/>
                <c:pt idx="0">
                  <c:v>Conventional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dairy'!$O$16</c:f>
              <c:strCache>
                <c:ptCount val="1"/>
                <c:pt idx="0">
                  <c:v> Net farm income </c:v>
                </c:pt>
              </c:strCache>
            </c:strRef>
          </c:cat>
          <c:val>
            <c:numRef>
              <c:f>'Results - lowland dairy'!$P$16</c:f>
              <c:numCache>
                <c:formatCode>_-"£"* #,##0_-;\-"£"* #,##0_-;_-"£"* "-"??_-;_-@_-</c:formatCode>
                <c:ptCount val="1"/>
                <c:pt idx="0">
                  <c:v>240.87989237266956</c:v>
                </c:pt>
              </c:numCache>
            </c:numRef>
          </c:val>
          <c:extLst>
            <c:ext xmlns:c16="http://schemas.microsoft.com/office/drawing/2014/chart" uri="{C3380CC4-5D6E-409C-BE32-E72D297353CC}">
              <c16:uniqueId val="{00000002-6015-4B32-97EA-20C6F1E976B6}"/>
            </c:ext>
          </c:extLst>
        </c:ser>
        <c:ser>
          <c:idx val="1"/>
          <c:order val="1"/>
          <c:tx>
            <c:strRef>
              <c:f>'Results - lowland dairy'!$Q$3</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dairy'!$O$16</c:f>
              <c:strCache>
                <c:ptCount val="1"/>
                <c:pt idx="0">
                  <c:v> Net farm income </c:v>
                </c:pt>
              </c:strCache>
            </c:strRef>
          </c:cat>
          <c:val>
            <c:numRef>
              <c:f>'Results - lowland dairy'!$Q$16</c:f>
              <c:numCache>
                <c:formatCode>_-"£"* #,##0_-;\-"£"* #,##0_-;_-"£"* "-"??_-;_-@_-</c:formatCode>
                <c:ptCount val="1"/>
                <c:pt idx="0">
                  <c:v>-155.45020141513729</c:v>
                </c:pt>
              </c:numCache>
            </c:numRef>
          </c:val>
          <c:extLst>
            <c:ext xmlns:c16="http://schemas.microsoft.com/office/drawing/2014/chart" uri="{C3380CC4-5D6E-409C-BE32-E72D297353CC}">
              <c16:uniqueId val="{00000005-6015-4B32-97EA-20C6F1E976B6}"/>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lowland Dair</a:t>
            </a:r>
            <a:r>
              <a:rPr lang="en-US" baseline="0"/>
              <a:t>y crop rotation</a:t>
            </a:r>
            <a:endParaRPr lang="en-US"/>
          </a:p>
        </c:rich>
      </c:tx>
      <c:layout>
        <c:manualLayout>
          <c:xMode val="edge"/>
          <c:yMode val="edge"/>
          <c:x val="0.30022060185185184"/>
          <c:y val="4.325734126984127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lowland dairy'!$P$19</c:f>
              <c:strCache>
                <c:ptCount val="1"/>
              </c:strCache>
            </c:strRef>
          </c:tx>
          <c:dPt>
            <c:idx val="0"/>
            <c:bubble3D val="0"/>
            <c:spPr>
              <a:solidFill>
                <a:srgbClr val="38572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DAE-41A4-A0DE-40681EAE100B}"/>
              </c:ext>
            </c:extLst>
          </c:dPt>
          <c:dPt>
            <c:idx val="1"/>
            <c:bubble3D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DAE-41A4-A0DE-40681EAE100B}"/>
              </c:ext>
            </c:extLst>
          </c:dPt>
          <c:dPt>
            <c:idx val="2"/>
            <c:bubble3D val="0"/>
            <c:spPr>
              <a:solidFill>
                <a:srgbClr val="F6FAF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DAE-41A4-A0DE-40681EAE100B}"/>
              </c:ext>
            </c:extLst>
          </c:dPt>
          <c:dPt>
            <c:idx val="3"/>
            <c:bubble3D val="0"/>
            <c:spPr>
              <a:solidFill>
                <a:srgbClr val="00397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DAE-41A4-A0DE-40681EAE100B}"/>
              </c:ext>
            </c:extLst>
          </c:dPt>
          <c:dPt>
            <c:idx val="4"/>
            <c:bubble3D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DAE-41A4-A0DE-40681EAE100B}"/>
              </c:ext>
            </c:extLst>
          </c:dPt>
          <c:dLbls>
            <c:dLbl>
              <c:idx val="0"/>
              <c:layout>
                <c:manualLayout>
                  <c:x val="0"/>
                  <c:y val="0.1108730158730158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E-41A4-A0DE-40681EAE100B}"/>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9DAE-41A4-A0DE-40681EAE100B}"/>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9DAE-41A4-A0DE-40681EAE100B}"/>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9DAE-41A4-A0DE-40681EAE100B}"/>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9DAE-41A4-A0DE-40681EAE100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lowland dairy'!$O$21:$O$25</c:f>
              <c:strCache>
                <c:ptCount val="5"/>
                <c:pt idx="0">
                  <c:v>80 ha diverse permanent pasture</c:v>
                </c:pt>
                <c:pt idx="1">
                  <c:v> 26 ha diverse hebal sward </c:v>
                </c:pt>
                <c:pt idx="2">
                  <c:v> 13 ha feed barley </c:v>
                </c:pt>
                <c:pt idx="3">
                  <c:v> 13 ha intercropped legumes </c:v>
                </c:pt>
                <c:pt idx="4">
                  <c:v> 13 ha shelterbelts and hedgerows </c:v>
                </c:pt>
              </c:strCache>
            </c:strRef>
          </c:cat>
          <c:val>
            <c:numRef>
              <c:f>'Results - lowland dairy'!$P$21:$P$25</c:f>
              <c:numCache>
                <c:formatCode>0.0</c:formatCode>
                <c:ptCount val="5"/>
                <c:pt idx="0">
                  <c:v>80</c:v>
                </c:pt>
                <c:pt idx="1">
                  <c:v>26</c:v>
                </c:pt>
                <c:pt idx="2">
                  <c:v>13</c:v>
                </c:pt>
                <c:pt idx="3">
                  <c:v>13</c:v>
                </c:pt>
                <c:pt idx="4">
                  <c:v>13</c:v>
                </c:pt>
              </c:numCache>
            </c:numRef>
          </c:val>
          <c:extLst>
            <c:ext xmlns:c16="http://schemas.microsoft.com/office/drawing/2014/chart" uri="{C3380CC4-5D6E-409C-BE32-E72D297353CC}">
              <c16:uniqueId val="{0000000A-9DAE-41A4-A0DE-40681EAE100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t>Lowland</a:t>
            </a:r>
            <a:r>
              <a:rPr lang="en-GB" baseline="0"/>
              <a:t> Grazing</a:t>
            </a:r>
            <a:endParaRPr lang="en-GB"/>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barChart>
        <c:barDir val="col"/>
        <c:grouping val="clustered"/>
        <c:varyColors val="0"/>
        <c:ser>
          <c:idx val="0"/>
          <c:order val="0"/>
          <c:tx>
            <c:strRef>
              <c:f>'Results - lowland grazing'!$P$2:$P$4</c:f>
              <c:strCache>
                <c:ptCount val="3"/>
                <c:pt idx="0">
                  <c:v>Lowland grazing - whole farm performance</c:v>
                </c:pt>
                <c:pt idx="1">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grazing'!$O$5:$O$8</c:f>
              <c:strCache>
                <c:ptCount val="4"/>
                <c:pt idx="0">
                  <c:v>Gross farm output</c:v>
                </c:pt>
                <c:pt idx="1">
                  <c:v>Gross farm variable costs</c:v>
                </c:pt>
                <c:pt idx="2">
                  <c:v>Fixed costs</c:v>
                </c:pt>
                <c:pt idx="3">
                  <c:v>Net farm income</c:v>
                </c:pt>
              </c:strCache>
            </c:strRef>
          </c:cat>
          <c:val>
            <c:numRef>
              <c:f>'Results - lowland grazing'!$P$5:$P$8</c:f>
              <c:numCache>
                <c:formatCode>_-"£"* #,##0_-;\-"£"* #,##0_-;_-"£"* "-"??_-;_-@_-</c:formatCode>
                <c:ptCount val="4"/>
                <c:pt idx="0">
                  <c:v>86165.853128784263</c:v>
                </c:pt>
                <c:pt idx="1">
                  <c:v>57586.401142251518</c:v>
                </c:pt>
                <c:pt idx="2">
                  <c:v>67796.760736196331</c:v>
                </c:pt>
                <c:pt idx="3">
                  <c:v>-39217.308749663585</c:v>
                </c:pt>
              </c:numCache>
            </c:numRef>
          </c:val>
          <c:extLst>
            <c:ext xmlns:c16="http://schemas.microsoft.com/office/drawing/2014/chart" uri="{C3380CC4-5D6E-409C-BE32-E72D297353CC}">
              <c16:uniqueId val="{00000000-F44C-483D-8074-88269F11D648}"/>
            </c:ext>
          </c:extLst>
        </c:ser>
        <c:ser>
          <c:idx val="1"/>
          <c:order val="1"/>
          <c:tx>
            <c:strRef>
              <c:f>'Results - lowland grazing'!$Q$2:$Q$4</c:f>
              <c:strCache>
                <c:ptCount val="3"/>
                <c:pt idx="0">
                  <c:v>Lowland grazing - whole farm performance</c:v>
                </c:pt>
                <c:pt idx="1">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grazing'!$O$5:$O$8</c:f>
              <c:strCache>
                <c:ptCount val="4"/>
                <c:pt idx="0">
                  <c:v>Gross farm output</c:v>
                </c:pt>
                <c:pt idx="1">
                  <c:v>Gross farm variable costs</c:v>
                </c:pt>
                <c:pt idx="2">
                  <c:v>Fixed costs</c:v>
                </c:pt>
                <c:pt idx="3">
                  <c:v>Net farm income</c:v>
                </c:pt>
              </c:strCache>
            </c:strRef>
          </c:cat>
          <c:val>
            <c:numRef>
              <c:f>'Results - lowland grazing'!$Q$5:$Q$8</c:f>
              <c:numCache>
                <c:formatCode>_-"£"* #,##0_-;\-"£"* #,##0_-;_-"£"* "-"??_-;_-@_-</c:formatCode>
                <c:ptCount val="4"/>
                <c:pt idx="0">
                  <c:v>62531.484571483787</c:v>
                </c:pt>
                <c:pt idx="1">
                  <c:v>23598.928016038648</c:v>
                </c:pt>
                <c:pt idx="2">
                  <c:v>61017.084662576686</c:v>
                </c:pt>
                <c:pt idx="3">
                  <c:v>-22084.528107131548</c:v>
                </c:pt>
              </c:numCache>
            </c:numRef>
          </c:val>
          <c:extLst>
            <c:ext xmlns:c16="http://schemas.microsoft.com/office/drawing/2014/chart" uri="{C3380CC4-5D6E-409C-BE32-E72D297353CC}">
              <c16:uniqueId val="{00000001-F44C-483D-8074-88269F11D648}"/>
            </c:ext>
          </c:extLst>
        </c:ser>
        <c:dLbls>
          <c:dLblPos val="outEnd"/>
          <c:showLegendKey val="0"/>
          <c:showVal val="1"/>
          <c:showCatName val="0"/>
          <c:showSerName val="0"/>
          <c:showPercent val="0"/>
          <c:showBubbleSize val="0"/>
        </c:dLbls>
        <c:gapWidth val="219"/>
        <c:overlap val="-27"/>
        <c:axId val="1890368288"/>
        <c:axId val="1890377024"/>
      </c:barChart>
      <c:catAx>
        <c:axId val="1890368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1890377024"/>
        <c:crosses val="autoZero"/>
        <c:auto val="1"/>
        <c:lblAlgn val="ctr"/>
        <c:lblOffset val="100"/>
        <c:noMultiLvlLbl val="0"/>
      </c:catAx>
      <c:valAx>
        <c:axId val="1890377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1890368288"/>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cat>
            <c:numRef>
              <c:f>'Results - lowland grazing'!$O$4:$Q$4</c:f>
              <c:numCache>
                <c:formatCode>0</c:formatCode>
                <c:ptCount val="3"/>
              </c:numCache>
            </c:numRef>
          </c:cat>
          <c:val>
            <c:numRef>
              <c:f>'Results - lowland grazing'!$O$8:$Q$8</c:f>
              <c:numCache>
                <c:formatCode>_-"£"* #,##0_-;\-"£"* #,##0_-;_-"£"* "-"??_-;_-@_-</c:formatCode>
                <c:ptCount val="3"/>
                <c:pt idx="0" formatCode="General">
                  <c:v>0</c:v>
                </c:pt>
                <c:pt idx="1">
                  <c:v>-39217.308749663585</c:v>
                </c:pt>
                <c:pt idx="2">
                  <c:v>-22084.528107131548</c:v>
                </c:pt>
              </c:numCache>
            </c:numRef>
          </c:val>
          <c:extLst>
            <c:ext xmlns:c15="http://schemas.microsoft.com/office/drawing/2012/chart" uri="{02D57815-91ED-43cb-92C2-25804820EDAC}">
              <c15:filteredSeriesTitle>
                <c15:tx>
                  <c:strRef>
                    <c:extLst>
                      <c:ext uri="{02D57815-91ED-43cb-92C2-25804820EDAC}">
                        <c15:formulaRef>
                          <c15:sqref>'Results - lowland grazing'!#REF!</c15:sqref>
                        </c15:formulaRef>
                      </c:ext>
                    </c:extLst>
                    <c:strCache>
                      <c:ptCount val="1"/>
                      <c:pt idx="0">
                        <c:v>#REF!</c:v>
                      </c:pt>
                    </c:strCache>
                  </c:strRef>
                </c15:tx>
              </c15:filteredSeriesTitle>
            </c:ext>
            <c:ext xmlns:c16="http://schemas.microsoft.com/office/drawing/2014/chart" uri="{C3380CC4-5D6E-409C-BE32-E72D297353CC}">
              <c16:uniqueId val="{00000000-2D20-40B1-905E-1B1756CCB77A}"/>
            </c:ext>
          </c:extLst>
        </c:ser>
        <c:dLbls>
          <c:showLegendKey val="0"/>
          <c:showVal val="0"/>
          <c:showCatName val="0"/>
          <c:showSerName val="0"/>
          <c:showPercent val="0"/>
          <c:showBubbleSize val="0"/>
        </c:dLbls>
        <c:gapWidth val="219"/>
        <c:overlap val="-27"/>
        <c:axId val="569268976"/>
        <c:axId val="569267312"/>
      </c:barChart>
      <c:catAx>
        <c:axId val="5692689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267312"/>
        <c:crosses val="autoZero"/>
        <c:auto val="1"/>
        <c:lblAlgn val="ctr"/>
        <c:lblOffset val="100"/>
        <c:noMultiLvlLbl val="0"/>
      </c:catAx>
      <c:valAx>
        <c:axId val="569267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26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a:t>
            </a:r>
            <a:r>
              <a:rPr lang="en-GB" baseline="0">
                <a:solidFill>
                  <a:sysClr val="windowText" lastClr="000000"/>
                </a:solidFill>
              </a:rPr>
              <a:t> farm output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grazing'!$P$4</c:f>
              <c:strCache>
                <c:ptCount val="1"/>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grazing'!$O$13</c:f>
              <c:strCache>
                <c:ptCount val="1"/>
                <c:pt idx="0">
                  <c:v> Gross farm output </c:v>
                </c:pt>
              </c:strCache>
            </c:strRef>
          </c:cat>
          <c:val>
            <c:numRef>
              <c:f>'Results - lowland grazing'!$P$13</c:f>
              <c:numCache>
                <c:formatCode>_-"£"* #,##0_-;\-"£"* #,##0_-;_-"£"* "-"??_-;_-@_-</c:formatCode>
                <c:ptCount val="1"/>
                <c:pt idx="0">
                  <c:v>1025.7839658188602</c:v>
                </c:pt>
              </c:numCache>
            </c:numRef>
          </c:val>
          <c:extLst>
            <c:ext xmlns:c16="http://schemas.microsoft.com/office/drawing/2014/chart" uri="{C3380CC4-5D6E-409C-BE32-E72D297353CC}">
              <c16:uniqueId val="{00000000-EFCA-4F72-9B22-52DF840FE5C5}"/>
            </c:ext>
          </c:extLst>
        </c:ser>
        <c:ser>
          <c:idx val="1"/>
          <c:order val="1"/>
          <c:tx>
            <c:strRef>
              <c:f>'Results - lowland grazing'!$Q$4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grazing'!$O$13</c:f>
              <c:strCache>
                <c:ptCount val="1"/>
                <c:pt idx="0">
                  <c:v> Gross farm output </c:v>
                </c:pt>
              </c:strCache>
            </c:strRef>
          </c:cat>
          <c:val>
            <c:numRef>
              <c:f>'Results - lowland grazing'!$Q$13</c:f>
              <c:numCache>
                <c:formatCode>_-"£"* #,##0_-;\-"£"* #,##0_-;_-"£"* "-"??_-;_-@_-</c:formatCode>
                <c:ptCount val="1"/>
                <c:pt idx="0">
                  <c:v>744.42243537480704</c:v>
                </c:pt>
              </c:numCache>
            </c:numRef>
          </c:val>
          <c:extLst>
            <c:ext xmlns:c16="http://schemas.microsoft.com/office/drawing/2014/chart" uri="{C3380CC4-5D6E-409C-BE32-E72D297353CC}">
              <c16:uniqueId val="{00000003-EFCA-4F72-9B22-52DF840FE5C5}"/>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variable</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grazing'!$P$4</c:f>
              <c:strCache>
                <c:ptCount val="1"/>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grazing'!$O$14</c:f>
              <c:strCache>
                <c:ptCount val="1"/>
                <c:pt idx="0">
                  <c:v> Gross farm variable costs </c:v>
                </c:pt>
              </c:strCache>
            </c:strRef>
          </c:cat>
          <c:val>
            <c:numRef>
              <c:f>'Results - lowland grazing'!$P$14</c:f>
              <c:numCache>
                <c:formatCode>_-"£"* #,##0_-;\-"£"* #,##0_-;_-"£"* "-"??_-;_-@_-</c:formatCode>
                <c:ptCount val="1"/>
                <c:pt idx="0">
                  <c:v>685.55239455061326</c:v>
                </c:pt>
              </c:numCache>
            </c:numRef>
          </c:val>
          <c:extLst>
            <c:ext xmlns:c16="http://schemas.microsoft.com/office/drawing/2014/chart" uri="{C3380CC4-5D6E-409C-BE32-E72D297353CC}">
              <c16:uniqueId val="{00000002-A5F3-4EAC-A835-46A27FD547C3}"/>
            </c:ext>
          </c:extLst>
        </c:ser>
        <c:ser>
          <c:idx val="1"/>
          <c:order val="1"/>
          <c:tx>
            <c:strRef>
              <c:f>'Results - lowland grazing'!$Q$4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grazing'!$O$14</c:f>
              <c:strCache>
                <c:ptCount val="1"/>
                <c:pt idx="0">
                  <c:v> Gross farm variable costs </c:v>
                </c:pt>
              </c:strCache>
            </c:strRef>
          </c:cat>
          <c:val>
            <c:numRef>
              <c:f>'Results - lowland grazing'!$Q$14</c:f>
              <c:numCache>
                <c:formatCode>_-"£"* #,##0_-;\-"£"* #,##0_-;_-"£"* "-"??_-;_-@_-</c:formatCode>
                <c:ptCount val="1"/>
                <c:pt idx="0">
                  <c:v>280.93961923855534</c:v>
                </c:pt>
              </c:numCache>
            </c:numRef>
          </c:val>
          <c:extLst>
            <c:ext xmlns:c16="http://schemas.microsoft.com/office/drawing/2014/chart" uri="{C3380CC4-5D6E-409C-BE32-E72D297353CC}">
              <c16:uniqueId val="{00000003-A5F3-4EAC-A835-46A27FD547C3}"/>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fixed</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grazing'!$P$4</c:f>
              <c:strCache>
                <c:ptCount val="1"/>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grazing'!$O$15</c:f>
              <c:strCache>
                <c:ptCount val="1"/>
                <c:pt idx="0">
                  <c:v> Fixed costs </c:v>
                </c:pt>
              </c:strCache>
            </c:strRef>
          </c:cat>
          <c:val>
            <c:numRef>
              <c:f>'Results - lowland grazing'!$P$15</c:f>
              <c:numCache>
                <c:formatCode>_-"£"* #,##0_-;\-"£"* #,##0_-;_-"£"* "-"??_-;_-@_-</c:formatCode>
                <c:ptCount val="1"/>
                <c:pt idx="0">
                  <c:v>807.10429447852778</c:v>
                </c:pt>
              </c:numCache>
            </c:numRef>
          </c:val>
          <c:extLst>
            <c:ext xmlns:c16="http://schemas.microsoft.com/office/drawing/2014/chart" uri="{C3380CC4-5D6E-409C-BE32-E72D297353CC}">
              <c16:uniqueId val="{00000000-0D86-46A1-BA6B-73EBF4573FF3}"/>
            </c:ext>
          </c:extLst>
        </c:ser>
        <c:ser>
          <c:idx val="1"/>
          <c:order val="1"/>
          <c:tx>
            <c:strRef>
              <c:f>'Results - lowland grazing'!$Q$4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grazing'!$O$15</c:f>
              <c:strCache>
                <c:ptCount val="1"/>
                <c:pt idx="0">
                  <c:v> Fixed costs </c:v>
                </c:pt>
              </c:strCache>
            </c:strRef>
          </c:cat>
          <c:val>
            <c:numRef>
              <c:f>'Results - lowland grazing'!$Q$15</c:f>
              <c:numCache>
                <c:formatCode>_-"£"* #,##0_-;\-"£"* #,##0_-;_-"£"* "-"??_-;_-@_-</c:formatCode>
                <c:ptCount val="1"/>
                <c:pt idx="0">
                  <c:v>726.39386503067487</c:v>
                </c:pt>
              </c:numCache>
            </c:numRef>
          </c:val>
          <c:extLst>
            <c:ext xmlns:c16="http://schemas.microsoft.com/office/drawing/2014/chart" uri="{C3380CC4-5D6E-409C-BE32-E72D297353CC}">
              <c16:uniqueId val="{00000001-0D86-46A1-BA6B-73EBF4573FF3}"/>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Net farm</a:t>
            </a:r>
            <a:r>
              <a:rPr lang="en-GB" baseline="0">
                <a:solidFill>
                  <a:sysClr val="windowText" lastClr="000000"/>
                </a:solidFill>
              </a:rPr>
              <a:t> income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lowland grazing'!$P$4</c:f>
              <c:strCache>
                <c:ptCount val="1"/>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grazing'!$O$16</c:f>
              <c:strCache>
                <c:ptCount val="1"/>
                <c:pt idx="0">
                  <c:v> Net farm income </c:v>
                </c:pt>
              </c:strCache>
            </c:strRef>
          </c:cat>
          <c:val>
            <c:numRef>
              <c:f>'Results - lowland grazing'!$P$16</c:f>
              <c:numCache>
                <c:formatCode>_-"£"* #,##0_-;\-"£"* #,##0_-;_-"£"* "-"??_-;_-@_-</c:formatCode>
                <c:ptCount val="1"/>
                <c:pt idx="0">
                  <c:v>-466.87272321028075</c:v>
                </c:pt>
              </c:numCache>
            </c:numRef>
          </c:val>
          <c:extLst>
            <c:ext xmlns:c16="http://schemas.microsoft.com/office/drawing/2014/chart" uri="{C3380CC4-5D6E-409C-BE32-E72D297353CC}">
              <c16:uniqueId val="{00000002-3218-450C-AFEB-C0EA77CD3945}"/>
            </c:ext>
          </c:extLst>
        </c:ser>
        <c:ser>
          <c:idx val="1"/>
          <c:order val="1"/>
          <c:tx>
            <c:strRef>
              <c:f>'Results - lowland grazing'!$Q$4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lowland grazing'!$O$16</c:f>
              <c:strCache>
                <c:ptCount val="1"/>
                <c:pt idx="0">
                  <c:v> Net farm income </c:v>
                </c:pt>
              </c:strCache>
            </c:strRef>
          </c:cat>
          <c:val>
            <c:numRef>
              <c:f>'Results - lowland grazing'!$Q$16</c:f>
              <c:numCache>
                <c:formatCode>_-"£"* #,##0_-;\-"£"* #,##0_-;_-"£"* "-"??_-;_-@_-</c:formatCode>
                <c:ptCount val="1"/>
                <c:pt idx="0">
                  <c:v>-262.91104889442317</c:v>
                </c:pt>
              </c:numCache>
            </c:numRef>
          </c:val>
          <c:extLst>
            <c:ext xmlns:c16="http://schemas.microsoft.com/office/drawing/2014/chart" uri="{C3380CC4-5D6E-409C-BE32-E72D297353CC}">
              <c16:uniqueId val="{00000005-3218-450C-AFEB-C0EA77CD3945}"/>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Lowland</a:t>
            </a:r>
            <a:r>
              <a:rPr lang="en-US" baseline="0"/>
              <a:t> grazing - crop rotation</a:t>
            </a: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lowland grazing'!$P$19</c:f>
              <c:strCache>
                <c:ptCount val="1"/>
              </c:strCache>
            </c:strRef>
          </c:tx>
          <c:spPr>
            <a:solidFill>
              <a:srgbClr val="385723"/>
            </a:solidFill>
          </c:spPr>
          <c:dPt>
            <c:idx val="0"/>
            <c:bubble3D val="0"/>
            <c:spPr>
              <a:solidFill>
                <a:srgbClr val="38572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D2EB-4233-AF58-09FAC6D9C070}"/>
              </c:ext>
            </c:extLst>
          </c:dPt>
          <c:dPt>
            <c:idx val="1"/>
            <c:bubble3D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D2EB-4233-AF58-09FAC6D9C070}"/>
              </c:ext>
            </c:extLst>
          </c:dPt>
          <c:dPt>
            <c:idx val="2"/>
            <c:bubble3D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D2EB-4233-AF58-09FAC6D9C07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D2EB-4233-AF58-09FAC6D9C07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D2EB-4233-AF58-09FAC6D9C07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D2EB-4233-AF58-09FAC6D9C07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lowland grazing'!$O$21:$O$23</c:f>
              <c:strCache>
                <c:ptCount val="3"/>
                <c:pt idx="0">
                  <c:v> 57 ha diverse permanent pasture </c:v>
                </c:pt>
                <c:pt idx="1">
                  <c:v> 19 ha diverse herbal sward </c:v>
                </c:pt>
                <c:pt idx="2">
                  <c:v> 13 ha shelterbelts and hedgerows </c:v>
                </c:pt>
              </c:strCache>
            </c:strRef>
          </c:cat>
          <c:val>
            <c:numRef>
              <c:f>'Results - lowland grazing'!$P$21:$P$23</c:f>
              <c:numCache>
                <c:formatCode>0.0</c:formatCode>
                <c:ptCount val="3"/>
                <c:pt idx="0">
                  <c:v>57</c:v>
                </c:pt>
                <c:pt idx="1">
                  <c:v>19</c:v>
                </c:pt>
                <c:pt idx="2">
                  <c:v>13</c:v>
                </c:pt>
              </c:numCache>
            </c:numRef>
          </c:val>
          <c:extLst>
            <c:ext xmlns:c16="http://schemas.microsoft.com/office/drawing/2014/chart" uri="{C3380CC4-5D6E-409C-BE32-E72D297353CC}">
              <c16:uniqueId val="{00000006-D2EB-4233-AF58-09FAC6D9C070}"/>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 - cereals'!$O$8</c:f>
              <c:strCache>
                <c:ptCount val="1"/>
                <c:pt idx="0">
                  <c:v>Net farm income</c:v>
                </c:pt>
              </c:strCache>
            </c:strRef>
          </c:tx>
          <c:spPr>
            <a:solidFill>
              <a:schemeClr val="accent1"/>
            </a:solidFill>
            <a:ln>
              <a:noFill/>
            </a:ln>
            <a:effectLst/>
          </c:spPr>
          <c:invertIfNegative val="0"/>
          <c:cat>
            <c:strRef>
              <c:f>'Results - cereals'!$P$3:$AI$3</c:f>
              <c:strCache>
                <c:ptCount val="4"/>
                <c:pt idx="0">
                  <c:v>Conventional</c:v>
                </c:pt>
                <c:pt idx="1">
                  <c:v>Agroecological (with grazier)</c:v>
                </c:pt>
                <c:pt idx="3">
                  <c:v>Agroecological (with integrated livestock)</c:v>
                </c:pt>
              </c:strCache>
            </c:strRef>
          </c:cat>
          <c:val>
            <c:numRef>
              <c:f>'Results - cereals'!$P$8:$AI$8</c:f>
              <c:numCache>
                <c:formatCode>_-"£"* #,##0_-;\-"£"* #,##0_-;_-"£"* "-"??_-;_-@_-</c:formatCode>
                <c:ptCount val="20"/>
                <c:pt idx="0">
                  <c:v>-17629.507599242395</c:v>
                </c:pt>
                <c:pt idx="1">
                  <c:v>-24627.788098732199</c:v>
                </c:pt>
                <c:pt idx="2">
                  <c:v>-6998.2804994898033</c:v>
                </c:pt>
                <c:pt idx="3">
                  <c:v>-22232.482632401734</c:v>
                </c:pt>
                <c:pt idx="4">
                  <c:v>-4602.9750331593386</c:v>
                </c:pt>
              </c:numCache>
            </c:numRef>
          </c:val>
          <c:extLst>
            <c:ext xmlns:c16="http://schemas.microsoft.com/office/drawing/2014/chart" uri="{C3380CC4-5D6E-409C-BE32-E72D297353CC}">
              <c16:uniqueId val="{00000000-0DB7-4BFD-8E67-DD55D8E1C266}"/>
            </c:ext>
          </c:extLst>
        </c:ser>
        <c:dLbls>
          <c:showLegendKey val="0"/>
          <c:showVal val="0"/>
          <c:showCatName val="0"/>
          <c:showSerName val="0"/>
          <c:showPercent val="0"/>
          <c:showBubbleSize val="0"/>
        </c:dLbls>
        <c:gapWidth val="219"/>
        <c:overlap val="-27"/>
        <c:axId val="569268976"/>
        <c:axId val="569267312"/>
      </c:barChart>
      <c:catAx>
        <c:axId val="56926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267312"/>
        <c:crosses val="autoZero"/>
        <c:auto val="1"/>
        <c:lblAlgn val="ctr"/>
        <c:lblOffset val="100"/>
        <c:noMultiLvlLbl val="0"/>
      </c:catAx>
      <c:valAx>
        <c:axId val="5692673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26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t>LFA grazing</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barChart>
        <c:barDir val="col"/>
        <c:grouping val="clustered"/>
        <c:varyColors val="0"/>
        <c:ser>
          <c:idx val="0"/>
          <c:order val="0"/>
          <c:tx>
            <c:strRef>
              <c:f>'Results - LFA grazing'!$P$2:$P$4</c:f>
              <c:strCache>
                <c:ptCount val="3"/>
                <c:pt idx="0">
                  <c:v>LFA grazing - whole farm performance</c:v>
                </c:pt>
                <c:pt idx="1">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grazing'!$O$5:$O$8</c:f>
              <c:strCache>
                <c:ptCount val="4"/>
                <c:pt idx="0">
                  <c:v>Gross farm output</c:v>
                </c:pt>
                <c:pt idx="1">
                  <c:v>Gross farm variable costs</c:v>
                </c:pt>
                <c:pt idx="2">
                  <c:v>Fixed costs</c:v>
                </c:pt>
                <c:pt idx="3">
                  <c:v>Net farm income</c:v>
                </c:pt>
              </c:strCache>
            </c:strRef>
          </c:cat>
          <c:val>
            <c:numRef>
              <c:f>'Results - LFA grazing'!$P$5:$P$8</c:f>
              <c:numCache>
                <c:formatCode>_-"£"* #,##0_-;\-"£"* #,##0_-;_-"£"* "-"??_-;_-@_-</c:formatCode>
                <c:ptCount val="4"/>
                <c:pt idx="0">
                  <c:v>102217.75275341203</c:v>
                </c:pt>
                <c:pt idx="1">
                  <c:v>59376.319765639797</c:v>
                </c:pt>
                <c:pt idx="2">
                  <c:v>49835.158663296825</c:v>
                </c:pt>
                <c:pt idx="3">
                  <c:v>-6993.7256755245908</c:v>
                </c:pt>
              </c:numCache>
            </c:numRef>
          </c:val>
          <c:extLst>
            <c:ext xmlns:c16="http://schemas.microsoft.com/office/drawing/2014/chart" uri="{C3380CC4-5D6E-409C-BE32-E72D297353CC}">
              <c16:uniqueId val="{00000000-314C-4C10-8B62-8D1AF4C1BF3D}"/>
            </c:ext>
          </c:extLst>
        </c:ser>
        <c:ser>
          <c:idx val="1"/>
          <c:order val="1"/>
          <c:tx>
            <c:strRef>
              <c:f>'Results - LFA grazing'!$Q$2:$Q$4</c:f>
              <c:strCache>
                <c:ptCount val="3"/>
                <c:pt idx="0">
                  <c:v>LFA grazing - whole farm performance</c:v>
                </c:pt>
                <c:pt idx="1">
                  <c:v>Agroecological</c:v>
                </c:pt>
                <c:pt idx="2">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grazing'!$O$5:$O$8</c:f>
              <c:strCache>
                <c:ptCount val="4"/>
                <c:pt idx="0">
                  <c:v>Gross farm output</c:v>
                </c:pt>
                <c:pt idx="1">
                  <c:v>Gross farm variable costs</c:v>
                </c:pt>
                <c:pt idx="2">
                  <c:v>Fixed costs</c:v>
                </c:pt>
                <c:pt idx="3">
                  <c:v>Net farm income</c:v>
                </c:pt>
              </c:strCache>
            </c:strRef>
          </c:cat>
          <c:val>
            <c:numRef>
              <c:f>'Results - LFA grazing'!$Q$5:$Q$8</c:f>
              <c:numCache>
                <c:formatCode>_-"£"* #,##0_-;\-"£"* #,##0_-;_-"£"* "-"??_-;_-@_-</c:formatCode>
                <c:ptCount val="4"/>
                <c:pt idx="0">
                  <c:v>69432.406752316761</c:v>
                </c:pt>
                <c:pt idx="1">
                  <c:v>27816.621409339539</c:v>
                </c:pt>
                <c:pt idx="2">
                  <c:v>44851.642796967142</c:v>
                </c:pt>
                <c:pt idx="3">
                  <c:v>-3235.85745398992</c:v>
                </c:pt>
              </c:numCache>
            </c:numRef>
          </c:val>
          <c:extLst>
            <c:ext xmlns:c16="http://schemas.microsoft.com/office/drawing/2014/chart" uri="{C3380CC4-5D6E-409C-BE32-E72D297353CC}">
              <c16:uniqueId val="{00000001-314C-4C10-8B62-8D1AF4C1BF3D}"/>
            </c:ext>
          </c:extLst>
        </c:ser>
        <c:dLbls>
          <c:dLblPos val="outEnd"/>
          <c:showLegendKey val="0"/>
          <c:showVal val="1"/>
          <c:showCatName val="0"/>
          <c:showSerName val="0"/>
          <c:showPercent val="0"/>
          <c:showBubbleSize val="0"/>
        </c:dLbls>
        <c:gapWidth val="219"/>
        <c:overlap val="-27"/>
        <c:axId val="662298032"/>
        <c:axId val="662299280"/>
      </c:barChart>
      <c:catAx>
        <c:axId val="662298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662299280"/>
        <c:crosses val="autoZero"/>
        <c:auto val="1"/>
        <c:lblAlgn val="ctr"/>
        <c:lblOffset val="100"/>
        <c:noMultiLvlLbl val="0"/>
      </c:catAx>
      <c:valAx>
        <c:axId val="662299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662298032"/>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a:t>
            </a:r>
            <a:r>
              <a:rPr lang="en-GB" baseline="0">
                <a:solidFill>
                  <a:sysClr val="windowText" lastClr="000000"/>
                </a:solidFill>
              </a:rPr>
              <a:t> farm output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LFA grazing'!$P$4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grazing'!$O$13</c:f>
              <c:strCache>
                <c:ptCount val="1"/>
                <c:pt idx="0">
                  <c:v> Gross farm output </c:v>
                </c:pt>
              </c:strCache>
            </c:strRef>
          </c:cat>
          <c:val>
            <c:numRef>
              <c:f>'Results - LFA grazing'!$P$13</c:f>
              <c:numCache>
                <c:formatCode>_-"£"* #,##0_-;\-"£"* #,##0_-;_-"£"* "-"??_-;_-@_-</c:formatCode>
                <c:ptCount val="1"/>
                <c:pt idx="0">
                  <c:v>601.28089854948257</c:v>
                </c:pt>
              </c:numCache>
            </c:numRef>
          </c:val>
          <c:extLst>
            <c:ext xmlns:c16="http://schemas.microsoft.com/office/drawing/2014/chart" uri="{C3380CC4-5D6E-409C-BE32-E72D297353CC}">
              <c16:uniqueId val="{00000000-96C7-469E-9824-1A34CA92182E}"/>
            </c:ext>
          </c:extLst>
        </c:ser>
        <c:ser>
          <c:idx val="1"/>
          <c:order val="1"/>
          <c:tx>
            <c:strRef>
              <c:f>'Results - LFA grazing'!$Q$4</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grazing'!$O$13</c:f>
              <c:strCache>
                <c:ptCount val="1"/>
                <c:pt idx="0">
                  <c:v> Gross farm output </c:v>
                </c:pt>
              </c:strCache>
            </c:strRef>
          </c:cat>
          <c:val>
            <c:numRef>
              <c:f>'Results - LFA grazing'!$Q$13</c:f>
              <c:numCache>
                <c:formatCode>_-"£"* #,##0_-;\-"£"* #,##0_-;_-"£"* "-"??_-;_-@_-</c:formatCode>
                <c:ptCount val="1"/>
                <c:pt idx="0">
                  <c:v>408.42592207245156</c:v>
                </c:pt>
              </c:numCache>
            </c:numRef>
          </c:val>
          <c:extLst>
            <c:ext xmlns:c16="http://schemas.microsoft.com/office/drawing/2014/chart" uri="{C3380CC4-5D6E-409C-BE32-E72D297353CC}">
              <c16:uniqueId val="{00000003-96C7-469E-9824-1A34CA92182E}"/>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variable</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LFA grazing'!$P$4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grazing'!$O$14</c:f>
              <c:strCache>
                <c:ptCount val="1"/>
                <c:pt idx="0">
                  <c:v> Gross farm variable costs </c:v>
                </c:pt>
              </c:strCache>
            </c:strRef>
          </c:cat>
          <c:val>
            <c:numRef>
              <c:f>'Results - LFA grazing'!$P$14</c:f>
              <c:numCache>
                <c:formatCode>_-"£"* #,##0_-;\-"£"* #,##0_-;_-"£"* "-"??_-;_-@_-</c:formatCode>
                <c:ptCount val="1"/>
                <c:pt idx="0">
                  <c:v>349.27246920964586</c:v>
                </c:pt>
              </c:numCache>
            </c:numRef>
          </c:val>
          <c:extLst>
            <c:ext xmlns:c16="http://schemas.microsoft.com/office/drawing/2014/chart" uri="{C3380CC4-5D6E-409C-BE32-E72D297353CC}">
              <c16:uniqueId val="{00000002-73F8-439D-9F00-7A5C49E4A4ED}"/>
            </c:ext>
          </c:extLst>
        </c:ser>
        <c:ser>
          <c:idx val="1"/>
          <c:order val="1"/>
          <c:tx>
            <c:strRef>
              <c:f>'Results - LFA grazing'!$Q$4</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grazing'!$O$14</c:f>
              <c:strCache>
                <c:ptCount val="1"/>
                <c:pt idx="0">
                  <c:v> Gross farm variable costs </c:v>
                </c:pt>
              </c:strCache>
            </c:strRef>
          </c:cat>
          <c:val>
            <c:numRef>
              <c:f>'Results - LFA grazing'!$Q$14</c:f>
              <c:numCache>
                <c:formatCode>_-"£"* #,##0_-;\-"£"* #,##0_-;_-"£"* "-"??_-;_-@_-</c:formatCode>
                <c:ptCount val="1"/>
                <c:pt idx="0">
                  <c:v>163.62718476082082</c:v>
                </c:pt>
              </c:numCache>
            </c:numRef>
          </c:val>
          <c:extLst>
            <c:ext xmlns:c16="http://schemas.microsoft.com/office/drawing/2014/chart" uri="{C3380CC4-5D6E-409C-BE32-E72D297353CC}">
              <c16:uniqueId val="{00000003-73F8-439D-9F00-7A5C49E4A4ED}"/>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fixed</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LFA grazing'!$P$4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grazing'!$O$15</c:f>
              <c:strCache>
                <c:ptCount val="1"/>
                <c:pt idx="0">
                  <c:v> Fixed costs </c:v>
                </c:pt>
              </c:strCache>
            </c:strRef>
          </c:cat>
          <c:val>
            <c:numRef>
              <c:f>'Results - LFA grazing'!$P$15</c:f>
              <c:numCache>
                <c:formatCode>_-"£"* #,##0_-;\-"£"* #,##0_-;_-"£"* "-"??_-;_-@_-</c:formatCode>
                <c:ptCount val="1"/>
                <c:pt idx="0">
                  <c:v>293.14799213704015</c:v>
                </c:pt>
              </c:numCache>
            </c:numRef>
          </c:val>
          <c:extLst>
            <c:ext xmlns:c16="http://schemas.microsoft.com/office/drawing/2014/chart" uri="{C3380CC4-5D6E-409C-BE32-E72D297353CC}">
              <c16:uniqueId val="{00000000-07FA-4EB4-82C3-DB910D894D63}"/>
            </c:ext>
          </c:extLst>
        </c:ser>
        <c:ser>
          <c:idx val="1"/>
          <c:order val="1"/>
          <c:tx>
            <c:strRef>
              <c:f>'Results - LFA grazing'!$Q$4</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grazing'!$O$15</c:f>
              <c:strCache>
                <c:ptCount val="1"/>
                <c:pt idx="0">
                  <c:v> Fixed costs </c:v>
                </c:pt>
              </c:strCache>
            </c:strRef>
          </c:cat>
          <c:val>
            <c:numRef>
              <c:f>'Results - LFA grazing'!$Q$15</c:f>
              <c:numCache>
                <c:formatCode>_-"£"* #,##0_-;\-"£"* #,##0_-;_-"£"* "-"??_-;_-@_-</c:formatCode>
                <c:ptCount val="1"/>
                <c:pt idx="0">
                  <c:v>263.83319292333613</c:v>
                </c:pt>
              </c:numCache>
            </c:numRef>
          </c:val>
          <c:extLst>
            <c:ext xmlns:c16="http://schemas.microsoft.com/office/drawing/2014/chart" uri="{C3380CC4-5D6E-409C-BE32-E72D297353CC}">
              <c16:uniqueId val="{00000001-07FA-4EB4-82C3-DB910D894D63}"/>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Net farm</a:t>
            </a:r>
            <a:r>
              <a:rPr lang="en-GB" baseline="0">
                <a:solidFill>
                  <a:sysClr val="windowText" lastClr="000000"/>
                </a:solidFill>
              </a:rPr>
              <a:t> income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LFA grazing'!$P$4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grazing'!$O$16</c:f>
              <c:strCache>
                <c:ptCount val="1"/>
                <c:pt idx="0">
                  <c:v> Net farm income </c:v>
                </c:pt>
              </c:strCache>
            </c:strRef>
          </c:cat>
          <c:val>
            <c:numRef>
              <c:f>'Results - LFA grazing'!$P$16</c:f>
              <c:numCache>
                <c:formatCode>_-"£"* #,##0_-;\-"£"* #,##0_-;_-"£"* "-"??_-;_-@_-</c:formatCode>
                <c:ptCount val="1"/>
                <c:pt idx="0">
                  <c:v>-41.139562797203475</c:v>
                </c:pt>
              </c:numCache>
            </c:numRef>
          </c:val>
          <c:extLst>
            <c:ext xmlns:c16="http://schemas.microsoft.com/office/drawing/2014/chart" uri="{C3380CC4-5D6E-409C-BE32-E72D297353CC}">
              <c16:uniqueId val="{00000002-8F19-4B58-92C1-51F7C3D5CDFF}"/>
            </c:ext>
          </c:extLst>
        </c:ser>
        <c:ser>
          <c:idx val="1"/>
          <c:order val="1"/>
          <c:tx>
            <c:strRef>
              <c:f>'Results - LFA grazing'!$Q$4</c:f>
              <c:strCache>
                <c:ptCount val="1"/>
                <c:pt idx="0">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LFA grazing'!$O$16</c:f>
              <c:strCache>
                <c:ptCount val="1"/>
                <c:pt idx="0">
                  <c:v> Net farm income </c:v>
                </c:pt>
              </c:strCache>
            </c:strRef>
          </c:cat>
          <c:val>
            <c:numRef>
              <c:f>'Results - LFA grazing'!$Q$16</c:f>
              <c:numCache>
                <c:formatCode>_-"£"* #,##0_-;\-"£"* #,##0_-;_-"£"* "-"??_-;_-@_-</c:formatCode>
                <c:ptCount val="1"/>
                <c:pt idx="0">
                  <c:v>-19.034455611705411</c:v>
                </c:pt>
              </c:numCache>
            </c:numRef>
          </c:val>
          <c:extLst>
            <c:ext xmlns:c16="http://schemas.microsoft.com/office/drawing/2014/chart" uri="{C3380CC4-5D6E-409C-BE32-E72D297353CC}">
              <c16:uniqueId val="{00000005-8F19-4B58-92C1-51F7C3D5CDFF}"/>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LFA grazing</a:t>
            </a:r>
            <a:r>
              <a:rPr lang="en-US" baseline="0"/>
              <a:t> - crop rotation</a:t>
            </a: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LFA grazing'!$P$19</c:f>
              <c:strCache>
                <c:ptCount val="1"/>
              </c:strCache>
            </c:strRef>
          </c:tx>
          <c:dPt>
            <c:idx val="0"/>
            <c:bubble3D val="0"/>
            <c:spPr>
              <a:solidFill>
                <a:srgbClr val="38572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2483-4A10-94B0-ABAC06705A4F}"/>
              </c:ext>
            </c:extLst>
          </c:dPt>
          <c:dPt>
            <c:idx val="1"/>
            <c:bubble3D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2483-4A10-94B0-ABAC06705A4F}"/>
              </c:ext>
            </c:extLst>
          </c:dPt>
          <c:dPt>
            <c:idx val="2"/>
            <c:bubble3D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2483-4A10-94B0-ABAC06705A4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2483-4A10-94B0-ABAC06705A4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2483-4A10-94B0-ABAC06705A4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2483-4A10-94B0-ABAC06705A4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LFA grazing'!$O$21:$O$23</c:f>
              <c:strCache>
                <c:ptCount val="3"/>
                <c:pt idx="0">
                  <c:v>115 ha diverse permanent pasture</c:v>
                </c:pt>
                <c:pt idx="1">
                  <c:v> 38 ha diverse herbal sward </c:v>
                </c:pt>
                <c:pt idx="2">
                  <c:v> 17 ha mixed woodland and shelterbelts </c:v>
                </c:pt>
              </c:strCache>
            </c:strRef>
          </c:cat>
          <c:val>
            <c:numRef>
              <c:f>'Results - LFA grazing'!$P$21:$P$23</c:f>
              <c:numCache>
                <c:formatCode>0.0</c:formatCode>
                <c:ptCount val="3"/>
                <c:pt idx="0">
                  <c:v>115</c:v>
                </c:pt>
                <c:pt idx="1">
                  <c:v>38</c:v>
                </c:pt>
                <c:pt idx="2">
                  <c:v>17</c:v>
                </c:pt>
              </c:numCache>
            </c:numRef>
          </c:val>
          <c:extLst>
            <c:ext xmlns:c16="http://schemas.microsoft.com/office/drawing/2014/chart" uri="{C3380CC4-5D6E-409C-BE32-E72D297353CC}">
              <c16:uniqueId val="{00000006-2483-4A10-94B0-ABAC06705A4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t>Mixed</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barChart>
        <c:barDir val="col"/>
        <c:grouping val="clustered"/>
        <c:varyColors val="0"/>
        <c:ser>
          <c:idx val="0"/>
          <c:order val="0"/>
          <c:tx>
            <c:strRef>
              <c:f>'Results - mixed'!$P$2:$P$4</c:f>
              <c:strCache>
                <c:ptCount val="3"/>
                <c:pt idx="0">
                  <c:v>Mixed - whole farm performance</c:v>
                </c:pt>
                <c:pt idx="1">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mixed'!$O$5:$O$8</c:f>
              <c:strCache>
                <c:ptCount val="4"/>
                <c:pt idx="0">
                  <c:v>Gross farm output</c:v>
                </c:pt>
                <c:pt idx="1">
                  <c:v>Gross farm variable costs</c:v>
                </c:pt>
                <c:pt idx="2">
                  <c:v>Fixed costs</c:v>
                </c:pt>
                <c:pt idx="3">
                  <c:v>Net farm income</c:v>
                </c:pt>
              </c:strCache>
            </c:strRef>
          </c:cat>
          <c:val>
            <c:numRef>
              <c:f>'Results - mixed'!$P$5:$P$8</c:f>
              <c:numCache>
                <c:formatCode>_-"£"* #,##0_-;\-"£"* #,##0_-;_-"£"* "-"??_-;_-@_-</c:formatCode>
                <c:ptCount val="4"/>
                <c:pt idx="0">
                  <c:v>132221.86412163946</c:v>
                </c:pt>
                <c:pt idx="1">
                  <c:v>66861.930568090116</c:v>
                </c:pt>
                <c:pt idx="2">
                  <c:v>66240</c:v>
                </c:pt>
                <c:pt idx="3">
                  <c:v>-880.06644645065535</c:v>
                </c:pt>
              </c:numCache>
            </c:numRef>
          </c:val>
          <c:extLst>
            <c:ext xmlns:c16="http://schemas.microsoft.com/office/drawing/2014/chart" uri="{C3380CC4-5D6E-409C-BE32-E72D297353CC}">
              <c16:uniqueId val="{00000000-F297-42D8-8968-7BF3CB34DCDB}"/>
            </c:ext>
          </c:extLst>
        </c:ser>
        <c:ser>
          <c:idx val="1"/>
          <c:order val="1"/>
          <c:tx>
            <c:strRef>
              <c:f>'Results - mixed'!$Q$2:$Q$4</c:f>
              <c:strCache>
                <c:ptCount val="3"/>
                <c:pt idx="0">
                  <c:v>Mixed - whole farm performance</c:v>
                </c:pt>
                <c:pt idx="1">
                  <c:v>Agroecological</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mixed'!$O$5:$O$8</c:f>
              <c:strCache>
                <c:ptCount val="4"/>
                <c:pt idx="0">
                  <c:v>Gross farm output</c:v>
                </c:pt>
                <c:pt idx="1">
                  <c:v>Gross farm variable costs</c:v>
                </c:pt>
                <c:pt idx="2">
                  <c:v>Fixed costs</c:v>
                </c:pt>
                <c:pt idx="3">
                  <c:v>Net farm income</c:v>
                </c:pt>
              </c:strCache>
            </c:strRef>
          </c:cat>
          <c:val>
            <c:numRef>
              <c:f>'Results - mixed'!$Q$5:$Q$8</c:f>
              <c:numCache>
                <c:formatCode>_-"£"* #,##0_-;\-"£"* #,##0_-;_-"£"* "-"??_-;_-@_-</c:formatCode>
                <c:ptCount val="4"/>
                <c:pt idx="0">
                  <c:v>194887.14751324916</c:v>
                </c:pt>
                <c:pt idx="1">
                  <c:v>97013.099070361946</c:v>
                </c:pt>
                <c:pt idx="2">
                  <c:v>127808.49847640212</c:v>
                </c:pt>
                <c:pt idx="3">
                  <c:v>-29934.450033514906</c:v>
                </c:pt>
              </c:numCache>
            </c:numRef>
          </c:val>
          <c:extLst>
            <c:ext xmlns:c16="http://schemas.microsoft.com/office/drawing/2014/chart" uri="{C3380CC4-5D6E-409C-BE32-E72D297353CC}">
              <c16:uniqueId val="{00000001-F297-42D8-8968-7BF3CB34DCDB}"/>
            </c:ext>
          </c:extLst>
        </c:ser>
        <c:dLbls>
          <c:dLblPos val="outEnd"/>
          <c:showLegendKey val="0"/>
          <c:showVal val="1"/>
          <c:showCatName val="0"/>
          <c:showSerName val="0"/>
          <c:showPercent val="0"/>
          <c:showBubbleSize val="0"/>
        </c:dLbls>
        <c:gapWidth val="219"/>
        <c:overlap val="-27"/>
        <c:axId val="1890369120"/>
        <c:axId val="1890369536"/>
      </c:barChart>
      <c:catAx>
        <c:axId val="1890369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1890369536"/>
        <c:crosses val="autoZero"/>
        <c:auto val="1"/>
        <c:lblAlgn val="ctr"/>
        <c:lblOffset val="100"/>
        <c:noMultiLvlLbl val="0"/>
      </c:catAx>
      <c:valAx>
        <c:axId val="18903695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1890369120"/>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a:t>
            </a:r>
            <a:r>
              <a:rPr lang="en-GB" baseline="0">
                <a:solidFill>
                  <a:sysClr val="windowText" lastClr="000000"/>
                </a:solidFill>
              </a:rPr>
              <a:t> farm output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mixed'!$P$4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mixed'!$O$13</c:f>
              <c:strCache>
                <c:ptCount val="1"/>
                <c:pt idx="0">
                  <c:v> Gross farm output </c:v>
                </c:pt>
              </c:strCache>
            </c:strRef>
          </c:cat>
          <c:val>
            <c:numRef>
              <c:f>'Results - mixed'!$P$13</c:f>
              <c:numCache>
                <c:formatCode>_-"£"* #,##0_-;\-"£"* #,##0_-;_-"£"* "-"??_-;_-@_-</c:formatCode>
                <c:ptCount val="1"/>
                <c:pt idx="0">
                  <c:v>1437.1941752352116</c:v>
                </c:pt>
              </c:numCache>
            </c:numRef>
          </c:val>
          <c:extLst>
            <c:ext xmlns:c16="http://schemas.microsoft.com/office/drawing/2014/chart" uri="{C3380CC4-5D6E-409C-BE32-E72D297353CC}">
              <c16:uniqueId val="{00000000-7DCC-487D-8BEC-7642912020D4}"/>
            </c:ext>
          </c:extLst>
        </c:ser>
        <c:ser>
          <c:idx val="1"/>
          <c:order val="1"/>
          <c:tx>
            <c:strRef>
              <c:f>'Results - mixed'!$Q$4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mixed'!$O$13</c:f>
              <c:strCache>
                <c:ptCount val="1"/>
                <c:pt idx="0">
                  <c:v> Gross farm output </c:v>
                </c:pt>
              </c:strCache>
            </c:strRef>
          </c:cat>
          <c:val>
            <c:numRef>
              <c:f>'Results - mixed'!$Q$13</c:f>
              <c:numCache>
                <c:formatCode>_-"£"* #,##0_-;\-"£"* #,##0_-;_-"£"* "-"??_-;_-@_-</c:formatCode>
                <c:ptCount val="1"/>
                <c:pt idx="0">
                  <c:v>2118.3385599266212</c:v>
                </c:pt>
              </c:numCache>
            </c:numRef>
          </c:val>
          <c:extLst>
            <c:ext xmlns:c16="http://schemas.microsoft.com/office/drawing/2014/chart" uri="{C3380CC4-5D6E-409C-BE32-E72D297353CC}">
              <c16:uniqueId val="{00000003-7DCC-487D-8BEC-7642912020D4}"/>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variable</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mixed'!$P$4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mixed'!$O$14</c:f>
              <c:strCache>
                <c:ptCount val="1"/>
                <c:pt idx="0">
                  <c:v> Gross farm variable costs </c:v>
                </c:pt>
              </c:strCache>
            </c:strRef>
          </c:cat>
          <c:val>
            <c:numRef>
              <c:f>'Results - mixed'!$P$14</c:f>
              <c:numCache>
                <c:formatCode>_-"£"* #,##0_-;\-"£"* #,##0_-;_-"£"* "-"??_-;_-@_-</c:formatCode>
                <c:ptCount val="1"/>
                <c:pt idx="0">
                  <c:v>726.76011487054473</c:v>
                </c:pt>
              </c:numCache>
            </c:numRef>
          </c:val>
          <c:extLst>
            <c:ext xmlns:c16="http://schemas.microsoft.com/office/drawing/2014/chart" uri="{C3380CC4-5D6E-409C-BE32-E72D297353CC}">
              <c16:uniqueId val="{00000002-50FF-4566-958C-55DA677E138F}"/>
            </c:ext>
          </c:extLst>
        </c:ser>
        <c:ser>
          <c:idx val="1"/>
          <c:order val="1"/>
          <c:tx>
            <c:strRef>
              <c:f>'Results - mixed'!$Q$4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mixed'!$O$14</c:f>
              <c:strCache>
                <c:ptCount val="1"/>
                <c:pt idx="0">
                  <c:v> Gross farm variable costs </c:v>
                </c:pt>
              </c:strCache>
            </c:strRef>
          </c:cat>
          <c:val>
            <c:numRef>
              <c:f>'Results - mixed'!$Q$14</c:f>
              <c:numCache>
                <c:formatCode>_-"£"* #,##0_-;\-"£"* #,##0_-;_-"£"* "-"??_-;_-@_-</c:formatCode>
                <c:ptCount val="1"/>
                <c:pt idx="0">
                  <c:v>1054.490207286543</c:v>
                </c:pt>
              </c:numCache>
            </c:numRef>
          </c:val>
          <c:extLst>
            <c:ext xmlns:c16="http://schemas.microsoft.com/office/drawing/2014/chart" uri="{C3380CC4-5D6E-409C-BE32-E72D297353CC}">
              <c16:uniqueId val="{00000003-50FF-4566-958C-55DA677E138F}"/>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fixed</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mixed'!$P$4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mixed'!$O$15</c:f>
              <c:strCache>
                <c:ptCount val="1"/>
                <c:pt idx="0">
                  <c:v> Fixed costs </c:v>
                </c:pt>
              </c:strCache>
            </c:strRef>
          </c:cat>
          <c:val>
            <c:numRef>
              <c:f>'Results - mixed'!$P$15</c:f>
              <c:numCache>
                <c:formatCode>_-"£"* #,##0_-;\-"£"* #,##0_-;_-"£"* "-"??_-;_-@_-</c:formatCode>
                <c:ptCount val="1"/>
                <c:pt idx="0">
                  <c:v>720</c:v>
                </c:pt>
              </c:numCache>
            </c:numRef>
          </c:val>
          <c:extLst>
            <c:ext xmlns:c16="http://schemas.microsoft.com/office/drawing/2014/chart" uri="{C3380CC4-5D6E-409C-BE32-E72D297353CC}">
              <c16:uniqueId val="{00000000-0C2B-494D-9742-B885772D41CC}"/>
            </c:ext>
          </c:extLst>
        </c:ser>
        <c:ser>
          <c:idx val="1"/>
          <c:order val="1"/>
          <c:tx>
            <c:strRef>
              <c:f>'Results - mixed'!$Q$4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mixed'!$O$15</c:f>
              <c:strCache>
                <c:ptCount val="1"/>
                <c:pt idx="0">
                  <c:v> Fixed costs </c:v>
                </c:pt>
              </c:strCache>
            </c:strRef>
          </c:cat>
          <c:val>
            <c:numRef>
              <c:f>'Results - mixed'!$Q$15</c:f>
              <c:numCache>
                <c:formatCode>_-"£"* #,##0_-;\-"£"* #,##0_-;_-"£"* "-"??_-;_-@_-</c:formatCode>
                <c:ptCount val="1"/>
                <c:pt idx="0">
                  <c:v>1389.22280952611</c:v>
                </c:pt>
              </c:numCache>
            </c:numRef>
          </c:val>
          <c:extLst>
            <c:ext xmlns:c16="http://schemas.microsoft.com/office/drawing/2014/chart" uri="{C3380CC4-5D6E-409C-BE32-E72D297353CC}">
              <c16:uniqueId val="{00000001-0C2B-494D-9742-B885772D41CC}"/>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a:t>
            </a:r>
            <a:r>
              <a:rPr lang="en-GB" baseline="0">
                <a:solidFill>
                  <a:sysClr val="windowText" lastClr="000000"/>
                </a:solidFill>
              </a:rPr>
              <a:t> farm output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cereals'!$P$3</c:f>
              <c:strCache>
                <c:ptCount val="1"/>
                <c:pt idx="0">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cereals'!$O$13</c:f>
              <c:strCache>
                <c:ptCount val="1"/>
                <c:pt idx="0">
                  <c:v>Gross farm output / ha</c:v>
                </c:pt>
              </c:strCache>
            </c:strRef>
          </c:cat>
          <c:val>
            <c:numRef>
              <c:f>'Results - cereals'!$P$13</c:f>
              <c:numCache>
                <c:formatCode>_-"£"* #,##0_-;\-"£"* #,##0_-;_-"£"* "-"??_-;_-@_-</c:formatCode>
                <c:ptCount val="1"/>
                <c:pt idx="0">
                  <c:v>1197.4159783320902</c:v>
                </c:pt>
              </c:numCache>
            </c:numRef>
          </c:val>
          <c:extLst>
            <c:ext xmlns:c16="http://schemas.microsoft.com/office/drawing/2014/chart" uri="{C3380CC4-5D6E-409C-BE32-E72D297353CC}">
              <c16:uniqueId val="{00000000-8851-4B55-803E-DFA273BE0423}"/>
            </c:ext>
          </c:extLst>
        </c:ser>
        <c:ser>
          <c:idx val="1"/>
          <c:order val="1"/>
          <c:tx>
            <c:strRef>
              <c:f>'Results - cereals'!$Q$3</c:f>
              <c:strCache>
                <c:ptCount val="1"/>
                <c:pt idx="0">
                  <c:v>Agroecological (with grazier)</c:v>
                </c:pt>
              </c:strCache>
            </c:strRef>
          </c:tx>
          <c:spPr>
            <a:solidFill>
              <a:schemeClr val="accent2"/>
            </a:solidFill>
            <a:ln>
              <a:noFill/>
            </a:ln>
            <a:effectLst/>
          </c:spPr>
          <c:invertIfNegative val="0"/>
          <c:dPt>
            <c:idx val="0"/>
            <c:invertIfNegative val="0"/>
            <c:bubble3D val="0"/>
            <c:spPr>
              <a:solidFill>
                <a:srgbClr val="009B74"/>
              </a:solidFill>
              <a:ln>
                <a:noFill/>
              </a:ln>
              <a:effectLst/>
            </c:spPr>
            <c:extLst>
              <c:ext xmlns:c16="http://schemas.microsoft.com/office/drawing/2014/chart" uri="{C3380CC4-5D6E-409C-BE32-E72D297353CC}">
                <c16:uniqueId val="{00000004-8851-4B55-803E-DFA273BE04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cereals'!$O$13</c:f>
              <c:strCache>
                <c:ptCount val="1"/>
                <c:pt idx="0">
                  <c:v>Gross farm output / ha</c:v>
                </c:pt>
              </c:strCache>
            </c:strRef>
          </c:cat>
          <c:val>
            <c:numRef>
              <c:f>'Results - cereals'!$Q$13</c:f>
              <c:numCache>
                <c:formatCode>_-"£"* #,##0_-;\-"£"* #,##0_-;_-"£"* "-"??_-;_-@_-</c:formatCode>
                <c:ptCount val="1"/>
                <c:pt idx="0">
                  <c:v>604.96199540897942</c:v>
                </c:pt>
              </c:numCache>
            </c:numRef>
          </c:val>
          <c:extLst>
            <c:ext xmlns:c16="http://schemas.microsoft.com/office/drawing/2014/chart" uri="{C3380CC4-5D6E-409C-BE32-E72D297353CC}">
              <c16:uniqueId val="{00000001-8851-4B55-803E-DFA273BE0423}"/>
            </c:ext>
          </c:extLst>
        </c:ser>
        <c:ser>
          <c:idx val="2"/>
          <c:order val="2"/>
          <c:tx>
            <c:strRef>
              <c:f>'Results - cereals'!$S$3</c:f>
              <c:strCache>
                <c:ptCount val="1"/>
                <c:pt idx="0">
                  <c:v>Agroecological (with integrated livestock)</c:v>
                </c:pt>
              </c:strCache>
            </c:strRef>
          </c:tx>
          <c:spPr>
            <a:solidFill>
              <a:srgbClr val="A5A5A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cereals'!$O$13</c:f>
              <c:strCache>
                <c:ptCount val="1"/>
                <c:pt idx="0">
                  <c:v>Gross farm output / ha</c:v>
                </c:pt>
              </c:strCache>
            </c:strRef>
          </c:cat>
          <c:val>
            <c:numRef>
              <c:f>'Results - cereals'!$R$13</c:f>
              <c:numCache>
                <c:formatCode>_-"£"* #,##0_-;\-"£"* #,##0_-;_-"£"* "-"??_-;_-@_-</c:formatCode>
                <c:ptCount val="1"/>
                <c:pt idx="0">
                  <c:v>740.77832744301361</c:v>
                </c:pt>
              </c:numCache>
            </c:numRef>
          </c:val>
          <c:extLst>
            <c:ext xmlns:c16="http://schemas.microsoft.com/office/drawing/2014/chart" uri="{C3380CC4-5D6E-409C-BE32-E72D297353CC}">
              <c16:uniqueId val="{00000003-607B-4D90-9D82-9C3E317C64DD}"/>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Net farm</a:t>
            </a:r>
            <a:r>
              <a:rPr lang="en-GB" baseline="0">
                <a:solidFill>
                  <a:sysClr val="windowText" lastClr="000000"/>
                </a:solidFill>
              </a:rPr>
              <a:t> income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mixed'!$P$4</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mixed'!$O$16</c:f>
              <c:strCache>
                <c:ptCount val="1"/>
                <c:pt idx="0">
                  <c:v> Net farm income </c:v>
                </c:pt>
              </c:strCache>
            </c:strRef>
          </c:cat>
          <c:val>
            <c:numRef>
              <c:f>'Results - mixed'!$P$16</c:f>
              <c:numCache>
                <c:formatCode>_-"£"* #,##0_-;\-"£"* #,##0_-;_-"£"* "-"??_-;_-@_-</c:formatCode>
                <c:ptCount val="1"/>
                <c:pt idx="0">
                  <c:v>-9.5659396353332102</c:v>
                </c:pt>
              </c:numCache>
            </c:numRef>
          </c:val>
          <c:extLst>
            <c:ext xmlns:c16="http://schemas.microsoft.com/office/drawing/2014/chart" uri="{C3380CC4-5D6E-409C-BE32-E72D297353CC}">
              <c16:uniqueId val="{00000002-0D1E-439F-9AF3-2B079495288E}"/>
            </c:ext>
          </c:extLst>
        </c:ser>
        <c:ser>
          <c:idx val="1"/>
          <c:order val="1"/>
          <c:tx>
            <c:strRef>
              <c:f>'Results - mixed'!$Q$4</c:f>
              <c:strCache>
                <c:ptCount val="1"/>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mixed'!$O$16</c:f>
              <c:strCache>
                <c:ptCount val="1"/>
                <c:pt idx="0">
                  <c:v> Net farm income </c:v>
                </c:pt>
              </c:strCache>
            </c:strRef>
          </c:cat>
          <c:val>
            <c:numRef>
              <c:f>'Results - mixed'!$Q$16</c:f>
              <c:numCache>
                <c:formatCode>_-"£"* #,##0_-;\-"£"* #,##0_-;_-"£"* "-"??_-;_-@_-</c:formatCode>
                <c:ptCount val="1"/>
                <c:pt idx="0">
                  <c:v>-325.37445688603157</c:v>
                </c:pt>
              </c:numCache>
            </c:numRef>
          </c:val>
          <c:extLst>
            <c:ext xmlns:c16="http://schemas.microsoft.com/office/drawing/2014/chart" uri="{C3380CC4-5D6E-409C-BE32-E72D297353CC}">
              <c16:uniqueId val="{00000005-0D1E-439F-9AF3-2B079495288E}"/>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mixed - crop rotation</a:t>
            </a:r>
          </a:p>
        </c:rich>
      </c:tx>
      <c:layout>
        <c:manualLayout>
          <c:xMode val="edge"/>
          <c:yMode val="edge"/>
          <c:x val="0.28665119047619048"/>
          <c:y val="0"/>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mixed'!$P$20</c:f>
              <c:strCache>
                <c:ptCount val="1"/>
                <c:pt idx="0">
                  <c:v>Area</c:v>
                </c:pt>
              </c:strCache>
            </c:strRef>
          </c:tx>
          <c:dPt>
            <c:idx val="0"/>
            <c:bubble3D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6E0-476A-B9D8-DA541E49ED6E}"/>
              </c:ext>
            </c:extLst>
          </c:dPt>
          <c:dPt>
            <c:idx val="1"/>
            <c:bubble3D val="0"/>
            <c:spPr>
              <a:solidFill>
                <a:srgbClr val="F6FAF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6E0-476A-B9D8-DA541E49ED6E}"/>
              </c:ext>
            </c:extLst>
          </c:dPt>
          <c:dPt>
            <c:idx val="2"/>
            <c:bubble3D val="0"/>
            <c:spPr>
              <a:solidFill>
                <a:srgbClr val="00397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6E0-476A-B9D8-DA541E49ED6E}"/>
              </c:ext>
            </c:extLst>
          </c:dPt>
          <c:dPt>
            <c:idx val="3"/>
            <c:bubble3D val="0"/>
            <c:spPr>
              <a:solidFill>
                <a:srgbClr val="A5A5A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6E0-476A-B9D8-DA541E49ED6E}"/>
              </c:ext>
            </c:extLst>
          </c:dPt>
          <c:dPt>
            <c:idx val="4"/>
            <c:bubble3D val="0"/>
            <c:spPr>
              <a:solidFill>
                <a:schemeClr val="accent5">
                  <a:lumMod val="40000"/>
                  <a:lumOff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6E0-476A-B9D8-DA541E49ED6E}"/>
              </c:ext>
            </c:extLst>
          </c:dPt>
          <c:dPt>
            <c:idx val="5"/>
            <c:bubble3D val="0"/>
            <c:spPr>
              <a:solidFill>
                <a:schemeClr val="accent4">
                  <a:lumMod val="40000"/>
                  <a:lumOff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96E0-476A-B9D8-DA541E49ED6E}"/>
              </c:ext>
            </c:extLst>
          </c:dPt>
          <c:dPt>
            <c:idx val="6"/>
            <c:bubble3D val="0"/>
            <c:spPr>
              <a:solidFill>
                <a:schemeClr val="accent2">
                  <a:lumMod val="40000"/>
                  <a:lumOff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96E0-476A-B9D8-DA541E49ED6E}"/>
              </c:ext>
            </c:extLst>
          </c:dPt>
          <c:dPt>
            <c:idx val="7"/>
            <c:bubble3D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96E0-476A-B9D8-DA541E49ED6E}"/>
              </c:ext>
            </c:extLst>
          </c:dPt>
          <c:dLbls>
            <c:dLbl>
              <c:idx val="0"/>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96E0-476A-B9D8-DA541E49ED6E}"/>
                </c:ext>
              </c:extLst>
            </c:dLbl>
            <c:dLbl>
              <c:idx val="1"/>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96E0-476A-B9D8-DA541E49ED6E}"/>
                </c:ext>
              </c:extLst>
            </c:dLbl>
            <c:dLbl>
              <c:idx val="2"/>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96E0-476A-B9D8-DA541E49ED6E}"/>
                </c:ext>
              </c:extLst>
            </c:dLbl>
            <c:dLbl>
              <c:idx val="3"/>
              <c:layout>
                <c:manualLayout>
                  <c:x val="1.229548351069165E-2"/>
                  <c:y val="-5.0120328252631708E-3"/>
                </c:manualLayout>
              </c:layout>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E0-476A-B9D8-DA541E49ED6E}"/>
                </c:ext>
              </c:extLst>
            </c:dLbl>
            <c:dLbl>
              <c:idx val="4"/>
              <c:layout>
                <c:manualLayout>
                  <c:x val="-6.3936514255596572E-2"/>
                  <c:y val="1.0024065650526296E-2"/>
                </c:manualLayout>
              </c:layout>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E0-476A-B9D8-DA541E49ED6E}"/>
                </c:ext>
              </c:extLst>
            </c:dLbl>
            <c:dLbl>
              <c:idx val="5"/>
              <c:layout>
                <c:manualLayout>
                  <c:x val="-0.11065935159622484"/>
                  <c:y val="-2.7566180538947466E-2"/>
                </c:manualLayout>
              </c:layout>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E0-476A-B9D8-DA541E49ED6E}"/>
                </c:ext>
              </c:extLst>
            </c:dLbl>
            <c:dLbl>
              <c:idx val="6"/>
              <c:layout>
                <c:manualLayout>
                  <c:x val="-1.9672773617106638E-2"/>
                  <c:y val="-4.7614311840000152E-2"/>
                </c:manualLayout>
              </c:layout>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E0-476A-B9D8-DA541E49ED6E}"/>
                </c:ext>
              </c:extLst>
            </c:dLbl>
            <c:dLbl>
              <c:idx val="7"/>
              <c:layout>
                <c:manualLayout>
                  <c:x val="2.2131944444444399E-2"/>
                  <c:y val="9.6759259259259257E-5"/>
                </c:manualLayout>
              </c:layout>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6E0-476A-B9D8-DA541E49ED6E}"/>
                </c:ext>
              </c:extLst>
            </c:dLbl>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rgbClr val="0067B2"/>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mixed'!$O$21:$O$28</c:f>
              <c:strCache>
                <c:ptCount val="8"/>
                <c:pt idx="0">
                  <c:v>30 ha grazed mixed legume and grass herbal ley</c:v>
                </c:pt>
                <c:pt idx="1">
                  <c:v> 21 ha selectively bred population cereal </c:v>
                </c:pt>
                <c:pt idx="2">
                  <c:v>13  ha intercropped legumes</c:v>
                </c:pt>
                <c:pt idx="3">
                  <c:v>13 ha lower nitrogen dependent cereal such as rye or barley </c:v>
                </c:pt>
                <c:pt idx="4">
                  <c:v>3 ha potatoes or brassicas</c:v>
                </c:pt>
                <c:pt idx="5">
                  <c:v>3 ha carrots, leeks, or onions</c:v>
                </c:pt>
                <c:pt idx="6">
                  <c:v>2 ha strips of apple trees</c:v>
                </c:pt>
                <c:pt idx="7">
                  <c:v>7 ha floristic margins and hedgerows</c:v>
                </c:pt>
              </c:strCache>
            </c:strRef>
          </c:cat>
          <c:val>
            <c:numRef>
              <c:f>'Results - mixed'!$P$21:$P$28</c:f>
              <c:numCache>
                <c:formatCode>0.0</c:formatCode>
                <c:ptCount val="8"/>
                <c:pt idx="0">
                  <c:v>30</c:v>
                </c:pt>
                <c:pt idx="1">
                  <c:v>21</c:v>
                </c:pt>
                <c:pt idx="2">
                  <c:v>13</c:v>
                </c:pt>
                <c:pt idx="3">
                  <c:v>13</c:v>
                </c:pt>
                <c:pt idx="4">
                  <c:v>3</c:v>
                </c:pt>
                <c:pt idx="5">
                  <c:v>3</c:v>
                </c:pt>
                <c:pt idx="6">
                  <c:v>2</c:v>
                </c:pt>
                <c:pt idx="7">
                  <c:v>7</c:v>
                </c:pt>
              </c:numCache>
            </c:numRef>
          </c:val>
          <c:extLst>
            <c:ext xmlns:c16="http://schemas.microsoft.com/office/drawing/2014/chart" uri="{C3380CC4-5D6E-409C-BE32-E72D297353CC}">
              <c16:uniqueId val="{00000010-96E0-476A-B9D8-DA541E49ED6E}"/>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a:t>Farm net income with conventional farm gate prices and without agri-environmental payment</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'Net farm incomes graph'!$B$81</c:f>
              <c:strCache>
                <c:ptCount val="1"/>
                <c:pt idx="0">
                  <c:v>Conventional</c:v>
                </c:pt>
              </c:strCache>
            </c:strRef>
          </c:tx>
          <c:spPr>
            <a:solidFill>
              <a:schemeClr val="accent1">
                <a:alpha val="70000"/>
              </a:schemeClr>
            </a:solidFill>
            <a:ln>
              <a:noFill/>
            </a:ln>
            <a:effectLst/>
          </c:spPr>
          <c:invertIfNegative val="0"/>
          <c:dLbls>
            <c:dLbl>
              <c:idx val="0"/>
              <c:layout>
                <c:manualLayout>
                  <c:x val="-3.1252153199531605E-3"/>
                  <c:y val="-1.5701482912335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6B-4A47-9DFC-CBE43C534A74}"/>
                </c:ext>
              </c:extLst>
            </c:dLbl>
            <c:dLbl>
              <c:idx val="1"/>
              <c:layout>
                <c:manualLayout>
                  <c:x val="-2.1876507239672025E-2"/>
                  <c:y val="-6.2803458974868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6B-4A47-9DFC-CBE43C534A74}"/>
                </c:ext>
              </c:extLst>
            </c:dLbl>
            <c:dLbl>
              <c:idx val="2"/>
              <c:layout>
                <c:manualLayout>
                  <c:x val="-1.7188684259742362E-2"/>
                  <c:y val="-3.45432624071387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6B-4A47-9DFC-CBE43C534A74}"/>
                </c:ext>
              </c:extLst>
            </c:dLbl>
            <c:dLbl>
              <c:idx val="3"/>
              <c:layout>
                <c:manualLayout>
                  <c:x val="-5.9379091079109783E-2"/>
                  <c:y val="-6.2800986300394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6B-4A47-9DFC-CBE43C534A74}"/>
                </c:ext>
              </c:extLst>
            </c:dLbl>
            <c:dLbl>
              <c:idx val="4"/>
              <c:layout>
                <c:manualLayout>
                  <c:x val="0"/>
                  <c:y val="-3.4543262407138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6B-4A47-9DFC-CBE43C534A74}"/>
                </c:ext>
              </c:extLst>
            </c:dLbl>
            <c:dLbl>
              <c:idx val="5"/>
              <c:layout>
                <c:manualLayout>
                  <c:x val="6.2504306399062924E-3"/>
                  <c:y val="-1.88417794948029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6B-4A47-9DFC-CBE43C534A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graph'!$B$82:$B$87</c:f>
              <c:numCache>
                <c:formatCode>"£"#,##0.00</c:formatCode>
                <c:ptCount val="6"/>
                <c:pt idx="0">
                  <c:v>-19879.85466114743</c:v>
                </c:pt>
                <c:pt idx="1">
                  <c:v>-19879.85466114743</c:v>
                </c:pt>
                <c:pt idx="2">
                  <c:v>1943.6991594971951</c:v>
                </c:pt>
                <c:pt idx="3">
                  <c:v>0</c:v>
                </c:pt>
                <c:pt idx="4">
                  <c:v>-43319.538933712647</c:v>
                </c:pt>
                <c:pt idx="5">
                  <c:v>-35759.584170329406</c:v>
                </c:pt>
              </c:numCache>
            </c:numRef>
          </c:val>
          <c:extLst>
            <c:ext xmlns:c16="http://schemas.microsoft.com/office/drawing/2014/chart" uri="{C3380CC4-5D6E-409C-BE32-E72D297353CC}">
              <c16:uniqueId val="{00000000-6F6B-4A47-9DFC-CBE43C534A74}"/>
            </c:ext>
          </c:extLst>
        </c:ser>
        <c:ser>
          <c:idx val="1"/>
          <c:order val="1"/>
          <c:tx>
            <c:strRef>
              <c:f>'Net farm incomes graph'!$C$81</c:f>
              <c:strCache>
                <c:ptCount val="1"/>
                <c:pt idx="0">
                  <c:v>Agroecological</c:v>
                </c:pt>
              </c:strCache>
            </c:strRef>
          </c:tx>
          <c:spPr>
            <a:solidFill>
              <a:schemeClr val="accent2">
                <a:alpha val="70000"/>
              </a:schemeClr>
            </a:solidFill>
            <a:ln>
              <a:noFill/>
            </a:ln>
            <a:effectLst/>
          </c:spPr>
          <c:invertIfNegative val="0"/>
          <c:dLbls>
            <c:dLbl>
              <c:idx val="0"/>
              <c:layout>
                <c:manualLayout>
                  <c:x val="1.0938253619835983E-2"/>
                  <c:y val="-4.3964152154540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B-4A47-9DFC-CBE43C534A74}"/>
                </c:ext>
              </c:extLst>
            </c:dLbl>
            <c:dLbl>
              <c:idx val="1"/>
              <c:layout>
                <c:manualLayout>
                  <c:x val="4.6878229799297193E-3"/>
                  <c:y val="-3.45432624071386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6B-4A47-9DFC-CBE43C534A74}"/>
                </c:ext>
              </c:extLst>
            </c:dLbl>
            <c:dLbl>
              <c:idx val="2"/>
              <c:layout>
                <c:manualLayout>
                  <c:x val="2.500172255962517E-2"/>
                  <c:y val="-3.76835589896058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6B-4A47-9DFC-CBE43C534A74}"/>
                </c:ext>
              </c:extLst>
            </c:dLbl>
            <c:dLbl>
              <c:idx val="3"/>
              <c:layout>
                <c:manualLayout>
                  <c:x val="5.7816483419133091E-2"/>
                  <c:y val="1.151428778834448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6B-4A47-9DFC-CBE43C534A74}"/>
                </c:ext>
              </c:extLst>
            </c:dLbl>
            <c:dLbl>
              <c:idx val="4"/>
              <c:layout>
                <c:manualLayout>
                  <c:x val="6.2504306399061779E-3"/>
                  <c:y val="-2.826266924220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6B-4A47-9DFC-CBE43C534A74}"/>
                </c:ext>
              </c:extLst>
            </c:dLbl>
            <c:dLbl>
              <c:idx val="5"/>
              <c:layout>
                <c:manualLayout>
                  <c:x val="3.4377368519484613E-2"/>
                  <c:y val="-8.79283043090803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6B-4A47-9DFC-CBE43C534A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graph'!$C$82:$C$87</c:f>
              <c:numCache>
                <c:formatCode>"£"#,##0.00</c:formatCode>
                <c:ptCount val="6"/>
                <c:pt idx="0">
                  <c:v>-58689.561029562137</c:v>
                </c:pt>
                <c:pt idx="1">
                  <c:v>-58899.7287527726</c:v>
                </c:pt>
                <c:pt idx="2">
                  <c:v>-8859.5479999999952</c:v>
                </c:pt>
                <c:pt idx="3">
                  <c:v>0</c:v>
                </c:pt>
                <c:pt idx="4">
                  <c:v>-34460.294530927524</c:v>
                </c:pt>
                <c:pt idx="5">
                  <c:v>-36173.985950350871</c:v>
                </c:pt>
              </c:numCache>
            </c:numRef>
          </c:val>
          <c:extLst>
            <c:ext xmlns:c16="http://schemas.microsoft.com/office/drawing/2014/chart" uri="{C3380CC4-5D6E-409C-BE32-E72D297353CC}">
              <c16:uniqueId val="{00000001-6F6B-4A47-9DFC-CBE43C534A74}"/>
            </c:ext>
          </c:extLst>
        </c:ser>
        <c:dLbls>
          <c:dLblPos val="outEnd"/>
          <c:showLegendKey val="0"/>
          <c:showVal val="1"/>
          <c:showCatName val="0"/>
          <c:showSerName val="0"/>
          <c:showPercent val="0"/>
          <c:showBubbleSize val="0"/>
        </c:dLbls>
        <c:gapWidth val="80"/>
        <c:overlap val="25"/>
        <c:axId val="560730960"/>
        <c:axId val="560727632"/>
      </c:barChart>
      <c:catAx>
        <c:axId val="56073096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560727632"/>
        <c:crosses val="autoZero"/>
        <c:auto val="1"/>
        <c:lblAlgn val="ctr"/>
        <c:lblOffset val="100"/>
        <c:noMultiLvlLbl val="0"/>
      </c:catAx>
      <c:valAx>
        <c:axId val="560727632"/>
        <c:scaling>
          <c:orientation val="minMax"/>
          <c:max val="200000"/>
          <c:min val="-200000"/>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560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a:t>Farm net income with agri-environment payment</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'Net farm incomes graph'!$D$81</c:f>
              <c:strCache>
                <c:ptCount val="1"/>
                <c:pt idx="0">
                  <c:v>Conventional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graph'!$D$82:$D$87</c:f>
              <c:numCache>
                <c:formatCode>"£"#,##0.00</c:formatCode>
                <c:ptCount val="6"/>
                <c:pt idx="0">
                  <c:v>17661.128945409953</c:v>
                </c:pt>
                <c:pt idx="1">
                  <c:v>17661.128945409953</c:v>
                </c:pt>
                <c:pt idx="2">
                  <c:v>7521.2167239000064</c:v>
                </c:pt>
                <c:pt idx="3">
                  <c:v>0</c:v>
                </c:pt>
                <c:pt idx="4">
                  <c:v>-21627.473359942149</c:v>
                </c:pt>
                <c:pt idx="5">
                  <c:v>-831.15325698046217</c:v>
                </c:pt>
              </c:numCache>
            </c:numRef>
          </c:val>
          <c:extLst>
            <c:ext xmlns:c16="http://schemas.microsoft.com/office/drawing/2014/chart" uri="{C3380CC4-5D6E-409C-BE32-E72D297353CC}">
              <c16:uniqueId val="{00000006-FA4D-4069-8D84-8729C4EB5AF2}"/>
            </c:ext>
          </c:extLst>
        </c:ser>
        <c:ser>
          <c:idx val="1"/>
          <c:order val="1"/>
          <c:tx>
            <c:strRef>
              <c:f>'Net farm incomes graph'!$E$81</c:f>
              <c:strCache>
                <c:ptCount val="1"/>
                <c:pt idx="0">
                  <c:v>Agroecological</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graph'!$E$82:$E$87</c:f>
              <c:numCache>
                <c:formatCode>"£"#,##0.00</c:formatCode>
                <c:ptCount val="6"/>
                <c:pt idx="0">
                  <c:v>72703.88159338868</c:v>
                </c:pt>
                <c:pt idx="1">
                  <c:v>72493.713870178224</c:v>
                </c:pt>
                <c:pt idx="2">
                  <c:v>10661.763475409844</c:v>
                </c:pt>
                <c:pt idx="3">
                  <c:v>0</c:v>
                </c:pt>
                <c:pt idx="4">
                  <c:v>41461.934977269222</c:v>
                </c:pt>
                <c:pt idx="5">
                  <c:v>86075.522246370441</c:v>
                </c:pt>
              </c:numCache>
            </c:numRef>
          </c:val>
          <c:extLst>
            <c:ext xmlns:c16="http://schemas.microsoft.com/office/drawing/2014/chart" uri="{C3380CC4-5D6E-409C-BE32-E72D297353CC}">
              <c16:uniqueId val="{0000000D-FA4D-4069-8D84-8729C4EB5AF2}"/>
            </c:ext>
          </c:extLst>
        </c:ser>
        <c:dLbls>
          <c:dLblPos val="outEnd"/>
          <c:showLegendKey val="0"/>
          <c:showVal val="1"/>
          <c:showCatName val="0"/>
          <c:showSerName val="0"/>
          <c:showPercent val="0"/>
          <c:showBubbleSize val="0"/>
        </c:dLbls>
        <c:gapWidth val="80"/>
        <c:overlap val="25"/>
        <c:axId val="560730960"/>
        <c:axId val="560727632"/>
      </c:barChart>
      <c:catAx>
        <c:axId val="56073096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560727632"/>
        <c:crosses val="autoZero"/>
        <c:auto val="1"/>
        <c:lblAlgn val="ctr"/>
        <c:lblOffset val="100"/>
        <c:noMultiLvlLbl val="0"/>
      </c:catAx>
      <c:valAx>
        <c:axId val="560727632"/>
        <c:scaling>
          <c:orientation val="minMax"/>
          <c:max val="200000"/>
          <c:min val="-200000"/>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560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a:t>Farm net income with increased farm gate price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'Net farm incomes graph'!$F$81</c:f>
              <c:strCache>
                <c:ptCount val="1"/>
                <c:pt idx="0">
                  <c:v>Conventional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graph'!$F$82:$F$87</c:f>
              <c:numCache>
                <c:formatCode>"£"#,##0.00</c:formatCode>
                <c:ptCount val="6"/>
                <c:pt idx="0">
                  <c:v>-4599.7415532268933</c:v>
                </c:pt>
                <c:pt idx="1">
                  <c:v>-4599.7415532268933</c:v>
                </c:pt>
                <c:pt idx="2">
                  <c:v>5049.3151565865628</c:v>
                </c:pt>
                <c:pt idx="3">
                  <c:v>0</c:v>
                </c:pt>
                <c:pt idx="4">
                  <c:v>-41977.870465700107</c:v>
                </c:pt>
                <c:pt idx="5">
                  <c:v>-35759.584170329406</c:v>
                </c:pt>
              </c:numCache>
            </c:numRef>
          </c:val>
          <c:extLst>
            <c:ext xmlns:c16="http://schemas.microsoft.com/office/drawing/2014/chart" uri="{C3380CC4-5D6E-409C-BE32-E72D297353CC}">
              <c16:uniqueId val="{00000006-9C23-429E-B541-4EFCEA8E94C5}"/>
            </c:ext>
          </c:extLst>
        </c:ser>
        <c:ser>
          <c:idx val="1"/>
          <c:order val="1"/>
          <c:tx>
            <c:strRef>
              <c:f>'Net farm incomes graph'!$G$81</c:f>
              <c:strCache>
                <c:ptCount val="1"/>
                <c:pt idx="0">
                  <c:v>Agroecological</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graph'!$G$82:$G$87</c:f>
              <c:numCache>
                <c:formatCode>"£"#,##0.00</c:formatCode>
                <c:ptCount val="6"/>
                <c:pt idx="0">
                  <c:v>-64906.813562609066</c:v>
                </c:pt>
                <c:pt idx="1">
                  <c:v>-21139.527870923368</c:v>
                </c:pt>
                <c:pt idx="2">
                  <c:v>-17340.882500000007</c:v>
                </c:pt>
                <c:pt idx="3">
                  <c:v>0</c:v>
                </c:pt>
                <c:pt idx="4">
                  <c:v>6581.6078377391277</c:v>
                </c:pt>
                <c:pt idx="5">
                  <c:v>-24070.273420350881</c:v>
                </c:pt>
              </c:numCache>
            </c:numRef>
          </c:val>
          <c:extLst>
            <c:ext xmlns:c16="http://schemas.microsoft.com/office/drawing/2014/chart" uri="{C3380CC4-5D6E-409C-BE32-E72D297353CC}">
              <c16:uniqueId val="{0000000D-9C23-429E-B541-4EFCEA8E94C5}"/>
            </c:ext>
          </c:extLst>
        </c:ser>
        <c:dLbls>
          <c:dLblPos val="outEnd"/>
          <c:showLegendKey val="0"/>
          <c:showVal val="1"/>
          <c:showCatName val="0"/>
          <c:showSerName val="0"/>
          <c:showPercent val="0"/>
          <c:showBubbleSize val="0"/>
        </c:dLbls>
        <c:gapWidth val="80"/>
        <c:overlap val="25"/>
        <c:axId val="560730960"/>
        <c:axId val="560727632"/>
      </c:barChart>
      <c:catAx>
        <c:axId val="56073096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560727632"/>
        <c:crosses val="autoZero"/>
        <c:auto val="1"/>
        <c:lblAlgn val="ctr"/>
        <c:lblOffset val="100"/>
        <c:noMultiLvlLbl val="0"/>
      </c:catAx>
      <c:valAx>
        <c:axId val="560727632"/>
        <c:scaling>
          <c:orientation val="minMax"/>
          <c:max val="200000"/>
          <c:min val="-200000"/>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560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a:t>Farm net income with high N fertiliser</a:t>
            </a:r>
            <a:r>
              <a:rPr lang="en-GB" baseline="0"/>
              <a:t> costs</a:t>
            </a:r>
            <a:endParaRPr lang="en-GB"/>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'Net farm incomes graph'!$H$81</c:f>
              <c:strCache>
                <c:ptCount val="1"/>
                <c:pt idx="0">
                  <c:v>Conventional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graph'!$H$82:$H$87</c:f>
              <c:numCache>
                <c:formatCode>"£"#,##0.00</c:formatCode>
                <c:ptCount val="6"/>
                <c:pt idx="0">
                  <c:v>-19268.65013683062</c:v>
                </c:pt>
                <c:pt idx="1">
                  <c:v>-19268.65013683062</c:v>
                </c:pt>
                <c:pt idx="2">
                  <c:v>2067.9237993807619</c:v>
                </c:pt>
                <c:pt idx="3">
                  <c:v>0</c:v>
                </c:pt>
                <c:pt idx="4">
                  <c:v>-43265.872194992146</c:v>
                </c:pt>
                <c:pt idx="5">
                  <c:v>-35759.584170329406</c:v>
                </c:pt>
              </c:numCache>
            </c:numRef>
          </c:val>
          <c:extLst>
            <c:ext xmlns:c16="http://schemas.microsoft.com/office/drawing/2014/chart" uri="{C3380CC4-5D6E-409C-BE32-E72D297353CC}">
              <c16:uniqueId val="{00000000-BD2F-44CC-A5B5-3283837EF11A}"/>
            </c:ext>
          </c:extLst>
        </c:ser>
        <c:ser>
          <c:idx val="1"/>
          <c:order val="1"/>
          <c:tx>
            <c:strRef>
              <c:f>'Net farm incomes graph'!$I$81</c:f>
              <c:strCache>
                <c:ptCount val="1"/>
                <c:pt idx="0">
                  <c:v>Agroecological</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graph'!$I$82:$I$87</c:f>
              <c:numCache>
                <c:formatCode>"£"#,##0.00</c:formatCode>
                <c:ptCount val="6"/>
                <c:pt idx="0">
                  <c:v>-59029.978630962141</c:v>
                </c:pt>
                <c:pt idx="1">
                  <c:v>-59153.3349887726</c:v>
                </c:pt>
                <c:pt idx="2">
                  <c:v>-8859.5479999999952</c:v>
                </c:pt>
                <c:pt idx="3">
                  <c:v>0</c:v>
                </c:pt>
                <c:pt idx="4">
                  <c:v>-35970.674434405788</c:v>
                </c:pt>
                <c:pt idx="5">
                  <c:v>-37088.16326035087</c:v>
                </c:pt>
              </c:numCache>
            </c:numRef>
          </c:val>
          <c:extLst>
            <c:ext xmlns:c16="http://schemas.microsoft.com/office/drawing/2014/chart" uri="{C3380CC4-5D6E-409C-BE32-E72D297353CC}">
              <c16:uniqueId val="{00000001-BD2F-44CC-A5B5-3283837EF11A}"/>
            </c:ext>
          </c:extLst>
        </c:ser>
        <c:dLbls>
          <c:dLblPos val="outEnd"/>
          <c:showLegendKey val="0"/>
          <c:showVal val="1"/>
          <c:showCatName val="0"/>
          <c:showSerName val="0"/>
          <c:showPercent val="0"/>
          <c:showBubbleSize val="0"/>
        </c:dLbls>
        <c:gapWidth val="80"/>
        <c:overlap val="25"/>
        <c:axId val="560730960"/>
        <c:axId val="560727632"/>
      </c:barChart>
      <c:catAx>
        <c:axId val="56073096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560727632"/>
        <c:crosses val="autoZero"/>
        <c:auto val="1"/>
        <c:lblAlgn val="ctr"/>
        <c:lblOffset val="100"/>
        <c:noMultiLvlLbl val="0"/>
      </c:catAx>
      <c:valAx>
        <c:axId val="560727632"/>
        <c:scaling>
          <c:orientation val="minMax"/>
          <c:max val="200000"/>
          <c:min val="-200000"/>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560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a:t>Farm net income with high N fertiliser</a:t>
            </a:r>
            <a:r>
              <a:rPr lang="en-GB" baseline="0"/>
              <a:t> costs, agri env, and increased farm gate price</a:t>
            </a:r>
            <a:endParaRPr lang="en-GB"/>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'Net farm incomes graph'!$J$81</c:f>
              <c:strCache>
                <c:ptCount val="1"/>
                <c:pt idx="0">
                  <c:v>Conventional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graph'!$J$82:$J$87</c:f>
              <c:numCache>
                <c:formatCode>"£"#,##0.00</c:formatCode>
                <c:ptCount val="6"/>
                <c:pt idx="0">
                  <c:v>18272.333469726764</c:v>
                </c:pt>
                <c:pt idx="1">
                  <c:v>18272.333469726764</c:v>
                </c:pt>
                <c:pt idx="2">
                  <c:v>7645.4413637835733</c:v>
                </c:pt>
                <c:pt idx="3">
                  <c:v>0</c:v>
                </c:pt>
                <c:pt idx="4">
                  <c:v>-21573.806621221647</c:v>
                </c:pt>
                <c:pt idx="5">
                  <c:v>-831.15325698046217</c:v>
                </c:pt>
              </c:numCache>
            </c:numRef>
          </c:val>
          <c:extLst>
            <c:ext xmlns:c16="http://schemas.microsoft.com/office/drawing/2014/chart" uri="{C3380CC4-5D6E-409C-BE32-E72D297353CC}">
              <c16:uniqueId val="{00000000-441D-4EDE-AEE8-8F128C2DB8BF}"/>
            </c:ext>
          </c:extLst>
        </c:ser>
        <c:ser>
          <c:idx val="1"/>
          <c:order val="1"/>
          <c:tx>
            <c:strRef>
              <c:f>'Net farm incomes graph'!$K$81</c:f>
              <c:strCache>
                <c:ptCount val="1"/>
                <c:pt idx="0">
                  <c:v>Agroecological</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graph'!$K$82:$K$87</c:f>
              <c:numCache>
                <c:formatCode>"£"#,##0.00</c:formatCode>
                <c:ptCount val="6"/>
                <c:pt idx="0">
                  <c:v>72363.463991988683</c:v>
                </c:pt>
                <c:pt idx="1">
                  <c:v>72240.107634178217</c:v>
                </c:pt>
                <c:pt idx="2">
                  <c:v>10661.763475409844</c:v>
                </c:pt>
                <c:pt idx="3">
                  <c:v>0</c:v>
                </c:pt>
                <c:pt idx="4">
                  <c:v>39951.555073790958</c:v>
                </c:pt>
                <c:pt idx="5">
                  <c:v>85161.344936370442</c:v>
                </c:pt>
              </c:numCache>
            </c:numRef>
          </c:val>
          <c:extLst>
            <c:ext xmlns:c16="http://schemas.microsoft.com/office/drawing/2014/chart" uri="{C3380CC4-5D6E-409C-BE32-E72D297353CC}">
              <c16:uniqueId val="{00000001-441D-4EDE-AEE8-8F128C2DB8BF}"/>
            </c:ext>
          </c:extLst>
        </c:ser>
        <c:dLbls>
          <c:dLblPos val="outEnd"/>
          <c:showLegendKey val="0"/>
          <c:showVal val="1"/>
          <c:showCatName val="0"/>
          <c:showSerName val="0"/>
          <c:showPercent val="0"/>
          <c:showBubbleSize val="0"/>
        </c:dLbls>
        <c:gapWidth val="80"/>
        <c:overlap val="25"/>
        <c:axId val="560730960"/>
        <c:axId val="560727632"/>
      </c:barChart>
      <c:catAx>
        <c:axId val="56073096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560727632"/>
        <c:crosses val="autoZero"/>
        <c:auto val="1"/>
        <c:lblAlgn val="ctr"/>
        <c:lblOffset val="100"/>
        <c:noMultiLvlLbl val="0"/>
      </c:catAx>
      <c:valAx>
        <c:axId val="560727632"/>
        <c:scaling>
          <c:orientation val="minMax"/>
          <c:max val="200000"/>
          <c:min val="-200000"/>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560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GB"/>
              <a:t>Farm net income with high N fertiliser</a:t>
            </a:r>
            <a:r>
              <a:rPr lang="en-GB" baseline="0"/>
              <a:t> costs, agri env, and crop market price</a:t>
            </a:r>
            <a:endParaRPr lang="en-GB"/>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'Net farm incomes graph'!$L$81</c:f>
              <c:strCache>
                <c:ptCount val="1"/>
                <c:pt idx="0">
                  <c:v>Conventional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graph'!$L$82:$L$87</c:f>
              <c:numCache>
                <c:formatCode>"£"#,##0.00</c:formatCode>
                <c:ptCount val="6"/>
                <c:pt idx="0">
                  <c:v>192683.43557208715</c:v>
                </c:pt>
                <c:pt idx="1">
                  <c:v>192683.43557208715</c:v>
                </c:pt>
                <c:pt idx="2">
                  <c:v>45073.97001233037</c:v>
                </c:pt>
                <c:pt idx="3">
                  <c:v>0</c:v>
                </c:pt>
                <c:pt idx="4">
                  <c:v>-18927.390567081147</c:v>
                </c:pt>
                <c:pt idx="5">
                  <c:v>-15914.10894042538</c:v>
                </c:pt>
              </c:numCache>
            </c:numRef>
          </c:val>
          <c:extLst>
            <c:ext xmlns:c16="http://schemas.microsoft.com/office/drawing/2014/chart" uri="{C3380CC4-5D6E-409C-BE32-E72D297353CC}">
              <c16:uniqueId val="{00000000-55B6-43BF-BFC6-1E6E8D28045A}"/>
            </c:ext>
          </c:extLst>
        </c:ser>
        <c:ser>
          <c:idx val="1"/>
          <c:order val="1"/>
          <c:tx>
            <c:strRef>
              <c:f>'Net farm incomes graph'!$M$81</c:f>
              <c:strCache>
                <c:ptCount val="1"/>
                <c:pt idx="0">
                  <c:v>Agroecological</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'Net farm incomes graph'!$A$82:$A$87</c:f>
              <c:strCache>
                <c:ptCount val="6"/>
                <c:pt idx="0">
                  <c:v>Cereals with grazier</c:v>
                </c:pt>
                <c:pt idx="1">
                  <c:v>Cereals with livestock integrated</c:v>
                </c:pt>
                <c:pt idx="2">
                  <c:v>Horticulture</c:v>
                </c:pt>
                <c:pt idx="3">
                  <c:v>Lowland Dairy</c:v>
                </c:pt>
                <c:pt idx="4">
                  <c:v>Lowland Grazing</c:v>
                </c:pt>
                <c:pt idx="5">
                  <c:v>LFA Grazing</c:v>
                </c:pt>
              </c:strCache>
            </c:strRef>
          </c:cat>
          <c:val>
            <c:numRef>
              <c:f>'Net farm incomes graph'!$M$82:$M$87</c:f>
              <c:numCache>
                <c:formatCode>"£"#,##0.00</c:formatCode>
                <c:ptCount val="6"/>
                <c:pt idx="0">
                  <c:v>111537.75648534179</c:v>
                </c:pt>
                <c:pt idx="1">
                  <c:v>95188.919505444122</c:v>
                </c:pt>
                <c:pt idx="2">
                  <c:v>22379.383975409841</c:v>
                </c:pt>
                <c:pt idx="3">
                  <c:v>0</c:v>
                </c:pt>
                <c:pt idx="4">
                  <c:v>33914.662273790964</c:v>
                </c:pt>
                <c:pt idx="5">
                  <c:v>75015.937986370438</c:v>
                </c:pt>
              </c:numCache>
            </c:numRef>
          </c:val>
          <c:extLst>
            <c:ext xmlns:c16="http://schemas.microsoft.com/office/drawing/2014/chart" uri="{C3380CC4-5D6E-409C-BE32-E72D297353CC}">
              <c16:uniqueId val="{00000001-55B6-43BF-BFC6-1E6E8D28045A}"/>
            </c:ext>
          </c:extLst>
        </c:ser>
        <c:dLbls>
          <c:dLblPos val="outEnd"/>
          <c:showLegendKey val="0"/>
          <c:showVal val="1"/>
          <c:showCatName val="0"/>
          <c:showSerName val="0"/>
          <c:showPercent val="0"/>
          <c:showBubbleSize val="0"/>
        </c:dLbls>
        <c:gapWidth val="80"/>
        <c:overlap val="25"/>
        <c:axId val="560730960"/>
        <c:axId val="560727632"/>
      </c:barChart>
      <c:catAx>
        <c:axId val="56073096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560727632"/>
        <c:crosses val="autoZero"/>
        <c:auto val="1"/>
        <c:lblAlgn val="ctr"/>
        <c:lblOffset val="100"/>
        <c:noMultiLvlLbl val="0"/>
      </c:catAx>
      <c:valAx>
        <c:axId val="560727632"/>
        <c:scaling>
          <c:orientation val="minMax"/>
          <c:max val="200000"/>
          <c:min val="-200000"/>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56073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income / ha</a:t>
            </a:r>
            <a:r>
              <a:rPr lang="en-GB" baseline="0"/>
              <a:t> - conventional farm gate price. No subsidy. </a:t>
            </a:r>
            <a:endParaRPr lang="en-GB"/>
          </a:p>
        </c:rich>
      </c:tx>
      <c:layout>
        <c:manualLayout>
          <c:xMode val="edge"/>
          <c:yMode val="edge"/>
          <c:x val="0.1005470035272006"/>
          <c:y val="1.4980438437327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'Net farm incomes graph'!$B$91</c:f>
              <c:strCache>
                <c:ptCount val="1"/>
                <c:pt idx="0">
                  <c:v>Conventional</c:v>
                </c:pt>
              </c:strCache>
            </c:strRef>
          </c:tx>
          <c:spPr>
            <a:solidFill>
              <a:schemeClr val="accent1"/>
            </a:solidFill>
            <a:ln>
              <a:noFill/>
            </a:ln>
            <a:effectLst/>
          </c:spPr>
          <c:invertIfNegative val="0"/>
          <c:dLbls>
            <c:delete val="1"/>
          </c:dLbls>
          <c:val>
            <c:numRef>
              <c:f>'Net farm incomes graph'!$C$91</c:f>
              <c:numCache>
                <c:formatCode>General</c:formatCode>
                <c:ptCount val="1"/>
                <c:pt idx="0">
                  <c:v>0</c:v>
                </c:pt>
              </c:numCache>
            </c:numRef>
          </c:val>
          <c:extLst>
            <c:ext xmlns:c16="http://schemas.microsoft.com/office/drawing/2014/chart" uri="{C3380CC4-5D6E-409C-BE32-E72D297353CC}">
              <c16:uniqueId val="{00000000-C0D1-457C-AAD5-F9E1B2F34DC9}"/>
            </c:ext>
          </c:extLst>
        </c:ser>
        <c:ser>
          <c:idx val="1"/>
          <c:order val="1"/>
          <c:tx>
            <c:strRef>
              <c:f>'Net farm incomes graph'!$A$92</c:f>
              <c:strCache>
                <c:ptCount val="1"/>
                <c:pt idx="0">
                  <c:v>Cereals with grazier</c:v>
                </c:pt>
              </c:strCache>
            </c:strRef>
          </c:tx>
          <c:spPr>
            <a:solidFill>
              <a:schemeClr val="accent2"/>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4-C0D1-457C-AAD5-F9E1B2F34DC9}"/>
              </c:ext>
            </c:extLst>
          </c:dPt>
          <c:dPt>
            <c:idx val="1"/>
            <c:invertIfNegative val="0"/>
            <c:bubble3D val="0"/>
            <c:spPr>
              <a:solidFill>
                <a:srgbClr val="009B74"/>
              </a:solidFill>
              <a:ln>
                <a:noFill/>
              </a:ln>
              <a:effectLst/>
            </c:spPr>
            <c:extLst>
              <c:ext xmlns:c16="http://schemas.microsoft.com/office/drawing/2014/chart" uri="{C3380CC4-5D6E-409C-BE32-E72D297353CC}">
                <c16:uniqueId val="{00000003-C0D1-457C-AAD5-F9E1B2F34D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'Net farm incomes graph'!$B$92:$C$92</c:f>
              <c:numCache>
                <c:formatCode>"£"#,##0.00</c:formatCode>
                <c:ptCount val="2"/>
                <c:pt idx="0">
                  <c:v>-113.59916949227103</c:v>
                </c:pt>
                <c:pt idx="1">
                  <c:v>-335.36892016892648</c:v>
                </c:pt>
              </c:numCache>
            </c:numRef>
          </c:val>
          <c:extLst>
            <c:ext xmlns:c16="http://schemas.microsoft.com/office/drawing/2014/chart" uri="{C3380CC4-5D6E-409C-BE32-E72D297353CC}">
              <c16:uniqueId val="{00000001-C0D1-457C-AAD5-F9E1B2F34DC9}"/>
            </c:ext>
          </c:extLst>
        </c:ser>
        <c:dLbls>
          <c:dLblPos val="outEnd"/>
          <c:showLegendKey val="0"/>
          <c:showVal val="1"/>
          <c:showCatName val="0"/>
          <c:showSerName val="0"/>
          <c:showPercent val="0"/>
          <c:showBubbleSize val="0"/>
        </c:dLbls>
        <c:gapWidth val="10"/>
        <c:overlap val="-27"/>
        <c:axId val="675796351"/>
        <c:axId val="675793439"/>
      </c:barChart>
      <c:catAx>
        <c:axId val="675796351"/>
        <c:scaling>
          <c:orientation val="minMax"/>
        </c:scaling>
        <c:delete val="1"/>
        <c:axPos val="b"/>
        <c:majorTickMark val="out"/>
        <c:minorTickMark val="none"/>
        <c:tickLblPos val="nextTo"/>
        <c:crossAx val="675793439"/>
        <c:crosses val="autoZero"/>
        <c:auto val="1"/>
        <c:lblAlgn val="ctr"/>
        <c:lblOffset val="100"/>
        <c:noMultiLvlLbl val="0"/>
      </c:catAx>
      <c:valAx>
        <c:axId val="67579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9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income / ha</a:t>
            </a:r>
            <a:r>
              <a:rPr lang="en-GB" baseline="0"/>
              <a:t> - with payment for public goods. </a:t>
            </a:r>
            <a:endParaRPr lang="en-GB"/>
          </a:p>
        </c:rich>
      </c:tx>
      <c:layout>
        <c:manualLayout>
          <c:xMode val="edge"/>
          <c:yMode val="edge"/>
          <c:x val="0.15641452758656338"/>
          <c:y val="1.49803094175353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'Net farm incomes graph'!$B$91</c:f>
              <c:strCache>
                <c:ptCount val="1"/>
                <c:pt idx="0">
                  <c:v>Conventional</c:v>
                </c:pt>
              </c:strCache>
            </c:strRef>
          </c:tx>
          <c:spPr>
            <a:solidFill>
              <a:schemeClr val="accent1"/>
            </a:solidFill>
            <a:ln>
              <a:noFill/>
            </a:ln>
            <a:effectLst/>
          </c:spPr>
          <c:invertIfNegative val="0"/>
          <c:dLbls>
            <c:delete val="1"/>
          </c:dLbls>
          <c:val>
            <c:numRef>
              <c:f>'Net farm incomes graph'!$C$91</c:f>
              <c:numCache>
                <c:formatCode>General</c:formatCode>
                <c:ptCount val="1"/>
                <c:pt idx="0">
                  <c:v>0</c:v>
                </c:pt>
              </c:numCache>
            </c:numRef>
          </c:val>
          <c:extLst>
            <c:ext xmlns:c16="http://schemas.microsoft.com/office/drawing/2014/chart" uri="{C3380CC4-5D6E-409C-BE32-E72D297353CC}">
              <c16:uniqueId val="{00000000-FC6B-431D-8F2B-1EA2000E3702}"/>
            </c:ext>
          </c:extLst>
        </c:ser>
        <c:ser>
          <c:idx val="1"/>
          <c:order val="1"/>
          <c:tx>
            <c:strRef>
              <c:f>'Net farm incomes graph'!$A$92</c:f>
              <c:strCache>
                <c:ptCount val="1"/>
                <c:pt idx="0">
                  <c:v>Cereals with grazier</c:v>
                </c:pt>
              </c:strCache>
            </c:strRef>
          </c:tx>
          <c:spPr>
            <a:solidFill>
              <a:schemeClr val="accent2"/>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2-FC6B-431D-8F2B-1EA2000E3702}"/>
              </c:ext>
            </c:extLst>
          </c:dPt>
          <c:dPt>
            <c:idx val="1"/>
            <c:invertIfNegative val="0"/>
            <c:bubble3D val="0"/>
            <c:spPr>
              <a:solidFill>
                <a:srgbClr val="009B74"/>
              </a:solidFill>
              <a:ln>
                <a:noFill/>
              </a:ln>
              <a:effectLst/>
            </c:spPr>
            <c:extLst>
              <c:ext xmlns:c16="http://schemas.microsoft.com/office/drawing/2014/chart" uri="{C3380CC4-5D6E-409C-BE32-E72D297353CC}">
                <c16:uniqueId val="{00000004-FC6B-431D-8F2B-1EA2000E37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'Net farm incomes graph'!$D$92:$E$92</c:f>
              <c:numCache>
                <c:formatCode>"£"#,##0.00</c:formatCode>
                <c:ptCount val="2"/>
                <c:pt idx="0">
                  <c:v>100.92073683091402</c:v>
                </c:pt>
                <c:pt idx="1">
                  <c:v>415.45075196222103</c:v>
                </c:pt>
              </c:numCache>
            </c:numRef>
          </c:val>
          <c:extLst>
            <c:ext xmlns:c16="http://schemas.microsoft.com/office/drawing/2014/chart" uri="{C3380CC4-5D6E-409C-BE32-E72D297353CC}">
              <c16:uniqueId val="{00000005-FC6B-431D-8F2B-1EA2000E3702}"/>
            </c:ext>
          </c:extLst>
        </c:ser>
        <c:dLbls>
          <c:dLblPos val="outEnd"/>
          <c:showLegendKey val="0"/>
          <c:showVal val="1"/>
          <c:showCatName val="0"/>
          <c:showSerName val="0"/>
          <c:showPercent val="0"/>
          <c:showBubbleSize val="0"/>
        </c:dLbls>
        <c:gapWidth val="10"/>
        <c:overlap val="-27"/>
        <c:axId val="675796351"/>
        <c:axId val="675793439"/>
      </c:barChart>
      <c:catAx>
        <c:axId val="675796351"/>
        <c:scaling>
          <c:orientation val="minMax"/>
        </c:scaling>
        <c:delete val="1"/>
        <c:axPos val="b"/>
        <c:majorTickMark val="out"/>
        <c:minorTickMark val="none"/>
        <c:tickLblPos val="nextTo"/>
        <c:crossAx val="675793439"/>
        <c:crosses val="autoZero"/>
        <c:auto val="1"/>
        <c:lblAlgn val="ctr"/>
        <c:lblOffset val="100"/>
        <c:noMultiLvlLbl val="0"/>
      </c:catAx>
      <c:valAx>
        <c:axId val="67579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9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variable</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cereals'!$P$3</c:f>
              <c:strCache>
                <c:ptCount val="1"/>
                <c:pt idx="0">
                  <c:v>Conventional</c:v>
                </c:pt>
              </c:strCache>
            </c:strRef>
          </c:tx>
          <c:spPr>
            <a:solidFill>
              <a:schemeClr val="accent1"/>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A-7D1E-4753-BE77-6D3274DE1B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cereals'!$O$14</c:f>
              <c:strCache>
                <c:ptCount val="1"/>
                <c:pt idx="0">
                  <c:v>Gross farm variable costs / ha</c:v>
                </c:pt>
              </c:strCache>
            </c:strRef>
          </c:cat>
          <c:val>
            <c:numRef>
              <c:f>'Results - cereals'!$P$14</c:f>
              <c:numCache>
                <c:formatCode>_-"£"* #,##0_-;\-"£"* #,##0_-;_-"£"* "-"??_-;_-@_-</c:formatCode>
                <c:ptCount val="1"/>
                <c:pt idx="0">
                  <c:v>600.15602175633251</c:v>
                </c:pt>
              </c:numCache>
            </c:numRef>
          </c:val>
          <c:extLst>
            <c:ext xmlns:c16="http://schemas.microsoft.com/office/drawing/2014/chart" uri="{C3380CC4-5D6E-409C-BE32-E72D297353CC}">
              <c16:uniqueId val="{00000000-7D1E-4753-BE77-6D3274DE1BE3}"/>
            </c:ext>
          </c:extLst>
        </c:ser>
        <c:ser>
          <c:idx val="1"/>
          <c:order val="1"/>
          <c:tx>
            <c:strRef>
              <c:f>'Results - cereals'!$Q$3</c:f>
              <c:strCache>
                <c:ptCount val="1"/>
                <c:pt idx="0">
                  <c:v>Agroecological (with grazier)</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cereals'!$O$14</c:f>
              <c:strCache>
                <c:ptCount val="1"/>
                <c:pt idx="0">
                  <c:v>Gross farm variable costs / ha</c:v>
                </c:pt>
              </c:strCache>
            </c:strRef>
          </c:cat>
          <c:val>
            <c:numRef>
              <c:f>'Results - cereals'!$Q$14</c:f>
              <c:numCache>
                <c:formatCode>_-"£"* #,##0_-;\-"£"* #,##0_-;_-"£"* "-"??_-;_-@_-</c:formatCode>
                <c:ptCount val="1"/>
                <c:pt idx="0">
                  <c:v>117.49221311602041</c:v>
                </c:pt>
              </c:numCache>
            </c:numRef>
          </c:val>
          <c:extLst>
            <c:ext xmlns:c16="http://schemas.microsoft.com/office/drawing/2014/chart" uri="{C3380CC4-5D6E-409C-BE32-E72D297353CC}">
              <c16:uniqueId val="{00000001-7D1E-4753-BE77-6D3274DE1BE3}"/>
            </c:ext>
          </c:extLst>
        </c:ser>
        <c:ser>
          <c:idx val="2"/>
          <c:order val="2"/>
          <c:tx>
            <c:strRef>
              <c:f>'Results - cereals'!$S$3</c:f>
              <c:strCache>
                <c:ptCount val="1"/>
                <c:pt idx="0">
                  <c:v>Agroecological (with integrated livestock)</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cereals'!$O$14</c:f>
              <c:strCache>
                <c:ptCount val="1"/>
                <c:pt idx="0">
                  <c:v>Gross farm variable costs / ha</c:v>
                </c:pt>
              </c:strCache>
            </c:strRef>
          </c:cat>
          <c:val>
            <c:numRef>
              <c:f>'Results - cereals'!$R$14</c:f>
              <c:numCache>
                <c:formatCode>_-"£"* #,##0_-;\-"£"* #,##0_-;_-"£"* "-"??_-;_-@_-</c:formatCode>
                <c:ptCount val="1"/>
                <c:pt idx="0">
                  <c:v>239.62108534245203</c:v>
                </c:pt>
              </c:numCache>
            </c:numRef>
          </c:val>
          <c:extLst>
            <c:ext xmlns:c16="http://schemas.microsoft.com/office/drawing/2014/chart" uri="{C3380CC4-5D6E-409C-BE32-E72D297353CC}">
              <c16:uniqueId val="{00000003-90E7-4886-B510-0F55EA2BDBB0}"/>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income / ha</a:t>
            </a:r>
            <a:r>
              <a:rPr lang="en-GB" baseline="0"/>
              <a:t> - with increased farm gate price. </a:t>
            </a:r>
            <a:endParaRPr lang="en-GB"/>
          </a:p>
        </c:rich>
      </c:tx>
      <c:layout>
        <c:manualLayout>
          <c:xMode val="edge"/>
          <c:yMode val="edge"/>
          <c:x val="0.1005470035272006"/>
          <c:y val="1.4980438437327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'Net farm incomes graph'!$B$91</c:f>
              <c:strCache>
                <c:ptCount val="1"/>
                <c:pt idx="0">
                  <c:v>Conventional</c:v>
                </c:pt>
              </c:strCache>
            </c:strRef>
          </c:tx>
          <c:spPr>
            <a:solidFill>
              <a:schemeClr val="accent1"/>
            </a:solidFill>
            <a:ln>
              <a:noFill/>
            </a:ln>
            <a:effectLst/>
          </c:spPr>
          <c:invertIfNegative val="0"/>
          <c:dLbls>
            <c:delete val="1"/>
          </c:dLbls>
          <c:val>
            <c:numRef>
              <c:f>'Net farm incomes graph'!$C$91</c:f>
              <c:numCache>
                <c:formatCode>General</c:formatCode>
                <c:ptCount val="1"/>
                <c:pt idx="0">
                  <c:v>0</c:v>
                </c:pt>
              </c:numCache>
            </c:numRef>
          </c:val>
          <c:extLst>
            <c:ext xmlns:c16="http://schemas.microsoft.com/office/drawing/2014/chart" uri="{C3380CC4-5D6E-409C-BE32-E72D297353CC}">
              <c16:uniqueId val="{00000000-1441-4FB5-A77D-D57297806303}"/>
            </c:ext>
          </c:extLst>
        </c:ser>
        <c:ser>
          <c:idx val="1"/>
          <c:order val="1"/>
          <c:tx>
            <c:strRef>
              <c:f>'Net farm incomes graph'!$A$92</c:f>
              <c:strCache>
                <c:ptCount val="1"/>
                <c:pt idx="0">
                  <c:v>Cereals with grazier</c:v>
                </c:pt>
              </c:strCache>
            </c:strRef>
          </c:tx>
          <c:spPr>
            <a:solidFill>
              <a:schemeClr val="accent2"/>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2-1441-4FB5-A77D-D57297806303}"/>
              </c:ext>
            </c:extLst>
          </c:dPt>
          <c:dPt>
            <c:idx val="1"/>
            <c:invertIfNegative val="0"/>
            <c:bubble3D val="0"/>
            <c:spPr>
              <a:solidFill>
                <a:srgbClr val="009B74"/>
              </a:solidFill>
              <a:ln>
                <a:noFill/>
              </a:ln>
              <a:effectLst/>
            </c:spPr>
            <c:extLst>
              <c:ext xmlns:c16="http://schemas.microsoft.com/office/drawing/2014/chart" uri="{C3380CC4-5D6E-409C-BE32-E72D297353CC}">
                <c16:uniqueId val="{00000004-1441-4FB5-A77D-D5729780630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'Net farm incomes graph'!$F$92:$G$92</c:f>
              <c:numCache>
                <c:formatCode>"£"#,##0.00</c:formatCode>
                <c:ptCount val="2"/>
                <c:pt idx="0">
                  <c:v>-26.28423744701082</c:v>
                </c:pt>
                <c:pt idx="1">
                  <c:v>-370.89607750062322</c:v>
                </c:pt>
              </c:numCache>
            </c:numRef>
          </c:val>
          <c:extLst>
            <c:ext xmlns:c16="http://schemas.microsoft.com/office/drawing/2014/chart" uri="{C3380CC4-5D6E-409C-BE32-E72D297353CC}">
              <c16:uniqueId val="{00000005-1441-4FB5-A77D-D57297806303}"/>
            </c:ext>
          </c:extLst>
        </c:ser>
        <c:dLbls>
          <c:dLblPos val="outEnd"/>
          <c:showLegendKey val="0"/>
          <c:showVal val="1"/>
          <c:showCatName val="0"/>
          <c:showSerName val="0"/>
          <c:showPercent val="0"/>
          <c:showBubbleSize val="0"/>
        </c:dLbls>
        <c:gapWidth val="10"/>
        <c:overlap val="-27"/>
        <c:axId val="675796351"/>
        <c:axId val="675793439"/>
      </c:barChart>
      <c:catAx>
        <c:axId val="675796351"/>
        <c:scaling>
          <c:orientation val="minMax"/>
        </c:scaling>
        <c:delete val="1"/>
        <c:axPos val="b"/>
        <c:majorTickMark val="out"/>
        <c:minorTickMark val="none"/>
        <c:tickLblPos val="nextTo"/>
        <c:crossAx val="675793439"/>
        <c:crosses val="autoZero"/>
        <c:auto val="1"/>
        <c:lblAlgn val="ctr"/>
        <c:lblOffset val="100"/>
        <c:noMultiLvlLbl val="0"/>
      </c:catAx>
      <c:valAx>
        <c:axId val="67579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9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income / ha</a:t>
            </a:r>
            <a:r>
              <a:rPr lang="en-GB" baseline="0"/>
              <a:t> - with N cost increase.</a:t>
            </a:r>
            <a:endParaRPr lang="en-GB"/>
          </a:p>
        </c:rich>
      </c:tx>
      <c:layout>
        <c:manualLayout>
          <c:xMode val="edge"/>
          <c:yMode val="edge"/>
          <c:x val="0.1005470035272006"/>
          <c:y val="1.4980438437327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'Net farm incomes graph'!$B$91</c:f>
              <c:strCache>
                <c:ptCount val="1"/>
                <c:pt idx="0">
                  <c:v>Conventional</c:v>
                </c:pt>
              </c:strCache>
            </c:strRef>
          </c:tx>
          <c:spPr>
            <a:solidFill>
              <a:schemeClr val="accent1"/>
            </a:solidFill>
            <a:ln>
              <a:noFill/>
            </a:ln>
            <a:effectLst/>
          </c:spPr>
          <c:invertIfNegative val="0"/>
          <c:dLbls>
            <c:delete val="1"/>
          </c:dLbls>
          <c:val>
            <c:numRef>
              <c:f>'Net farm incomes graph'!$C$91</c:f>
              <c:numCache>
                <c:formatCode>General</c:formatCode>
                <c:ptCount val="1"/>
                <c:pt idx="0">
                  <c:v>0</c:v>
                </c:pt>
              </c:numCache>
            </c:numRef>
          </c:val>
          <c:extLst>
            <c:ext xmlns:c16="http://schemas.microsoft.com/office/drawing/2014/chart" uri="{C3380CC4-5D6E-409C-BE32-E72D297353CC}">
              <c16:uniqueId val="{00000000-4230-48D6-8273-82377F512A97}"/>
            </c:ext>
          </c:extLst>
        </c:ser>
        <c:ser>
          <c:idx val="1"/>
          <c:order val="1"/>
          <c:tx>
            <c:strRef>
              <c:f>'Net farm incomes graph'!$A$92</c:f>
              <c:strCache>
                <c:ptCount val="1"/>
                <c:pt idx="0">
                  <c:v>Cereals with grazier</c:v>
                </c:pt>
              </c:strCache>
            </c:strRef>
          </c:tx>
          <c:spPr>
            <a:solidFill>
              <a:schemeClr val="accent2"/>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2-4230-48D6-8273-82377F512A97}"/>
              </c:ext>
            </c:extLst>
          </c:dPt>
          <c:dPt>
            <c:idx val="1"/>
            <c:invertIfNegative val="0"/>
            <c:bubble3D val="0"/>
            <c:spPr>
              <a:solidFill>
                <a:srgbClr val="009B74"/>
              </a:solidFill>
              <a:ln>
                <a:noFill/>
              </a:ln>
              <a:effectLst/>
            </c:spPr>
            <c:extLst>
              <c:ext xmlns:c16="http://schemas.microsoft.com/office/drawing/2014/chart" uri="{C3380CC4-5D6E-409C-BE32-E72D297353CC}">
                <c16:uniqueId val="{00000004-4230-48D6-8273-82377F512A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'Net farm incomes graph'!$H$92:$I$92</c:f>
              <c:numCache>
                <c:formatCode>"£"#,##0.00</c:formatCode>
                <c:ptCount val="2"/>
                <c:pt idx="0">
                  <c:v>-110.10657221046068</c:v>
                </c:pt>
                <c:pt idx="1">
                  <c:v>-337.31416360549792</c:v>
                </c:pt>
              </c:numCache>
            </c:numRef>
          </c:val>
          <c:extLst>
            <c:ext xmlns:c16="http://schemas.microsoft.com/office/drawing/2014/chart" uri="{C3380CC4-5D6E-409C-BE32-E72D297353CC}">
              <c16:uniqueId val="{00000005-4230-48D6-8273-82377F512A97}"/>
            </c:ext>
          </c:extLst>
        </c:ser>
        <c:dLbls>
          <c:dLblPos val="outEnd"/>
          <c:showLegendKey val="0"/>
          <c:showVal val="1"/>
          <c:showCatName val="0"/>
          <c:showSerName val="0"/>
          <c:showPercent val="0"/>
          <c:showBubbleSize val="0"/>
        </c:dLbls>
        <c:gapWidth val="10"/>
        <c:overlap val="-27"/>
        <c:axId val="675796351"/>
        <c:axId val="675793439"/>
      </c:barChart>
      <c:catAx>
        <c:axId val="675796351"/>
        <c:scaling>
          <c:orientation val="minMax"/>
        </c:scaling>
        <c:delete val="1"/>
        <c:axPos val="b"/>
        <c:majorTickMark val="out"/>
        <c:minorTickMark val="none"/>
        <c:tickLblPos val="nextTo"/>
        <c:crossAx val="675793439"/>
        <c:crosses val="autoZero"/>
        <c:auto val="1"/>
        <c:lblAlgn val="ctr"/>
        <c:lblOffset val="100"/>
        <c:noMultiLvlLbl val="0"/>
      </c:catAx>
      <c:valAx>
        <c:axId val="67579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9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income / ha</a:t>
            </a:r>
            <a:r>
              <a:rPr lang="en-GB" baseline="0"/>
              <a:t> -  with agri-env, increased farm gate price, and high N cost</a:t>
            </a:r>
            <a:endParaRPr lang="en-GB"/>
          </a:p>
        </c:rich>
      </c:tx>
      <c:layout>
        <c:manualLayout>
          <c:xMode val="edge"/>
          <c:yMode val="edge"/>
          <c:x val="0.1005470035272006"/>
          <c:y val="1.4980438437327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'Net farm incomes graph'!$B$91</c:f>
              <c:strCache>
                <c:ptCount val="1"/>
                <c:pt idx="0">
                  <c:v>Conventional</c:v>
                </c:pt>
              </c:strCache>
            </c:strRef>
          </c:tx>
          <c:spPr>
            <a:solidFill>
              <a:schemeClr val="accent1"/>
            </a:solidFill>
            <a:ln>
              <a:noFill/>
            </a:ln>
            <a:effectLst/>
          </c:spPr>
          <c:invertIfNegative val="0"/>
          <c:dLbls>
            <c:delete val="1"/>
          </c:dLbls>
          <c:val>
            <c:numRef>
              <c:f>'Net farm incomes graph'!$C$91</c:f>
              <c:numCache>
                <c:formatCode>General</c:formatCode>
                <c:ptCount val="1"/>
                <c:pt idx="0">
                  <c:v>0</c:v>
                </c:pt>
              </c:numCache>
            </c:numRef>
          </c:val>
          <c:extLst>
            <c:ext xmlns:c16="http://schemas.microsoft.com/office/drawing/2014/chart" uri="{C3380CC4-5D6E-409C-BE32-E72D297353CC}">
              <c16:uniqueId val="{00000000-3ADD-419F-9551-3020C88DC586}"/>
            </c:ext>
          </c:extLst>
        </c:ser>
        <c:ser>
          <c:idx val="1"/>
          <c:order val="1"/>
          <c:tx>
            <c:strRef>
              <c:f>'Net farm incomes graph'!$A$92</c:f>
              <c:strCache>
                <c:ptCount val="1"/>
                <c:pt idx="0">
                  <c:v>Cereals with grazier</c:v>
                </c:pt>
              </c:strCache>
            </c:strRef>
          </c:tx>
          <c:spPr>
            <a:solidFill>
              <a:schemeClr val="accent2"/>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3-3ADD-419F-9551-3020C88DC586}"/>
              </c:ext>
            </c:extLst>
          </c:dPt>
          <c:dPt>
            <c:idx val="1"/>
            <c:invertIfNegative val="0"/>
            <c:bubble3D val="0"/>
            <c:spPr>
              <a:solidFill>
                <a:srgbClr val="009B74"/>
              </a:solidFill>
              <a:ln>
                <a:noFill/>
              </a:ln>
              <a:effectLst/>
            </c:spPr>
            <c:extLst>
              <c:ext xmlns:c16="http://schemas.microsoft.com/office/drawing/2014/chart" uri="{C3380CC4-5D6E-409C-BE32-E72D297353CC}">
                <c16:uniqueId val="{00000004-3ADD-419F-9551-3020C88DC5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'Net farm incomes graph'!$J$92:$K$92</c:f>
              <c:numCache>
                <c:formatCode>"£"#,##0.00</c:formatCode>
                <c:ptCount val="2"/>
                <c:pt idx="0">
                  <c:v>104.41333411272437</c:v>
                </c:pt>
                <c:pt idx="1">
                  <c:v>413.50550852564965</c:v>
                </c:pt>
              </c:numCache>
            </c:numRef>
          </c:val>
          <c:extLst>
            <c:ext xmlns:c16="http://schemas.microsoft.com/office/drawing/2014/chart" uri="{C3380CC4-5D6E-409C-BE32-E72D297353CC}">
              <c16:uniqueId val="{00000001-3ADD-419F-9551-3020C88DC586}"/>
            </c:ext>
          </c:extLst>
        </c:ser>
        <c:dLbls>
          <c:dLblPos val="outEnd"/>
          <c:showLegendKey val="0"/>
          <c:showVal val="1"/>
          <c:showCatName val="0"/>
          <c:showSerName val="0"/>
          <c:showPercent val="0"/>
          <c:showBubbleSize val="0"/>
        </c:dLbls>
        <c:gapWidth val="10"/>
        <c:overlap val="-27"/>
        <c:axId val="675796351"/>
        <c:axId val="675793439"/>
      </c:barChart>
      <c:catAx>
        <c:axId val="675796351"/>
        <c:scaling>
          <c:orientation val="minMax"/>
        </c:scaling>
        <c:delete val="1"/>
        <c:axPos val="b"/>
        <c:majorTickMark val="out"/>
        <c:minorTickMark val="none"/>
        <c:tickLblPos val="nextTo"/>
        <c:crossAx val="675793439"/>
        <c:crosses val="autoZero"/>
        <c:auto val="1"/>
        <c:lblAlgn val="ctr"/>
        <c:lblOffset val="100"/>
        <c:noMultiLvlLbl val="0"/>
      </c:catAx>
      <c:valAx>
        <c:axId val="67579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9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income / ha</a:t>
            </a:r>
            <a:r>
              <a:rPr lang="en-GB" baseline="0"/>
              <a:t> -  with agri-env, increased farm gate price, high N cost &amp; crop price</a:t>
            </a:r>
            <a:endParaRPr lang="en-GB"/>
          </a:p>
        </c:rich>
      </c:tx>
      <c:layout>
        <c:manualLayout>
          <c:xMode val="edge"/>
          <c:yMode val="edge"/>
          <c:x val="0.1005470035272006"/>
          <c:y val="1.4980438437327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'Net farm incomes graph'!$B$91</c:f>
              <c:strCache>
                <c:ptCount val="1"/>
                <c:pt idx="0">
                  <c:v>Conventional</c:v>
                </c:pt>
              </c:strCache>
            </c:strRef>
          </c:tx>
          <c:spPr>
            <a:solidFill>
              <a:schemeClr val="accent1"/>
            </a:solidFill>
            <a:ln>
              <a:noFill/>
            </a:ln>
            <a:effectLst/>
          </c:spPr>
          <c:invertIfNegative val="0"/>
          <c:dLbls>
            <c:delete val="1"/>
          </c:dLbls>
          <c:val>
            <c:numRef>
              <c:f>'Net farm incomes graph'!$C$91</c:f>
              <c:numCache>
                <c:formatCode>General</c:formatCode>
                <c:ptCount val="1"/>
                <c:pt idx="0">
                  <c:v>0</c:v>
                </c:pt>
              </c:numCache>
            </c:numRef>
          </c:val>
          <c:extLst>
            <c:ext xmlns:c16="http://schemas.microsoft.com/office/drawing/2014/chart" uri="{C3380CC4-5D6E-409C-BE32-E72D297353CC}">
              <c16:uniqueId val="{00000000-A61B-4E4E-A59A-4C4972098A01}"/>
            </c:ext>
          </c:extLst>
        </c:ser>
        <c:ser>
          <c:idx val="1"/>
          <c:order val="1"/>
          <c:tx>
            <c:strRef>
              <c:f>'Net farm incomes graph'!$A$92</c:f>
              <c:strCache>
                <c:ptCount val="1"/>
                <c:pt idx="0">
                  <c:v>Cereals with grazier</c:v>
                </c:pt>
              </c:strCache>
            </c:strRef>
          </c:tx>
          <c:spPr>
            <a:solidFill>
              <a:srgbClr val="0067B2"/>
            </a:solidFill>
            <a:ln>
              <a:noFill/>
            </a:ln>
            <a:effectLst/>
          </c:spPr>
          <c:invertIfNegative val="0"/>
          <c:dPt>
            <c:idx val="1"/>
            <c:invertIfNegative val="0"/>
            <c:bubble3D val="0"/>
            <c:spPr>
              <a:solidFill>
                <a:srgbClr val="009B74"/>
              </a:solidFill>
              <a:ln>
                <a:noFill/>
              </a:ln>
              <a:effectLst/>
            </c:spPr>
            <c:extLst>
              <c:ext xmlns:c16="http://schemas.microsoft.com/office/drawing/2014/chart" uri="{C3380CC4-5D6E-409C-BE32-E72D297353CC}">
                <c16:uniqueId val="{00000003-A61B-4E4E-A59A-4C4972098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'Net farm incomes graph'!$L$92:$M$92</c:f>
              <c:numCache>
                <c:formatCode>"£"#,##0.00</c:formatCode>
                <c:ptCount val="2"/>
                <c:pt idx="0">
                  <c:v>1101.0482032690695</c:v>
                </c:pt>
                <c:pt idx="1">
                  <c:v>637.35860848766731</c:v>
                </c:pt>
              </c:numCache>
            </c:numRef>
          </c:val>
          <c:extLst>
            <c:ext xmlns:c16="http://schemas.microsoft.com/office/drawing/2014/chart" uri="{C3380CC4-5D6E-409C-BE32-E72D297353CC}">
              <c16:uniqueId val="{00000001-A61B-4E4E-A59A-4C4972098A01}"/>
            </c:ext>
          </c:extLst>
        </c:ser>
        <c:dLbls>
          <c:dLblPos val="outEnd"/>
          <c:showLegendKey val="0"/>
          <c:showVal val="1"/>
          <c:showCatName val="0"/>
          <c:showSerName val="0"/>
          <c:showPercent val="0"/>
          <c:showBubbleSize val="0"/>
        </c:dLbls>
        <c:gapWidth val="10"/>
        <c:overlap val="-27"/>
        <c:axId val="675796351"/>
        <c:axId val="675793439"/>
      </c:barChart>
      <c:catAx>
        <c:axId val="675796351"/>
        <c:scaling>
          <c:orientation val="minMax"/>
        </c:scaling>
        <c:delete val="1"/>
        <c:axPos val="b"/>
        <c:majorTickMark val="out"/>
        <c:minorTickMark val="none"/>
        <c:tickLblPos val="nextTo"/>
        <c:crossAx val="675793439"/>
        <c:crosses val="autoZero"/>
        <c:auto val="1"/>
        <c:lblAlgn val="ctr"/>
        <c:lblOffset val="100"/>
        <c:noMultiLvlLbl val="0"/>
      </c:catAx>
      <c:valAx>
        <c:axId val="67579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9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Gross fixed</a:t>
            </a:r>
            <a:r>
              <a:rPr lang="en-GB" baseline="0">
                <a:solidFill>
                  <a:sysClr val="windowText" lastClr="000000"/>
                </a:solidFill>
              </a:rPr>
              <a:t> costs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cereals'!$P$3</c:f>
              <c:strCache>
                <c:ptCount val="1"/>
                <c:pt idx="0">
                  <c:v>Conventional</c:v>
                </c:pt>
              </c:strCache>
            </c:strRef>
          </c:tx>
          <c:spPr>
            <a:solidFill>
              <a:srgbClr val="006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cereals'!$O$15</c:f>
              <c:strCache>
                <c:ptCount val="1"/>
                <c:pt idx="0">
                  <c:v>Fixed costs / ha</c:v>
                </c:pt>
              </c:strCache>
            </c:strRef>
          </c:cat>
          <c:val>
            <c:numRef>
              <c:f>'Results - cereals'!$P$15</c:f>
              <c:numCache>
                <c:formatCode>_-"£"* #,##0_-;\-"£"* #,##0_-;_-"£"* "-"??_-;_-@_-</c:formatCode>
                <c:ptCount val="1"/>
                <c:pt idx="0">
                  <c:v>698</c:v>
                </c:pt>
              </c:numCache>
            </c:numRef>
          </c:val>
          <c:extLst>
            <c:ext xmlns:c16="http://schemas.microsoft.com/office/drawing/2014/chart" uri="{C3380CC4-5D6E-409C-BE32-E72D297353CC}">
              <c16:uniqueId val="{00000000-1C2D-4352-8873-8AECEE75DCAA}"/>
            </c:ext>
          </c:extLst>
        </c:ser>
        <c:ser>
          <c:idx val="1"/>
          <c:order val="1"/>
          <c:tx>
            <c:strRef>
              <c:f>'Results - cereals'!$Q$3</c:f>
              <c:strCache>
                <c:ptCount val="1"/>
                <c:pt idx="0">
                  <c:v>Agroecological (with grazier)</c:v>
                </c:pt>
              </c:strCache>
            </c:strRef>
          </c:tx>
          <c:spPr>
            <a:solidFill>
              <a:srgbClr val="009B7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cereals'!$O$15</c:f>
              <c:strCache>
                <c:ptCount val="1"/>
                <c:pt idx="0">
                  <c:v>Fixed costs / ha</c:v>
                </c:pt>
              </c:strCache>
            </c:strRef>
          </c:cat>
          <c:val>
            <c:numRef>
              <c:f>'Results - cereals'!$Q$15</c:f>
              <c:numCache>
                <c:formatCode>_-"£"* #,##0_-;\-"£"* #,##0_-;_-"£"* "-"??_-;_-@_-</c:formatCode>
                <c:ptCount val="1"/>
                <c:pt idx="0">
                  <c:v>628.20000000000005</c:v>
                </c:pt>
              </c:numCache>
            </c:numRef>
          </c:val>
          <c:extLst>
            <c:ext xmlns:c16="http://schemas.microsoft.com/office/drawing/2014/chart" uri="{C3380CC4-5D6E-409C-BE32-E72D297353CC}">
              <c16:uniqueId val="{00000003-1C2D-4352-8873-8AECEE75DCAA}"/>
            </c:ext>
          </c:extLst>
        </c:ser>
        <c:ser>
          <c:idx val="2"/>
          <c:order val="2"/>
          <c:tx>
            <c:strRef>
              <c:f>'Results - cereals'!$S$3</c:f>
              <c:strCache>
                <c:ptCount val="1"/>
                <c:pt idx="0">
                  <c:v>Agroecological (with integrated livestock)</c:v>
                </c:pt>
              </c:strCache>
            </c:strRef>
          </c:tx>
          <c:spPr>
            <a:solidFill>
              <a:schemeClr val="accent3"/>
            </a:solidFill>
            <a:ln>
              <a:noFill/>
            </a:ln>
            <a:effectLst/>
          </c:spPr>
          <c:invertIfNegative val="0"/>
          <c:dLbls>
            <c:dLbl>
              <c:idx val="0"/>
              <c:layout>
                <c:manualLayout>
                  <c:x val="4.4184312365692938E-2"/>
                  <c:y val="-2.26036765680855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67-41B5-AA1F-97F0B43D03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cereals'!$O$15</c:f>
              <c:strCache>
                <c:ptCount val="1"/>
                <c:pt idx="0">
                  <c:v>Fixed costs / ha</c:v>
                </c:pt>
              </c:strCache>
            </c:strRef>
          </c:cat>
          <c:val>
            <c:numRef>
              <c:f>'Results - cereals'!$R$15</c:f>
              <c:numCache>
                <c:formatCode>_-"£"* #,##0_-;\-"£"* #,##0_-;_-"£"* "-"??_-;_-@_-</c:formatCode>
                <c:ptCount val="1"/>
                <c:pt idx="0">
                  <c:v>628.20000000000005</c:v>
                </c:pt>
              </c:numCache>
            </c:numRef>
          </c:val>
          <c:extLst>
            <c:ext xmlns:c16="http://schemas.microsoft.com/office/drawing/2014/chart" uri="{C3380CC4-5D6E-409C-BE32-E72D297353CC}">
              <c16:uniqueId val="{00000001-0667-41B5-AA1F-97F0B43D0312}"/>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GB">
                <a:solidFill>
                  <a:sysClr val="windowText" lastClr="000000"/>
                </a:solidFill>
              </a:rPr>
              <a:t>Net farm</a:t>
            </a:r>
            <a:r>
              <a:rPr lang="en-GB" baseline="0">
                <a:solidFill>
                  <a:sysClr val="windowText" lastClr="000000"/>
                </a:solidFill>
              </a:rPr>
              <a:t> income / ha</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16285273278664"/>
          <c:y val="0.14013605442176871"/>
          <c:w val="0.63925616899311721"/>
          <c:h val="0.40651175721485838"/>
        </c:manualLayout>
      </c:layout>
      <c:barChart>
        <c:barDir val="col"/>
        <c:grouping val="clustered"/>
        <c:varyColors val="0"/>
        <c:ser>
          <c:idx val="0"/>
          <c:order val="0"/>
          <c:tx>
            <c:strRef>
              <c:f>'Results - cereals'!$P$3</c:f>
              <c:strCache>
                <c:ptCount val="1"/>
                <c:pt idx="0">
                  <c:v>Conventional</c:v>
                </c:pt>
              </c:strCache>
            </c:strRef>
          </c:tx>
          <c:spPr>
            <a:solidFill>
              <a:schemeClr val="accent1"/>
            </a:solidFill>
            <a:ln>
              <a:noFill/>
            </a:ln>
            <a:effectLst/>
          </c:spPr>
          <c:invertIfNegative val="0"/>
          <c:dPt>
            <c:idx val="0"/>
            <c:invertIfNegative val="0"/>
            <c:bubble3D val="0"/>
            <c:spPr>
              <a:solidFill>
                <a:srgbClr val="0067B2"/>
              </a:solidFill>
              <a:ln>
                <a:noFill/>
              </a:ln>
              <a:effectLst/>
            </c:spPr>
            <c:extLst>
              <c:ext xmlns:c16="http://schemas.microsoft.com/office/drawing/2014/chart" uri="{C3380CC4-5D6E-409C-BE32-E72D297353CC}">
                <c16:uniqueId val="{00000004-B680-4120-9767-73771F3741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cereals'!$O$16</c:f>
              <c:strCache>
                <c:ptCount val="1"/>
                <c:pt idx="0">
                  <c:v>Net farm income / ha</c:v>
                </c:pt>
              </c:strCache>
            </c:strRef>
          </c:cat>
          <c:val>
            <c:numRef>
              <c:f>'Results - cereals'!$P$16</c:f>
              <c:numCache>
                <c:formatCode>_-"£"* #,##0_-;\-"£"* #,##0_-;_-"£"* "-"??_-;_-@_-</c:formatCode>
                <c:ptCount val="1"/>
                <c:pt idx="0">
                  <c:v>-100.74004342424226</c:v>
                </c:pt>
              </c:numCache>
            </c:numRef>
          </c:val>
          <c:extLst>
            <c:ext xmlns:c16="http://schemas.microsoft.com/office/drawing/2014/chart" uri="{C3380CC4-5D6E-409C-BE32-E72D297353CC}">
              <c16:uniqueId val="{00000000-B680-4120-9767-73771F3741E0}"/>
            </c:ext>
          </c:extLst>
        </c:ser>
        <c:ser>
          <c:idx val="1"/>
          <c:order val="1"/>
          <c:tx>
            <c:strRef>
              <c:f>'Results - cereals'!$Q$3</c:f>
              <c:strCache>
                <c:ptCount val="1"/>
                <c:pt idx="0">
                  <c:v>Agroecological (with grazier)</c:v>
                </c:pt>
              </c:strCache>
            </c:strRef>
          </c:tx>
          <c:spPr>
            <a:solidFill>
              <a:schemeClr val="accent2"/>
            </a:solidFill>
            <a:ln>
              <a:noFill/>
            </a:ln>
            <a:effectLst/>
          </c:spPr>
          <c:invertIfNegative val="0"/>
          <c:dPt>
            <c:idx val="0"/>
            <c:invertIfNegative val="0"/>
            <c:bubble3D val="0"/>
            <c:spPr>
              <a:solidFill>
                <a:srgbClr val="009B74"/>
              </a:solidFill>
              <a:ln>
                <a:noFill/>
              </a:ln>
              <a:effectLst/>
            </c:spPr>
            <c:extLst>
              <c:ext xmlns:c16="http://schemas.microsoft.com/office/drawing/2014/chart" uri="{C3380CC4-5D6E-409C-BE32-E72D297353CC}">
                <c16:uniqueId val="{00000003-B680-4120-9767-73771F3741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cereals'!$O$16</c:f>
              <c:strCache>
                <c:ptCount val="1"/>
                <c:pt idx="0">
                  <c:v>Net farm income / ha</c:v>
                </c:pt>
              </c:strCache>
            </c:strRef>
          </c:cat>
          <c:val>
            <c:numRef>
              <c:f>'Results - cereals'!$Q$16</c:f>
              <c:numCache>
                <c:formatCode>_-"£"* #,##0_-;\-"£"* #,##0_-;_-"£"* "-"??_-;_-@_-</c:formatCode>
                <c:ptCount val="1"/>
                <c:pt idx="0">
                  <c:v>-140.73021770704113</c:v>
                </c:pt>
              </c:numCache>
            </c:numRef>
          </c:val>
          <c:extLst>
            <c:ext xmlns:c16="http://schemas.microsoft.com/office/drawing/2014/chart" uri="{C3380CC4-5D6E-409C-BE32-E72D297353CC}">
              <c16:uniqueId val="{00000001-B680-4120-9767-73771F3741E0}"/>
            </c:ext>
          </c:extLst>
        </c:ser>
        <c:ser>
          <c:idx val="2"/>
          <c:order val="2"/>
          <c:tx>
            <c:strRef>
              <c:f>'Results - cereals'!$S$3</c:f>
              <c:strCache>
                <c:ptCount val="1"/>
                <c:pt idx="0">
                  <c:v>Agroecological (with integrated livestock)</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 cereals'!$O$16</c:f>
              <c:strCache>
                <c:ptCount val="1"/>
                <c:pt idx="0">
                  <c:v>Net farm income / ha</c:v>
                </c:pt>
              </c:strCache>
            </c:strRef>
          </c:cat>
          <c:val>
            <c:numRef>
              <c:f>'Results - cereals'!$R$16</c:f>
              <c:numCache>
                <c:formatCode>_-"£"* #,##0_-;\-"£"* #,##0_-;_-"£"* "-"??_-;_-@_-</c:formatCode>
                <c:ptCount val="1"/>
                <c:pt idx="0">
                  <c:v>-127.04275789943848</c:v>
                </c:pt>
              </c:numCache>
            </c:numRef>
          </c:val>
          <c:extLst>
            <c:ext xmlns:c16="http://schemas.microsoft.com/office/drawing/2014/chart" uri="{C3380CC4-5D6E-409C-BE32-E72D297353CC}">
              <c16:uniqueId val="{00000005-27DB-45B9-9079-863F74225BEB}"/>
            </c:ext>
          </c:extLst>
        </c:ser>
        <c:dLbls>
          <c:dLblPos val="outEnd"/>
          <c:showLegendKey val="0"/>
          <c:showVal val="1"/>
          <c:showCatName val="0"/>
          <c:showSerName val="0"/>
          <c:showPercent val="0"/>
          <c:showBubbleSize val="0"/>
        </c:dLbls>
        <c:gapWidth val="219"/>
        <c:overlap val="-27"/>
        <c:axId val="2087228656"/>
        <c:axId val="2087233648"/>
      </c:barChart>
      <c:catAx>
        <c:axId val="2087228656"/>
        <c:scaling>
          <c:orientation val="minMax"/>
        </c:scaling>
        <c:delete val="1"/>
        <c:axPos val="b"/>
        <c:numFmt formatCode="General" sourceLinked="1"/>
        <c:majorTickMark val="none"/>
        <c:minorTickMark val="none"/>
        <c:tickLblPos val="nextTo"/>
        <c:crossAx val="2087233648"/>
        <c:crosses val="autoZero"/>
        <c:auto val="1"/>
        <c:lblAlgn val="ctr"/>
        <c:lblOffset val="100"/>
        <c:noMultiLvlLbl val="0"/>
      </c:catAx>
      <c:valAx>
        <c:axId val="20872336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en-US"/>
          </a:p>
        </c:txPr>
        <c:crossAx val="208722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alpha val="25000"/>
      </a:sysClr>
    </a:solidFill>
    <a:ln w="9525" cap="flat" cmpd="sng" algn="ctr">
      <a:noFill/>
      <a:round/>
    </a:ln>
    <a:effectLst/>
  </c:spPr>
  <c:txPr>
    <a:bodyPr/>
    <a:lstStyle/>
    <a:p>
      <a:pPr>
        <a:defRPr sz="900">
          <a:latin typeface="Roboto" panose="02000000000000000000" pitchFamily="2" charset="0"/>
          <a:ea typeface="Roboto" panose="02000000000000000000"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Cereals with</a:t>
            </a:r>
            <a:r>
              <a:rPr lang="en-US" baseline="0"/>
              <a:t> grazier - crop rotation</a:t>
            </a:r>
            <a:endParaRPr lang="en-US"/>
          </a:p>
        </c:rich>
      </c:tx>
      <c:layout>
        <c:manualLayout>
          <c:xMode val="edge"/>
          <c:yMode val="edge"/>
          <c:x val="0.17484930555555556"/>
          <c:y val="3.28505952380952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cereals'!$P$20</c:f>
              <c:strCache>
                <c:ptCount val="1"/>
                <c:pt idx="0">
                  <c:v>Area</c:v>
                </c:pt>
              </c:strCache>
            </c:strRef>
          </c:tx>
          <c:dPt>
            <c:idx val="0"/>
            <c:bubble3D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69F0-4B6D-8F07-0DFFAB056FA4}"/>
              </c:ext>
            </c:extLst>
          </c:dPt>
          <c:dPt>
            <c:idx val="1"/>
            <c:bubble3D val="0"/>
            <c:spPr>
              <a:solidFill>
                <a:srgbClr val="F6FAF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0543-42FF-A4EE-C54935C6F2A0}"/>
              </c:ext>
            </c:extLst>
          </c:dPt>
          <c:dPt>
            <c:idx val="2"/>
            <c:bubble3D val="0"/>
            <c:spPr>
              <a:solidFill>
                <a:srgbClr val="00397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543-42FF-A4EE-C54935C6F2A0}"/>
              </c:ext>
            </c:extLst>
          </c:dPt>
          <c:dPt>
            <c:idx val="3"/>
            <c:bubble3D val="0"/>
            <c:spPr>
              <a:solidFill>
                <a:srgbClr val="A5A5A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0543-42FF-A4EE-C54935C6F2A0}"/>
              </c:ext>
            </c:extLst>
          </c:dPt>
          <c:dPt>
            <c:idx val="4"/>
            <c:bubble3D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543-42FF-A4EE-C54935C6F2A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69F0-4B6D-8F07-0DFFAB056FA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0543-42FF-A4EE-C54935C6F2A0}"/>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543-42FF-A4EE-C54935C6F2A0}"/>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4-0543-42FF-A4EE-C54935C6F2A0}"/>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543-42FF-A4EE-C54935C6F2A0}"/>
                </c:ext>
              </c:extLst>
            </c:dLbl>
            <c:spPr>
              <a:ln>
                <a:noFill/>
              </a:ln>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cereals'!$O$21:$O$25</c:f>
              <c:strCache>
                <c:ptCount val="5"/>
                <c:pt idx="0">
                  <c:v> 52 ha grazed mixed legume and grass herbal ley </c:v>
                </c:pt>
                <c:pt idx="1">
                  <c:v> 52 ha selectively bred population cereal </c:v>
                </c:pt>
                <c:pt idx="2">
                  <c:v> 26 ha intercropped legumes </c:v>
                </c:pt>
                <c:pt idx="3">
                  <c:v> 26 ha traditional lower nitrogen dependent cereal such as rye or barley  </c:v>
                </c:pt>
                <c:pt idx="4">
                  <c:v> 18 ha flower margins and hedgerows </c:v>
                </c:pt>
              </c:strCache>
            </c:strRef>
          </c:cat>
          <c:val>
            <c:numRef>
              <c:f>'Results - cereals'!$P$21:$P$25</c:f>
              <c:numCache>
                <c:formatCode>0</c:formatCode>
                <c:ptCount val="5"/>
                <c:pt idx="0">
                  <c:v>52</c:v>
                </c:pt>
                <c:pt idx="1">
                  <c:v>52</c:v>
                </c:pt>
                <c:pt idx="2">
                  <c:v>26</c:v>
                </c:pt>
                <c:pt idx="3">
                  <c:v>26</c:v>
                </c:pt>
                <c:pt idx="4">
                  <c:v>18</c:v>
                </c:pt>
              </c:numCache>
            </c:numRef>
          </c:val>
          <c:extLst>
            <c:ext xmlns:c16="http://schemas.microsoft.com/office/drawing/2014/chart" uri="{C3380CC4-5D6E-409C-BE32-E72D297353CC}">
              <c16:uniqueId val="{0000000A-69F0-4B6D-8F07-0DFFAB056FA4}"/>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Cereals with integrated livestock - crop rotation</a:t>
            </a:r>
          </a:p>
        </c:rich>
      </c:tx>
      <c:layout>
        <c:manualLayout>
          <c:xMode val="edge"/>
          <c:yMode val="edge"/>
          <c:x val="0.11285578703703704"/>
          <c:y val="3.023809523809523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9528650496735"/>
          <c:y val="0.17873791473924475"/>
          <c:w val="0.62857874261544477"/>
          <c:h val="0.71323786266630795"/>
        </c:manualLayout>
      </c:layout>
      <c:pieChart>
        <c:varyColors val="1"/>
        <c:ser>
          <c:idx val="0"/>
          <c:order val="0"/>
          <c:tx>
            <c:strRef>
              <c:f>'Results - cereals'!$R$20</c:f>
              <c:strCache>
                <c:ptCount val="1"/>
                <c:pt idx="0">
                  <c:v>Area</c:v>
                </c:pt>
              </c:strCache>
            </c:strRef>
          </c:tx>
          <c:explosion val="2"/>
          <c:dPt>
            <c:idx val="0"/>
            <c:bubble3D val="0"/>
            <c:explosion val="0"/>
            <c:spPr>
              <a:solidFill>
                <a:srgbClr val="009B7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69F0-4B6D-8F07-0DFFAB056FA4}"/>
              </c:ext>
            </c:extLst>
          </c:dPt>
          <c:dPt>
            <c:idx val="1"/>
            <c:bubble3D val="0"/>
            <c:explosion val="0"/>
            <c:spPr>
              <a:solidFill>
                <a:srgbClr val="F6FAF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0543-42FF-A4EE-C54935C6F2A0}"/>
              </c:ext>
            </c:extLst>
          </c:dPt>
          <c:dPt>
            <c:idx val="2"/>
            <c:bubble3D val="0"/>
            <c:explosion val="0"/>
            <c:spPr>
              <a:solidFill>
                <a:srgbClr val="00397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543-42FF-A4EE-C54935C6F2A0}"/>
              </c:ext>
            </c:extLst>
          </c:dPt>
          <c:dPt>
            <c:idx val="3"/>
            <c:bubble3D val="0"/>
            <c:explosion val="0"/>
            <c:spPr>
              <a:solidFill>
                <a:srgbClr val="0067B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0543-42FF-A4EE-C54935C6F2A0}"/>
              </c:ext>
            </c:extLst>
          </c:dPt>
          <c:dLbls>
            <c:dLbl>
              <c:idx val="0"/>
              <c:layout>
                <c:manualLayout>
                  <c:x val="-9.1238013635892325E-3"/>
                  <c:y val="-9.175748602298759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F0-4B6D-8F07-0DFFAB056FA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0543-42FF-A4EE-C54935C6F2A0}"/>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543-42FF-A4EE-C54935C6F2A0}"/>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4-0543-42FF-A4EE-C54935C6F2A0}"/>
                </c:ext>
              </c:extLst>
            </c:dLbl>
            <c:spPr>
              <a:ln>
                <a:noFill/>
              </a:ln>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1"/>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 cereals'!$Q$21:$Q$24</c:f>
              <c:strCache>
                <c:ptCount val="4"/>
                <c:pt idx="0">
                  <c:v> 79 ha grazed mixed legume and grass herbal ley </c:v>
                </c:pt>
                <c:pt idx="1">
                  <c:v> 52 ha selectively bred population cereal </c:v>
                </c:pt>
                <c:pt idx="2">
                  <c:v> 26 ha intercropped legumes </c:v>
                </c:pt>
                <c:pt idx="3">
                  <c:v> 18 ha flower margins and hedgerows </c:v>
                </c:pt>
              </c:strCache>
            </c:strRef>
          </c:cat>
          <c:val>
            <c:numRef>
              <c:f>'Results - cereals'!$R$21:$R$24</c:f>
              <c:numCache>
                <c:formatCode>0</c:formatCode>
                <c:ptCount val="4"/>
                <c:pt idx="0">
                  <c:v>79</c:v>
                </c:pt>
                <c:pt idx="1">
                  <c:v>52</c:v>
                </c:pt>
                <c:pt idx="2">
                  <c:v>26</c:v>
                </c:pt>
                <c:pt idx="3">
                  <c:v>18</c:v>
                </c:pt>
              </c:numCache>
            </c:numRef>
          </c:val>
          <c:extLst>
            <c:ext xmlns:c16="http://schemas.microsoft.com/office/drawing/2014/chart" uri="{C3380CC4-5D6E-409C-BE32-E72D297353CC}">
              <c16:uniqueId val="{0000000A-69F0-4B6D-8F07-0DFFAB056FA4}"/>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38.xml"/><Relationship Id="rId7" Type="http://schemas.openxmlformats.org/officeDocument/2006/relationships/hyperlink" Target="#Dashboard!A1"/><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microsoft.com/office/2007/relationships/hdphoto" Target="../media/hdphoto4.wdp"/><Relationship Id="rId5" Type="http://schemas.openxmlformats.org/officeDocument/2006/relationships/chart" Target="../charts/chart40.xml"/><Relationship Id="rId10" Type="http://schemas.openxmlformats.org/officeDocument/2006/relationships/image" Target="../media/image9.png"/><Relationship Id="rId4" Type="http://schemas.openxmlformats.org/officeDocument/2006/relationships/chart" Target="../charts/chart39.xml"/><Relationship Id="rId9" Type="http://schemas.microsoft.com/office/2007/relationships/hdphoto" Target="../media/hdphoto3.wdp"/></Relationships>
</file>

<file path=xl/drawings/_rels/drawing11.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hyperlink" Target="#Dashboard!A1"/></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hyperlink" Target="#Dashboard!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8" Type="http://schemas.openxmlformats.org/officeDocument/2006/relationships/hyperlink" Target="#Dashboard!A1"/><Relationship Id="rId3" Type="http://schemas.openxmlformats.org/officeDocument/2006/relationships/chart" Target="../charts/chart18.xml"/><Relationship Id="rId7" Type="http://schemas.openxmlformats.org/officeDocument/2006/relationships/chart" Target="../charts/chart22.xml"/><Relationship Id="rId12" Type="http://schemas.microsoft.com/office/2007/relationships/hdphoto" Target="../media/hdphoto2.wdp"/><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image" Target="../media/image7.png"/><Relationship Id="rId5" Type="http://schemas.openxmlformats.org/officeDocument/2006/relationships/chart" Target="../charts/chart20.xml"/><Relationship Id="rId10" Type="http://schemas.microsoft.com/office/2007/relationships/hdphoto" Target="../media/hdphoto1.wdp"/><Relationship Id="rId4" Type="http://schemas.openxmlformats.org/officeDocument/2006/relationships/chart" Target="../charts/chart19.xml"/><Relationship Id="rId9"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hyperlink" Target="#Dashboard!A1"/><Relationship Id="rId3" Type="http://schemas.openxmlformats.org/officeDocument/2006/relationships/chart" Target="../charts/chart25.xml"/><Relationship Id="rId7" Type="http://schemas.openxmlformats.org/officeDocument/2006/relationships/chart" Target="../charts/chart29.xml"/><Relationship Id="rId12" Type="http://schemas.microsoft.com/office/2007/relationships/hdphoto" Target="../media/hdphoto1.wdp"/><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image" Target="../media/image6.png"/><Relationship Id="rId5" Type="http://schemas.openxmlformats.org/officeDocument/2006/relationships/chart" Target="../charts/chart27.xml"/><Relationship Id="rId10" Type="http://schemas.microsoft.com/office/2007/relationships/hdphoto" Target="../media/hdphoto3.wdp"/><Relationship Id="rId4" Type="http://schemas.openxmlformats.org/officeDocument/2006/relationships/chart" Target="../charts/chart26.xml"/><Relationship Id="rId9"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32.xml"/><Relationship Id="rId7" Type="http://schemas.openxmlformats.org/officeDocument/2006/relationships/hyperlink" Target="#Dashboard!A1"/><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microsoft.com/office/2007/relationships/hdphoto" Target="../media/hdphoto1.wdp"/><Relationship Id="rId5" Type="http://schemas.openxmlformats.org/officeDocument/2006/relationships/chart" Target="../charts/chart34.xml"/><Relationship Id="rId10" Type="http://schemas.openxmlformats.org/officeDocument/2006/relationships/image" Target="../media/image6.png"/><Relationship Id="rId4" Type="http://schemas.openxmlformats.org/officeDocument/2006/relationships/chart" Target="../charts/chart33.xml"/><Relationship Id="rId9"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3</xdr:col>
      <xdr:colOff>5705194</xdr:colOff>
      <xdr:row>29</xdr:row>
      <xdr:rowOff>172290</xdr:rowOff>
    </xdr:from>
    <xdr:to>
      <xdr:col>3</xdr:col>
      <xdr:colOff>8544297</xdr:colOff>
      <xdr:row>35</xdr:row>
      <xdr:rowOff>187044</xdr:rowOff>
    </xdr:to>
    <xdr:grpSp>
      <xdr:nvGrpSpPr>
        <xdr:cNvPr id="6" name="Group 5">
          <a:extLst>
            <a:ext uri="{FF2B5EF4-FFF2-40B4-BE49-F238E27FC236}">
              <a16:creationId xmlns:a16="http://schemas.microsoft.com/office/drawing/2014/main" id="{B4BB3EA9-F922-40EF-AA35-49302DE47254}"/>
            </a:ext>
          </a:extLst>
        </xdr:cNvPr>
        <xdr:cNvGrpSpPr/>
      </xdr:nvGrpSpPr>
      <xdr:grpSpPr>
        <a:xfrm>
          <a:off x="8626194" y="15069390"/>
          <a:ext cx="2839103" cy="1119654"/>
          <a:chOff x="8262471" y="11086352"/>
          <a:chExt cx="3249705" cy="1225177"/>
        </a:xfrm>
      </xdr:grpSpPr>
      <xdr:sp macro="" textlink="">
        <xdr:nvSpPr>
          <xdr:cNvPr id="7" name="Rectangle 6">
            <a:extLst>
              <a:ext uri="{FF2B5EF4-FFF2-40B4-BE49-F238E27FC236}">
                <a16:creationId xmlns:a16="http://schemas.microsoft.com/office/drawing/2014/main" id="{51402FD0-34FA-CBE8-C128-B233AD961ADB}"/>
              </a:ext>
            </a:extLst>
          </xdr:cNvPr>
          <xdr:cNvSpPr/>
        </xdr:nvSpPr>
        <xdr:spPr>
          <a:xfrm>
            <a:off x="8262471" y="11086352"/>
            <a:ext cx="3249705" cy="12251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8" name="Picture 7" descr="Real Foods and the Soil Association">
            <a:extLst>
              <a:ext uri="{FF2B5EF4-FFF2-40B4-BE49-F238E27FC236}">
                <a16:creationId xmlns:a16="http://schemas.microsoft.com/office/drawing/2014/main" id="{4AB61DAB-7766-E941-4AB7-710FD0621C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6116" y="11243233"/>
            <a:ext cx="934669" cy="9480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F37BF67-3FEA-9FDB-77EA-AB32CA33AB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8882" y="11347824"/>
            <a:ext cx="1398270" cy="535305"/>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380999</xdr:colOff>
      <xdr:row>1</xdr:row>
      <xdr:rowOff>7619</xdr:rowOff>
    </xdr:from>
    <xdr:to>
      <xdr:col>8</xdr:col>
      <xdr:colOff>955499</xdr:colOff>
      <xdr:row>10</xdr:row>
      <xdr:rowOff>178619</xdr:rowOff>
    </xdr:to>
    <xdr:graphicFrame macro="">
      <xdr:nvGraphicFramePr>
        <xdr:cNvPr id="7" name="Chart 6">
          <a:extLst>
            <a:ext uri="{FF2B5EF4-FFF2-40B4-BE49-F238E27FC236}">
              <a16:creationId xmlns:a16="http://schemas.microsoft.com/office/drawing/2014/main" id="{212472A4-67E9-46AC-A6C3-1DBF7EF28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378337</xdr:colOff>
      <xdr:row>12</xdr:row>
      <xdr:rowOff>333</xdr:rowOff>
    </xdr:from>
    <xdr:to>
      <xdr:col>6</xdr:col>
      <xdr:colOff>115087</xdr:colOff>
      <xdr:row>21</xdr:row>
      <xdr:rowOff>171333</xdr:rowOff>
    </xdr:to>
    <xdr:graphicFrame macro="">
      <xdr:nvGraphicFramePr>
        <xdr:cNvPr id="13" name="Chart 12">
          <a:extLst>
            <a:ext uri="{FF2B5EF4-FFF2-40B4-BE49-F238E27FC236}">
              <a16:creationId xmlns:a16="http://schemas.microsoft.com/office/drawing/2014/main" id="{C30D1D58-FC4C-4BA3-BB93-F40F69009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458393</xdr:colOff>
      <xdr:row>12</xdr:row>
      <xdr:rowOff>334</xdr:rowOff>
    </xdr:from>
    <xdr:to>
      <xdr:col>8</xdr:col>
      <xdr:colOff>579318</xdr:colOff>
      <xdr:row>21</xdr:row>
      <xdr:rowOff>171334</xdr:rowOff>
    </xdr:to>
    <xdr:graphicFrame macro="">
      <xdr:nvGraphicFramePr>
        <xdr:cNvPr id="14" name="Chart 13">
          <a:extLst>
            <a:ext uri="{FF2B5EF4-FFF2-40B4-BE49-F238E27FC236}">
              <a16:creationId xmlns:a16="http://schemas.microsoft.com/office/drawing/2014/main" id="{B48BA57D-A223-48F7-89B2-4D7F8A0E9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922624</xdr:colOff>
      <xdr:row>12</xdr:row>
      <xdr:rowOff>333</xdr:rowOff>
    </xdr:from>
    <xdr:to>
      <xdr:col>10</xdr:col>
      <xdr:colOff>1043549</xdr:colOff>
      <xdr:row>21</xdr:row>
      <xdr:rowOff>171333</xdr:rowOff>
    </xdr:to>
    <xdr:graphicFrame macro="">
      <xdr:nvGraphicFramePr>
        <xdr:cNvPr id="15" name="Chart 14">
          <a:extLst>
            <a:ext uri="{FF2B5EF4-FFF2-40B4-BE49-F238E27FC236}">
              <a16:creationId xmlns:a16="http://schemas.microsoft.com/office/drawing/2014/main" id="{251F1F7A-772C-42DF-88EA-EA9F8B640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2554</xdr:colOff>
      <xdr:row>12</xdr:row>
      <xdr:rowOff>334</xdr:rowOff>
    </xdr:from>
    <xdr:to>
      <xdr:col>13</xdr:col>
      <xdr:colOff>123479</xdr:colOff>
      <xdr:row>21</xdr:row>
      <xdr:rowOff>171334</xdr:rowOff>
    </xdr:to>
    <xdr:graphicFrame macro="">
      <xdr:nvGraphicFramePr>
        <xdr:cNvPr id="16" name="Chart 15">
          <a:extLst>
            <a:ext uri="{FF2B5EF4-FFF2-40B4-BE49-F238E27FC236}">
              <a16:creationId xmlns:a16="http://schemas.microsoft.com/office/drawing/2014/main" id="{989DC200-0E66-40AA-BFC2-48F4383BC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379283</xdr:colOff>
      <xdr:row>19</xdr:row>
      <xdr:rowOff>7240</xdr:rowOff>
    </xdr:from>
    <xdr:to>
      <xdr:col>7</xdr:col>
      <xdr:colOff>882324</xdr:colOff>
      <xdr:row>35</xdr:row>
      <xdr:rowOff>94240</xdr:rowOff>
    </xdr:to>
    <xdr:graphicFrame macro="">
      <xdr:nvGraphicFramePr>
        <xdr:cNvPr id="9" name="Chart 8">
          <a:extLst>
            <a:ext uri="{FF2B5EF4-FFF2-40B4-BE49-F238E27FC236}">
              <a16:creationId xmlns:a16="http://schemas.microsoft.com/office/drawing/2014/main" id="{9D8CBA61-92CE-46B6-87A5-581675DB5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368300</xdr:colOff>
      <xdr:row>11</xdr:row>
      <xdr:rowOff>12700</xdr:rowOff>
    </xdr:from>
    <xdr:to>
      <xdr:col>13</xdr:col>
      <xdr:colOff>128600</xdr:colOff>
      <xdr:row>11</xdr:row>
      <xdr:rowOff>12700</xdr:rowOff>
    </xdr:to>
    <xdr:cxnSp macro="">
      <xdr:nvCxnSpPr>
        <xdr:cNvPr id="10" name="Straight Connector 9">
          <a:extLst>
            <a:ext uri="{FF2B5EF4-FFF2-40B4-BE49-F238E27FC236}">
              <a16:creationId xmlns:a16="http://schemas.microsoft.com/office/drawing/2014/main" id="{45E35130-747A-4807-9C97-FFEF75AC037A}"/>
            </a:ext>
          </a:extLst>
        </xdr:cNvPr>
        <xdr:cNvCxnSpPr/>
      </xdr:nvCxnSpPr>
      <xdr:spPr>
        <a:xfrm>
          <a:off x="3517900" y="42037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368300</xdr:colOff>
      <xdr:row>18</xdr:row>
      <xdr:rowOff>139700</xdr:rowOff>
    </xdr:from>
    <xdr:to>
      <xdr:col>13</xdr:col>
      <xdr:colOff>128600</xdr:colOff>
      <xdr:row>18</xdr:row>
      <xdr:rowOff>139700</xdr:rowOff>
    </xdr:to>
    <xdr:cxnSp macro="">
      <xdr:nvCxnSpPr>
        <xdr:cNvPr id="11" name="Straight Connector 10">
          <a:extLst>
            <a:ext uri="{FF2B5EF4-FFF2-40B4-BE49-F238E27FC236}">
              <a16:creationId xmlns:a16="http://schemas.microsoft.com/office/drawing/2014/main" id="{E87F4D31-657A-4E7A-A04B-3904DA3DB73D}"/>
            </a:ext>
          </a:extLst>
        </xdr:cNvPr>
        <xdr:cNvCxnSpPr/>
      </xdr:nvCxnSpPr>
      <xdr:spPr>
        <a:xfrm>
          <a:off x="3517900" y="69977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xdr:row>
      <xdr:rowOff>9525</xdr:rowOff>
    </xdr:from>
    <xdr:to>
      <xdr:col>3</xdr:col>
      <xdr:colOff>12700</xdr:colOff>
      <xdr:row>10</xdr:row>
      <xdr:rowOff>123825</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B2084510-82F5-4103-B5BC-80474E1C4FB4}"/>
            </a:ext>
          </a:extLst>
        </xdr:cNvPr>
        <xdr:cNvSpPr/>
      </xdr:nvSpPr>
      <xdr:spPr>
        <a:xfrm>
          <a:off x="381000" y="3438525"/>
          <a:ext cx="3378200" cy="495300"/>
        </a:xfrm>
        <a:prstGeom prst="rect">
          <a:avLst/>
        </a:prstGeom>
        <a:solidFill>
          <a:srgbClr val="009B74"/>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chemeClr val="lt1"/>
              </a:solidFill>
              <a:effectLst/>
              <a:latin typeface="+mn-lt"/>
              <a:ea typeface="+mn-ea"/>
              <a:cs typeface="+mn-cs"/>
            </a:rPr>
            <a:t>Click here to edit the variables in </a:t>
          </a:r>
          <a:r>
            <a:rPr lang="en-GB" sz="1100" baseline="0">
              <a:solidFill>
                <a:schemeClr val="lt1"/>
              </a:solidFill>
              <a:effectLst/>
              <a:latin typeface="+mn-lt"/>
              <a:ea typeface="+mn-ea"/>
              <a:cs typeface="+mn-cs"/>
            </a:rPr>
            <a:t>the dashboard</a:t>
          </a:r>
          <a:endParaRPr lang="en-GB">
            <a:effectLst/>
          </a:endParaRPr>
        </a:p>
      </xdr:txBody>
    </xdr:sp>
    <xdr:clientData/>
  </xdr:twoCellAnchor>
  <xdr:twoCellAnchor>
    <xdr:from>
      <xdr:col>7</xdr:col>
      <xdr:colOff>1346200</xdr:colOff>
      <xdr:row>27</xdr:row>
      <xdr:rowOff>305551</xdr:rowOff>
    </xdr:from>
    <xdr:to>
      <xdr:col>8</xdr:col>
      <xdr:colOff>874870</xdr:colOff>
      <xdr:row>31</xdr:row>
      <xdr:rowOff>84547</xdr:rowOff>
    </xdr:to>
    <xdr:sp macro="" textlink="">
      <xdr:nvSpPr>
        <xdr:cNvPr id="17" name="Oval 16">
          <a:extLst>
            <a:ext uri="{FF2B5EF4-FFF2-40B4-BE49-F238E27FC236}">
              <a16:creationId xmlns:a16="http://schemas.microsoft.com/office/drawing/2014/main" id="{1E9224D4-4461-49C9-9371-0989E13C51E5}"/>
            </a:ext>
          </a:extLst>
        </xdr:cNvPr>
        <xdr:cNvSpPr/>
      </xdr:nvSpPr>
      <xdr:spPr>
        <a:xfrm>
          <a:off x="9029700" y="10592551"/>
          <a:ext cx="912970" cy="921996"/>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8</xdr:col>
      <xdr:colOff>18765</xdr:colOff>
      <xdr:row>28</xdr:row>
      <xdr:rowOff>120767</xdr:rowOff>
    </xdr:from>
    <xdr:to>
      <xdr:col>8</xdr:col>
      <xdr:colOff>916055</xdr:colOff>
      <xdr:row>31</xdr:row>
      <xdr:rowOff>4478</xdr:rowOff>
    </xdr:to>
    <xdr:pic>
      <xdr:nvPicPr>
        <xdr:cNvPr id="18" name="Picture 17" descr="Shape&#10;&#10;Description automatically generated with low confidence">
          <a:extLst>
            <a:ext uri="{FF2B5EF4-FFF2-40B4-BE49-F238E27FC236}">
              <a16:creationId xmlns:a16="http://schemas.microsoft.com/office/drawing/2014/main" id="{531A6E0E-549C-4102-9AA9-812D0BE5415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brightnessContrast bright="100000"/>
                  </a14:imgEffect>
                </a14:imgLayer>
              </a14:imgProps>
            </a:ext>
          </a:extLst>
        </a:blip>
        <a:srcRect b="27709"/>
        <a:stretch/>
      </xdr:blipFill>
      <xdr:spPr>
        <a:xfrm flipH="1">
          <a:off x="9086565" y="10788767"/>
          <a:ext cx="897290" cy="645711"/>
        </a:xfrm>
        <a:prstGeom prst="rect">
          <a:avLst/>
        </a:prstGeom>
      </xdr:spPr>
    </xdr:pic>
    <xdr:clientData/>
  </xdr:twoCellAnchor>
  <xdr:twoCellAnchor>
    <xdr:from>
      <xdr:col>8</xdr:col>
      <xdr:colOff>74526</xdr:colOff>
      <xdr:row>28</xdr:row>
      <xdr:rowOff>18747</xdr:rowOff>
    </xdr:from>
    <xdr:to>
      <xdr:col>8</xdr:col>
      <xdr:colOff>775012</xdr:colOff>
      <xdr:row>28</xdr:row>
      <xdr:rowOff>306295</xdr:rowOff>
    </xdr:to>
    <xdr:sp macro="" textlink="">
      <xdr:nvSpPr>
        <xdr:cNvPr id="19" name="TextBox 18">
          <a:extLst>
            <a:ext uri="{FF2B5EF4-FFF2-40B4-BE49-F238E27FC236}">
              <a16:creationId xmlns:a16="http://schemas.microsoft.com/office/drawing/2014/main" id="{4C789D15-4B46-41B8-9691-06A0914611A9}"/>
            </a:ext>
          </a:extLst>
        </xdr:cNvPr>
        <xdr:cNvSpPr txBox="1"/>
      </xdr:nvSpPr>
      <xdr:spPr>
        <a:xfrm>
          <a:off x="9142326" y="10686747"/>
          <a:ext cx="700486" cy="287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bg1"/>
              </a:solidFill>
              <a:latin typeface="Ubuntu" panose="020B0504030602030204" pitchFamily="34" charset="0"/>
            </a:rPr>
            <a:t>24 LU</a:t>
          </a:r>
        </a:p>
      </xdr:txBody>
    </xdr:sp>
    <xdr:clientData/>
  </xdr:twoCellAnchor>
  <xdr:twoCellAnchor>
    <xdr:from>
      <xdr:col>7</xdr:col>
      <xdr:colOff>80224</xdr:colOff>
      <xdr:row>26</xdr:row>
      <xdr:rowOff>330200</xdr:rowOff>
    </xdr:from>
    <xdr:to>
      <xdr:col>7</xdr:col>
      <xdr:colOff>1275003</xdr:colOff>
      <xdr:row>31</xdr:row>
      <xdr:rowOff>84836</xdr:rowOff>
    </xdr:to>
    <xdr:sp macro="" textlink="">
      <xdr:nvSpPr>
        <xdr:cNvPr id="20" name="Oval 19">
          <a:extLst>
            <a:ext uri="{FF2B5EF4-FFF2-40B4-BE49-F238E27FC236}">
              <a16:creationId xmlns:a16="http://schemas.microsoft.com/office/drawing/2014/main" id="{D57AD544-2340-48B1-B1C2-0A50FB512B66}"/>
            </a:ext>
          </a:extLst>
        </xdr:cNvPr>
        <xdr:cNvSpPr/>
      </xdr:nvSpPr>
      <xdr:spPr>
        <a:xfrm>
          <a:off x="7763724" y="10236200"/>
          <a:ext cx="1194779" cy="1278636"/>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7</xdr:col>
      <xdr:colOff>106366</xdr:colOff>
      <xdr:row>27</xdr:row>
      <xdr:rowOff>38793</xdr:rowOff>
    </xdr:from>
    <xdr:to>
      <xdr:col>7</xdr:col>
      <xdr:colOff>1179471</xdr:colOff>
      <xdr:row>29</xdr:row>
      <xdr:rowOff>101803</xdr:rowOff>
    </xdr:to>
    <xdr:pic>
      <xdr:nvPicPr>
        <xdr:cNvPr id="21" name="Picture 20" descr="Shape&#10;&#10;Description automatically generated with low confidence">
          <a:extLst>
            <a:ext uri="{FF2B5EF4-FFF2-40B4-BE49-F238E27FC236}">
              <a16:creationId xmlns:a16="http://schemas.microsoft.com/office/drawing/2014/main" id="{ED045BC5-B7C0-475D-8B73-E2C33922F11B}"/>
            </a:ext>
          </a:extLst>
        </xdr:cNvPr>
        <xdr:cNvPicPr>
          <a:picLocks noChangeAspect="1"/>
        </xdr:cNvPicPr>
      </xdr:nvPicPr>
      <xdr:blipFill rotWithShape="1">
        <a:blip xmlns:r="http://schemas.openxmlformats.org/officeDocument/2006/relationships" r:embed="rId10">
          <a:extLst>
            <a:ext uri="{BEBA8EAE-BF5A-486C-A8C5-ECC9F3942E4B}">
              <a14:imgProps xmlns:a14="http://schemas.microsoft.com/office/drawing/2010/main">
                <a14:imgLayer r:embed="rId11">
                  <a14:imgEffect>
                    <a14:brightnessContrast bright="100000"/>
                  </a14:imgEffect>
                </a14:imgLayer>
              </a14:imgProps>
            </a:ext>
          </a:extLst>
        </a:blip>
        <a:srcRect b="22985"/>
        <a:stretch/>
      </xdr:blipFill>
      <xdr:spPr>
        <a:xfrm flipH="1">
          <a:off x="7789866" y="10325793"/>
          <a:ext cx="1073105" cy="825010"/>
        </a:xfrm>
        <a:prstGeom prst="rect">
          <a:avLst/>
        </a:prstGeom>
      </xdr:spPr>
    </xdr:pic>
    <xdr:clientData/>
  </xdr:twoCellAnchor>
  <xdr:twoCellAnchor>
    <xdr:from>
      <xdr:col>7</xdr:col>
      <xdr:colOff>259830</xdr:colOff>
      <xdr:row>29</xdr:row>
      <xdr:rowOff>23894</xdr:rowOff>
    </xdr:from>
    <xdr:to>
      <xdr:col>7</xdr:col>
      <xdr:colOff>1095403</xdr:colOff>
      <xdr:row>31</xdr:row>
      <xdr:rowOff>112928</xdr:rowOff>
    </xdr:to>
    <xdr:sp macro="" textlink="">
      <xdr:nvSpPr>
        <xdr:cNvPr id="22" name="TextBox 21">
          <a:extLst>
            <a:ext uri="{FF2B5EF4-FFF2-40B4-BE49-F238E27FC236}">
              <a16:creationId xmlns:a16="http://schemas.microsoft.com/office/drawing/2014/main" id="{2F721323-172C-426C-93E4-0C0B957B0A0E}"/>
            </a:ext>
          </a:extLst>
        </xdr:cNvPr>
        <xdr:cNvSpPr txBox="1"/>
      </xdr:nvSpPr>
      <xdr:spPr>
        <a:xfrm>
          <a:off x="7943330" y="11072894"/>
          <a:ext cx="835573" cy="470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chemeClr val="bg1"/>
              </a:solidFill>
              <a:latin typeface="Ubuntu" panose="020B0504030602030204" pitchFamily="34" charset="0"/>
            </a:rPr>
            <a:t>60 LU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858024</xdr:colOff>
      <xdr:row>8</xdr:row>
      <xdr:rowOff>2694</xdr:rowOff>
    </xdr:from>
    <xdr:to>
      <xdr:col>6</xdr:col>
      <xdr:colOff>973257</xdr:colOff>
      <xdr:row>32</xdr:row>
      <xdr:rowOff>64914</xdr:rowOff>
    </xdr:to>
    <xdr:graphicFrame macro="">
      <xdr:nvGraphicFramePr>
        <xdr:cNvPr id="4" name="Chart 3">
          <a:extLst>
            <a:ext uri="{FF2B5EF4-FFF2-40B4-BE49-F238E27FC236}">
              <a16:creationId xmlns:a16="http://schemas.microsoft.com/office/drawing/2014/main" id="{FB5BB539-DC60-4738-B89D-C7F85520D4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106456</xdr:colOff>
      <xdr:row>7</xdr:row>
      <xdr:rowOff>104027</xdr:rowOff>
    </xdr:from>
    <xdr:to>
      <xdr:col>18</xdr:col>
      <xdr:colOff>313764</xdr:colOff>
      <xdr:row>31</xdr:row>
      <xdr:rowOff>162298</xdr:rowOff>
    </xdr:to>
    <xdr:graphicFrame macro="">
      <xdr:nvGraphicFramePr>
        <xdr:cNvPr id="6" name="Chart 5">
          <a:extLst>
            <a:ext uri="{FF2B5EF4-FFF2-40B4-BE49-F238E27FC236}">
              <a16:creationId xmlns:a16="http://schemas.microsoft.com/office/drawing/2014/main" id="{FF4A3156-3A75-4825-A17F-8DD4C724E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125692</xdr:colOff>
      <xdr:row>7</xdr:row>
      <xdr:rowOff>69663</xdr:rowOff>
    </xdr:from>
    <xdr:to>
      <xdr:col>39</xdr:col>
      <xdr:colOff>145675</xdr:colOff>
      <xdr:row>31</xdr:row>
      <xdr:rowOff>151840</xdr:rowOff>
    </xdr:to>
    <xdr:graphicFrame macro="">
      <xdr:nvGraphicFramePr>
        <xdr:cNvPr id="7" name="Chart 6">
          <a:extLst>
            <a:ext uri="{FF2B5EF4-FFF2-40B4-BE49-F238E27FC236}">
              <a16:creationId xmlns:a16="http://schemas.microsoft.com/office/drawing/2014/main" id="{6B16E40D-3A8C-4600-A179-26EA3F235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525029</xdr:colOff>
      <xdr:row>7</xdr:row>
      <xdr:rowOff>66098</xdr:rowOff>
    </xdr:from>
    <xdr:to>
      <xdr:col>59</xdr:col>
      <xdr:colOff>545012</xdr:colOff>
      <xdr:row>31</xdr:row>
      <xdr:rowOff>140483</xdr:rowOff>
    </xdr:to>
    <xdr:graphicFrame macro="">
      <xdr:nvGraphicFramePr>
        <xdr:cNvPr id="8" name="Chart 7">
          <a:extLst>
            <a:ext uri="{FF2B5EF4-FFF2-40B4-BE49-F238E27FC236}">
              <a16:creationId xmlns:a16="http://schemas.microsoft.com/office/drawing/2014/main" id="{1233B62E-926E-4EEA-BB52-4E5D9E000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352425</xdr:colOff>
      <xdr:row>7</xdr:row>
      <xdr:rowOff>123825</xdr:rowOff>
    </xdr:from>
    <xdr:to>
      <xdr:col>80</xdr:col>
      <xdr:colOff>372408</xdr:colOff>
      <xdr:row>32</xdr:row>
      <xdr:rowOff>7710</xdr:rowOff>
    </xdr:to>
    <xdr:graphicFrame macro="">
      <xdr:nvGraphicFramePr>
        <xdr:cNvPr id="9" name="Chart 8">
          <a:extLst>
            <a:ext uri="{FF2B5EF4-FFF2-40B4-BE49-F238E27FC236}">
              <a16:creationId xmlns:a16="http://schemas.microsoft.com/office/drawing/2014/main" id="{FAF2287D-5654-4F11-AFC5-F989AE27E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81</xdr:col>
      <xdr:colOff>170516</xdr:colOff>
      <xdr:row>6</xdr:row>
      <xdr:rowOff>161737</xdr:rowOff>
    </xdr:from>
    <xdr:to>
      <xdr:col>101</xdr:col>
      <xdr:colOff>193674</xdr:colOff>
      <xdr:row>31</xdr:row>
      <xdr:rowOff>48797</xdr:rowOff>
    </xdr:to>
    <xdr:graphicFrame macro="">
      <xdr:nvGraphicFramePr>
        <xdr:cNvPr id="10" name="Chart 9">
          <a:extLst>
            <a:ext uri="{FF2B5EF4-FFF2-40B4-BE49-F238E27FC236}">
              <a16:creationId xmlns:a16="http://schemas.microsoft.com/office/drawing/2014/main" id="{8601F9BC-451C-4871-AA65-D39EC6DCC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344207</xdr:colOff>
      <xdr:row>100</xdr:row>
      <xdr:rowOff>101972</xdr:rowOff>
    </xdr:from>
    <xdr:to>
      <xdr:col>0</xdr:col>
      <xdr:colOff>3075268</xdr:colOff>
      <xdr:row>119</xdr:row>
      <xdr:rowOff>86472</xdr:rowOff>
    </xdr:to>
    <xdr:graphicFrame macro="">
      <xdr:nvGraphicFramePr>
        <xdr:cNvPr id="3" name="Chart 2">
          <a:extLst>
            <a:ext uri="{FF2B5EF4-FFF2-40B4-BE49-F238E27FC236}">
              <a16:creationId xmlns:a16="http://schemas.microsoft.com/office/drawing/2014/main" id="{7C76D805-FDE8-C26D-E32A-03CFDAA2FC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3204882</xdr:colOff>
      <xdr:row>100</xdr:row>
      <xdr:rowOff>100853</xdr:rowOff>
    </xdr:from>
    <xdr:to>
      <xdr:col>2</xdr:col>
      <xdr:colOff>19237</xdr:colOff>
      <xdr:row>119</xdr:row>
      <xdr:rowOff>82178</xdr:rowOff>
    </xdr:to>
    <xdr:graphicFrame macro="">
      <xdr:nvGraphicFramePr>
        <xdr:cNvPr id="14" name="Chart 13">
          <a:extLst>
            <a:ext uri="{FF2B5EF4-FFF2-40B4-BE49-F238E27FC236}">
              <a16:creationId xmlns:a16="http://schemas.microsoft.com/office/drawing/2014/main" id="{9A6358E1-E159-4871-8A97-64A3462CC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124239</xdr:colOff>
      <xdr:row>100</xdr:row>
      <xdr:rowOff>107674</xdr:rowOff>
    </xdr:from>
    <xdr:to>
      <xdr:col>3</xdr:col>
      <xdr:colOff>1222636</xdr:colOff>
      <xdr:row>119</xdr:row>
      <xdr:rowOff>85824</xdr:rowOff>
    </xdr:to>
    <xdr:graphicFrame macro="">
      <xdr:nvGraphicFramePr>
        <xdr:cNvPr id="15" name="Chart 14">
          <a:extLst>
            <a:ext uri="{FF2B5EF4-FFF2-40B4-BE49-F238E27FC236}">
              <a16:creationId xmlns:a16="http://schemas.microsoft.com/office/drawing/2014/main" id="{96213E4F-7007-47FF-974B-53A7A9A16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107674</xdr:colOff>
      <xdr:row>100</xdr:row>
      <xdr:rowOff>107674</xdr:rowOff>
    </xdr:from>
    <xdr:to>
      <xdr:col>6</xdr:col>
      <xdr:colOff>375877</xdr:colOff>
      <xdr:row>119</xdr:row>
      <xdr:rowOff>88999</xdr:rowOff>
    </xdr:to>
    <xdr:graphicFrame macro="">
      <xdr:nvGraphicFramePr>
        <xdr:cNvPr id="16" name="Chart 15">
          <a:extLst>
            <a:ext uri="{FF2B5EF4-FFF2-40B4-BE49-F238E27FC236}">
              <a16:creationId xmlns:a16="http://schemas.microsoft.com/office/drawing/2014/main" id="{05B873DC-7EA6-4D0F-A788-43C95C33F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563217</xdr:colOff>
      <xdr:row>100</xdr:row>
      <xdr:rowOff>99391</xdr:rowOff>
    </xdr:from>
    <xdr:to>
      <xdr:col>8</xdr:col>
      <xdr:colOff>453595</xdr:colOff>
      <xdr:row>119</xdr:row>
      <xdr:rowOff>77541</xdr:rowOff>
    </xdr:to>
    <xdr:graphicFrame macro="">
      <xdr:nvGraphicFramePr>
        <xdr:cNvPr id="17" name="Chart 16">
          <a:extLst>
            <a:ext uri="{FF2B5EF4-FFF2-40B4-BE49-F238E27FC236}">
              <a16:creationId xmlns:a16="http://schemas.microsoft.com/office/drawing/2014/main" id="{B3AB9936-AEDA-48DB-959E-B0EBEE27E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624370</xdr:colOff>
      <xdr:row>100</xdr:row>
      <xdr:rowOff>87934</xdr:rowOff>
    </xdr:from>
    <xdr:to>
      <xdr:col>10</xdr:col>
      <xdr:colOff>541529</xdr:colOff>
      <xdr:row>119</xdr:row>
      <xdr:rowOff>66084</xdr:rowOff>
    </xdr:to>
    <xdr:graphicFrame macro="">
      <xdr:nvGraphicFramePr>
        <xdr:cNvPr id="18" name="Chart 17">
          <a:extLst>
            <a:ext uri="{FF2B5EF4-FFF2-40B4-BE49-F238E27FC236}">
              <a16:creationId xmlns:a16="http://schemas.microsoft.com/office/drawing/2014/main" id="{DE2C6C59-A768-4C8C-9781-386C3A400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1552575</xdr:colOff>
      <xdr:row>6</xdr:row>
      <xdr:rowOff>57150</xdr:rowOff>
    </xdr:from>
    <xdr:to>
      <xdr:col>3</xdr:col>
      <xdr:colOff>8096250</xdr:colOff>
      <xdr:row>6</xdr:row>
      <xdr:rowOff>2493584</xdr:rowOff>
    </xdr:to>
    <xdr:pic>
      <xdr:nvPicPr>
        <xdr:cNvPr id="8" name="Picture 7">
          <a:extLst>
            <a:ext uri="{FF2B5EF4-FFF2-40B4-BE49-F238E27FC236}">
              <a16:creationId xmlns:a16="http://schemas.microsoft.com/office/drawing/2014/main" id="{10632C2B-8745-AE75-64D9-264AC24FD717}"/>
            </a:ext>
          </a:extLst>
        </xdr:cNvPr>
        <xdr:cNvPicPr>
          <a:picLocks noChangeAspect="1"/>
        </xdr:cNvPicPr>
      </xdr:nvPicPr>
      <xdr:blipFill rotWithShape="1">
        <a:blip xmlns:r="http://schemas.openxmlformats.org/officeDocument/2006/relationships" r:embed="rId1"/>
        <a:srcRect b="40284"/>
        <a:stretch/>
      </xdr:blipFill>
      <xdr:spPr>
        <a:xfrm>
          <a:off x="2352675" y="1828800"/>
          <a:ext cx="8534400" cy="2436434"/>
        </a:xfrm>
        <a:prstGeom prst="rect">
          <a:avLst/>
        </a:prstGeom>
      </xdr:spPr>
    </xdr:pic>
    <xdr:clientData/>
  </xdr:twoCellAnchor>
  <xdr:twoCellAnchor editAs="oneCell">
    <xdr:from>
      <xdr:col>2</xdr:col>
      <xdr:colOff>1504950</xdr:colOff>
      <xdr:row>8</xdr:row>
      <xdr:rowOff>152401</xdr:rowOff>
    </xdr:from>
    <xdr:to>
      <xdr:col>3</xdr:col>
      <xdr:colOff>8143875</xdr:colOff>
      <xdr:row>8</xdr:row>
      <xdr:rowOff>2609851</xdr:rowOff>
    </xdr:to>
    <xdr:pic>
      <xdr:nvPicPr>
        <xdr:cNvPr id="9" name="Picture 8">
          <a:extLst>
            <a:ext uri="{FF2B5EF4-FFF2-40B4-BE49-F238E27FC236}">
              <a16:creationId xmlns:a16="http://schemas.microsoft.com/office/drawing/2014/main" id="{D8AEEA0A-2EC8-9045-A9AC-AE0902E8B32B}"/>
            </a:ext>
          </a:extLst>
        </xdr:cNvPr>
        <xdr:cNvPicPr>
          <a:picLocks noChangeAspect="1"/>
        </xdr:cNvPicPr>
      </xdr:nvPicPr>
      <xdr:blipFill rotWithShape="1">
        <a:blip xmlns:r="http://schemas.openxmlformats.org/officeDocument/2006/relationships" r:embed="rId2"/>
        <a:srcRect b="40358"/>
        <a:stretch/>
      </xdr:blipFill>
      <xdr:spPr>
        <a:xfrm>
          <a:off x="2305050" y="4933951"/>
          <a:ext cx="8629650" cy="2457450"/>
        </a:xfrm>
        <a:prstGeom prst="rect">
          <a:avLst/>
        </a:prstGeom>
      </xdr:spPr>
    </xdr:pic>
    <xdr:clientData/>
  </xdr:twoCellAnchor>
  <xdr:twoCellAnchor editAs="oneCell">
    <xdr:from>
      <xdr:col>2</xdr:col>
      <xdr:colOff>1532966</xdr:colOff>
      <xdr:row>10</xdr:row>
      <xdr:rowOff>112059</xdr:rowOff>
    </xdr:from>
    <xdr:to>
      <xdr:col>3</xdr:col>
      <xdr:colOff>8169089</xdr:colOff>
      <xdr:row>10</xdr:row>
      <xdr:rowOff>2118999</xdr:rowOff>
    </xdr:to>
    <xdr:pic>
      <xdr:nvPicPr>
        <xdr:cNvPr id="10" name="Picture 9">
          <a:extLst>
            <a:ext uri="{FF2B5EF4-FFF2-40B4-BE49-F238E27FC236}">
              <a16:creationId xmlns:a16="http://schemas.microsoft.com/office/drawing/2014/main" id="{1E5DC44D-60EC-F3AF-C29A-EAA560686D8C}"/>
            </a:ext>
          </a:extLst>
        </xdr:cNvPr>
        <xdr:cNvPicPr>
          <a:picLocks noChangeAspect="1"/>
        </xdr:cNvPicPr>
      </xdr:nvPicPr>
      <xdr:blipFill rotWithShape="1">
        <a:blip xmlns:r="http://schemas.openxmlformats.org/officeDocument/2006/relationships" r:embed="rId3"/>
        <a:srcRect t="7634" b="1"/>
        <a:stretch/>
      </xdr:blipFill>
      <xdr:spPr>
        <a:xfrm>
          <a:off x="2328584" y="9424147"/>
          <a:ext cx="8630770" cy="2006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284019</xdr:colOff>
      <xdr:row>0</xdr:row>
      <xdr:rowOff>145657</xdr:rowOff>
    </xdr:from>
    <xdr:to>
      <xdr:col>14</xdr:col>
      <xdr:colOff>977239</xdr:colOff>
      <xdr:row>7</xdr:row>
      <xdr:rowOff>37111</xdr:rowOff>
    </xdr:to>
    <xdr:graphicFrame macro="">
      <xdr:nvGraphicFramePr>
        <xdr:cNvPr id="6" name="Chart 5">
          <a:extLst>
            <a:ext uri="{FF2B5EF4-FFF2-40B4-BE49-F238E27FC236}">
              <a16:creationId xmlns:a16="http://schemas.microsoft.com/office/drawing/2014/main" id="{EF683656-00CC-2B9B-9109-E88F4084F5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370821</xdr:colOff>
      <xdr:row>1</xdr:row>
      <xdr:rowOff>0</xdr:rowOff>
    </xdr:from>
    <xdr:to>
      <xdr:col>8</xdr:col>
      <xdr:colOff>928003</xdr:colOff>
      <xdr:row>10</xdr:row>
      <xdr:rowOff>171000</xdr:rowOff>
    </xdr:to>
    <xdr:graphicFrame macro="">
      <xdr:nvGraphicFramePr>
        <xdr:cNvPr id="2" name="Chart 1">
          <a:extLst>
            <a:ext uri="{FF2B5EF4-FFF2-40B4-BE49-F238E27FC236}">
              <a16:creationId xmlns:a16="http://schemas.microsoft.com/office/drawing/2014/main" id="{C06174E8-058C-4883-94FE-67B3B7462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311727</xdr:colOff>
      <xdr:row>54</xdr:row>
      <xdr:rowOff>109853</xdr:rowOff>
    </xdr:from>
    <xdr:to>
      <xdr:col>35</xdr:col>
      <xdr:colOff>8269</xdr:colOff>
      <xdr:row>100</xdr:row>
      <xdr:rowOff>39850</xdr:rowOff>
    </xdr:to>
    <xdr:graphicFrame macro="">
      <xdr:nvGraphicFramePr>
        <xdr:cNvPr id="3" name="Chart 2">
          <a:extLst>
            <a:ext uri="{FF2B5EF4-FFF2-40B4-BE49-F238E27FC236}">
              <a16:creationId xmlns:a16="http://schemas.microsoft.com/office/drawing/2014/main" id="{967F322C-364A-4023-8E2A-96A50527BB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3730</xdr:colOff>
      <xdr:row>11</xdr:row>
      <xdr:rowOff>376053</xdr:rowOff>
    </xdr:from>
    <xdr:to>
      <xdr:col>6</xdr:col>
      <xdr:colOff>127083</xdr:colOff>
      <xdr:row>21</xdr:row>
      <xdr:rowOff>166053</xdr:rowOff>
    </xdr:to>
    <xdr:graphicFrame macro="">
      <xdr:nvGraphicFramePr>
        <xdr:cNvPr id="11" name="Chart 10">
          <a:extLst>
            <a:ext uri="{FF2B5EF4-FFF2-40B4-BE49-F238E27FC236}">
              <a16:creationId xmlns:a16="http://schemas.microsoft.com/office/drawing/2014/main" id="{07EAD3C1-E82F-4347-B973-A0A854976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426957</xdr:colOff>
      <xdr:row>11</xdr:row>
      <xdr:rowOff>376053</xdr:rowOff>
    </xdr:from>
    <xdr:to>
      <xdr:col>8</xdr:col>
      <xdr:colOff>550310</xdr:colOff>
      <xdr:row>21</xdr:row>
      <xdr:rowOff>166053</xdr:rowOff>
    </xdr:to>
    <xdr:graphicFrame macro="">
      <xdr:nvGraphicFramePr>
        <xdr:cNvPr id="12" name="Chart 11">
          <a:extLst>
            <a:ext uri="{FF2B5EF4-FFF2-40B4-BE49-F238E27FC236}">
              <a16:creationId xmlns:a16="http://schemas.microsoft.com/office/drawing/2014/main" id="{730DC573-8707-414F-89A4-80C64013C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850183</xdr:colOff>
      <xdr:row>11</xdr:row>
      <xdr:rowOff>376053</xdr:rowOff>
    </xdr:from>
    <xdr:to>
      <xdr:col>10</xdr:col>
      <xdr:colOff>973535</xdr:colOff>
      <xdr:row>21</xdr:row>
      <xdr:rowOff>166053</xdr:rowOff>
    </xdr:to>
    <xdr:graphicFrame macro="">
      <xdr:nvGraphicFramePr>
        <xdr:cNvPr id="13" name="Chart 12">
          <a:extLst>
            <a:ext uri="{FF2B5EF4-FFF2-40B4-BE49-F238E27FC236}">
              <a16:creationId xmlns:a16="http://schemas.microsoft.com/office/drawing/2014/main" id="{679A5E22-BC68-4F35-9F1D-C8D3973D8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1273412</xdr:colOff>
      <xdr:row>11</xdr:row>
      <xdr:rowOff>376053</xdr:rowOff>
    </xdr:from>
    <xdr:to>
      <xdr:col>13</xdr:col>
      <xdr:colOff>18442</xdr:colOff>
      <xdr:row>21</xdr:row>
      <xdr:rowOff>166053</xdr:rowOff>
    </xdr:to>
    <xdr:graphicFrame macro="">
      <xdr:nvGraphicFramePr>
        <xdr:cNvPr id="14" name="Chart 13">
          <a:extLst>
            <a:ext uri="{FF2B5EF4-FFF2-40B4-BE49-F238E27FC236}">
              <a16:creationId xmlns:a16="http://schemas.microsoft.com/office/drawing/2014/main" id="{31EA013F-5506-4ED9-8AB3-5AEA161D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179</xdr:colOff>
      <xdr:row>18</xdr:row>
      <xdr:rowOff>378348</xdr:rowOff>
    </xdr:from>
    <xdr:to>
      <xdr:col>7</xdr:col>
      <xdr:colOff>163816</xdr:colOff>
      <xdr:row>36</xdr:row>
      <xdr:rowOff>32393</xdr:rowOff>
    </xdr:to>
    <xdr:graphicFrame macro="">
      <xdr:nvGraphicFramePr>
        <xdr:cNvPr id="8" name="Chart 7">
          <a:extLst>
            <a:ext uri="{FF2B5EF4-FFF2-40B4-BE49-F238E27FC236}">
              <a16:creationId xmlns:a16="http://schemas.microsoft.com/office/drawing/2014/main" id="{2261D26F-AF7E-4539-ABD5-95D2976F7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1376306</xdr:colOff>
      <xdr:row>19</xdr:row>
      <xdr:rowOff>8553</xdr:rowOff>
    </xdr:from>
    <xdr:to>
      <xdr:col>11</xdr:col>
      <xdr:colOff>154487</xdr:colOff>
      <xdr:row>36</xdr:row>
      <xdr:rowOff>43598</xdr:rowOff>
    </xdr:to>
    <xdr:graphicFrame macro="">
      <xdr:nvGraphicFramePr>
        <xdr:cNvPr id="10" name="Chart 9">
          <a:extLst>
            <a:ext uri="{FF2B5EF4-FFF2-40B4-BE49-F238E27FC236}">
              <a16:creationId xmlns:a16="http://schemas.microsoft.com/office/drawing/2014/main" id="{0EDAC16A-114A-5F3F-466B-B84090B57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241299</xdr:colOff>
      <xdr:row>11</xdr:row>
      <xdr:rowOff>38100</xdr:rowOff>
    </xdr:from>
    <xdr:to>
      <xdr:col>13</xdr:col>
      <xdr:colOff>1599</xdr:colOff>
      <xdr:row>11</xdr:row>
      <xdr:rowOff>38100</xdr:rowOff>
    </xdr:to>
    <xdr:cxnSp macro="">
      <xdr:nvCxnSpPr>
        <xdr:cNvPr id="15" name="Straight Connector 14">
          <a:extLst>
            <a:ext uri="{FF2B5EF4-FFF2-40B4-BE49-F238E27FC236}">
              <a16:creationId xmlns:a16="http://schemas.microsoft.com/office/drawing/2014/main" id="{AD66D6A4-FED2-445A-B24C-9F4C5A3061C1}"/>
            </a:ext>
          </a:extLst>
        </xdr:cNvPr>
        <xdr:cNvCxnSpPr/>
      </xdr:nvCxnSpPr>
      <xdr:spPr>
        <a:xfrm>
          <a:off x="3390899" y="42291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241299</xdr:colOff>
      <xdr:row>18</xdr:row>
      <xdr:rowOff>165100</xdr:rowOff>
    </xdr:from>
    <xdr:to>
      <xdr:col>13</xdr:col>
      <xdr:colOff>1599</xdr:colOff>
      <xdr:row>18</xdr:row>
      <xdr:rowOff>165100</xdr:rowOff>
    </xdr:to>
    <xdr:cxnSp macro="">
      <xdr:nvCxnSpPr>
        <xdr:cNvPr id="16" name="Straight Connector 15">
          <a:extLst>
            <a:ext uri="{FF2B5EF4-FFF2-40B4-BE49-F238E27FC236}">
              <a16:creationId xmlns:a16="http://schemas.microsoft.com/office/drawing/2014/main" id="{37A1C3CE-51D6-E536-6808-89C498825307}"/>
            </a:ext>
          </a:extLst>
        </xdr:cNvPr>
        <xdr:cNvCxnSpPr/>
      </xdr:nvCxnSpPr>
      <xdr:spPr>
        <a:xfrm>
          <a:off x="3390899" y="70231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12700</xdr:colOff>
      <xdr:row>9</xdr:row>
      <xdr:rowOff>25400</xdr:rowOff>
    </xdr:from>
    <xdr:to>
      <xdr:col>3</xdr:col>
      <xdr:colOff>0</xdr:colOff>
      <xdr:row>10</xdr:row>
      <xdr:rowOff>139700</xdr:rowOff>
    </xdr:to>
    <xdr:sp macro="" textlink="">
      <xdr:nvSpPr>
        <xdr:cNvPr id="4" name="Rectangle 3">
          <a:hlinkClick xmlns:r="http://schemas.openxmlformats.org/officeDocument/2006/relationships" r:id="rId9"/>
          <a:extLst>
            <a:ext uri="{FF2B5EF4-FFF2-40B4-BE49-F238E27FC236}">
              <a16:creationId xmlns:a16="http://schemas.microsoft.com/office/drawing/2014/main" id="{03FABF32-7337-0FC5-C5D7-6BB4CF96EA9F}"/>
            </a:ext>
          </a:extLst>
        </xdr:cNvPr>
        <xdr:cNvSpPr/>
      </xdr:nvSpPr>
      <xdr:spPr>
        <a:xfrm>
          <a:off x="393700" y="3454400"/>
          <a:ext cx="2755900" cy="495300"/>
        </a:xfrm>
        <a:prstGeom prst="rect">
          <a:avLst/>
        </a:prstGeom>
        <a:solidFill>
          <a:srgbClr val="009B74"/>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Click here to edit</a:t>
          </a:r>
          <a:r>
            <a:rPr lang="en-GB" sz="1100" baseline="0"/>
            <a:t> the variables in the dashboard</a:t>
          </a:r>
          <a:endParaRPr lang="en-GB" sz="1100"/>
        </a:p>
      </xdr:txBody>
    </xdr:sp>
    <xdr:clientData/>
  </xdr:twoCellAnchor>
  <xdr:twoCellAnchor>
    <xdr:from>
      <xdr:col>10</xdr:col>
      <xdr:colOff>781562</xdr:colOff>
      <xdr:row>26</xdr:row>
      <xdr:rowOff>257556</xdr:rowOff>
    </xdr:from>
    <xdr:to>
      <xdr:col>11</xdr:col>
      <xdr:colOff>511176</xdr:colOff>
      <xdr:row>31</xdr:row>
      <xdr:rowOff>37562</xdr:rowOff>
    </xdr:to>
    <xdr:sp macro="" textlink="">
      <xdr:nvSpPr>
        <xdr:cNvPr id="18" name="Oval 17">
          <a:extLst>
            <a:ext uri="{FF2B5EF4-FFF2-40B4-BE49-F238E27FC236}">
              <a16:creationId xmlns:a16="http://schemas.microsoft.com/office/drawing/2014/main" id="{A49A4FED-32B0-4CAF-AC02-225B0AE3D3D0}"/>
            </a:ext>
          </a:extLst>
        </xdr:cNvPr>
        <xdr:cNvSpPr/>
      </xdr:nvSpPr>
      <xdr:spPr>
        <a:xfrm>
          <a:off x="12592562" y="10163556"/>
          <a:ext cx="1110739" cy="1113506"/>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10</xdr:col>
      <xdr:colOff>667775</xdr:colOff>
      <xdr:row>27</xdr:row>
      <xdr:rowOff>183930</xdr:rowOff>
    </xdr:from>
    <xdr:to>
      <xdr:col>11</xdr:col>
      <xdr:colOff>582437</xdr:colOff>
      <xdr:row>28</xdr:row>
      <xdr:rowOff>172888</xdr:rowOff>
    </xdr:to>
    <xdr:sp macro="" textlink="">
      <xdr:nvSpPr>
        <xdr:cNvPr id="19" name="TextBox 18">
          <a:extLst>
            <a:ext uri="{FF2B5EF4-FFF2-40B4-BE49-F238E27FC236}">
              <a16:creationId xmlns:a16="http://schemas.microsoft.com/office/drawing/2014/main" id="{E75C1933-262E-4587-B05D-35EF09F6917B}"/>
            </a:ext>
          </a:extLst>
        </xdr:cNvPr>
        <xdr:cNvSpPr txBox="1"/>
      </xdr:nvSpPr>
      <xdr:spPr>
        <a:xfrm>
          <a:off x="12478775" y="10470930"/>
          <a:ext cx="1295787" cy="369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400" b="1">
              <a:solidFill>
                <a:schemeClr val="bg1"/>
              </a:solidFill>
              <a:latin typeface="Ubuntu" panose="020B0504030602030204" pitchFamily="34" charset="0"/>
            </a:rPr>
            <a:t>91 LU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7832</xdr:colOff>
      <xdr:row>1</xdr:row>
      <xdr:rowOff>13940</xdr:rowOff>
    </xdr:from>
    <xdr:to>
      <xdr:col>8</xdr:col>
      <xdr:colOff>936118</xdr:colOff>
      <xdr:row>10</xdr:row>
      <xdr:rowOff>184940</xdr:rowOff>
    </xdr:to>
    <xdr:graphicFrame macro="">
      <xdr:nvGraphicFramePr>
        <xdr:cNvPr id="4" name="Chart 3">
          <a:extLst>
            <a:ext uri="{FF2B5EF4-FFF2-40B4-BE49-F238E27FC236}">
              <a16:creationId xmlns:a16="http://schemas.microsoft.com/office/drawing/2014/main" id="{384DFDBC-0E7B-4D75-AAA2-F481DA2AD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21853</xdr:colOff>
      <xdr:row>12</xdr:row>
      <xdr:rowOff>17467</xdr:rowOff>
    </xdr:from>
    <xdr:to>
      <xdr:col>6</xdr:col>
      <xdr:colOff>133253</xdr:colOff>
      <xdr:row>21</xdr:row>
      <xdr:rowOff>188467</xdr:rowOff>
    </xdr:to>
    <xdr:graphicFrame macro="">
      <xdr:nvGraphicFramePr>
        <xdr:cNvPr id="18" name="Chart 17">
          <a:extLst>
            <a:ext uri="{FF2B5EF4-FFF2-40B4-BE49-F238E27FC236}">
              <a16:creationId xmlns:a16="http://schemas.microsoft.com/office/drawing/2014/main" id="{B00F0B8D-66AF-4FB8-ADDC-D3CA9780D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445473</xdr:colOff>
      <xdr:row>12</xdr:row>
      <xdr:rowOff>17467</xdr:rowOff>
    </xdr:from>
    <xdr:to>
      <xdr:col>8</xdr:col>
      <xdr:colOff>556873</xdr:colOff>
      <xdr:row>21</xdr:row>
      <xdr:rowOff>188467</xdr:rowOff>
    </xdr:to>
    <xdr:graphicFrame macro="">
      <xdr:nvGraphicFramePr>
        <xdr:cNvPr id="19" name="Chart 18">
          <a:extLst>
            <a:ext uri="{FF2B5EF4-FFF2-40B4-BE49-F238E27FC236}">
              <a16:creationId xmlns:a16="http://schemas.microsoft.com/office/drawing/2014/main" id="{F2157E71-A25E-40F5-8831-64BE90A7D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869093</xdr:colOff>
      <xdr:row>12</xdr:row>
      <xdr:rowOff>17467</xdr:rowOff>
    </xdr:from>
    <xdr:to>
      <xdr:col>10</xdr:col>
      <xdr:colOff>980493</xdr:colOff>
      <xdr:row>21</xdr:row>
      <xdr:rowOff>188467</xdr:rowOff>
    </xdr:to>
    <xdr:graphicFrame macro="">
      <xdr:nvGraphicFramePr>
        <xdr:cNvPr id="20" name="Chart 19">
          <a:extLst>
            <a:ext uri="{FF2B5EF4-FFF2-40B4-BE49-F238E27FC236}">
              <a16:creationId xmlns:a16="http://schemas.microsoft.com/office/drawing/2014/main" id="{C085F667-34AB-4F78-9EFC-EA64A25AF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1292713</xdr:colOff>
      <xdr:row>12</xdr:row>
      <xdr:rowOff>17467</xdr:rowOff>
    </xdr:from>
    <xdr:to>
      <xdr:col>13</xdr:col>
      <xdr:colOff>19813</xdr:colOff>
      <xdr:row>21</xdr:row>
      <xdr:rowOff>188467</xdr:rowOff>
    </xdr:to>
    <xdr:graphicFrame macro="">
      <xdr:nvGraphicFramePr>
        <xdr:cNvPr id="21" name="Chart 20">
          <a:extLst>
            <a:ext uri="{FF2B5EF4-FFF2-40B4-BE49-F238E27FC236}">
              <a16:creationId xmlns:a16="http://schemas.microsoft.com/office/drawing/2014/main" id="{66E727E2-DEBD-44CD-8322-1112AEE13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19049</xdr:colOff>
      <xdr:row>19</xdr:row>
      <xdr:rowOff>3191</xdr:rowOff>
    </xdr:from>
    <xdr:to>
      <xdr:col>7</xdr:col>
      <xdr:colOff>195674</xdr:colOff>
      <xdr:row>34</xdr:row>
      <xdr:rowOff>156866</xdr:rowOff>
    </xdr:to>
    <xdr:graphicFrame macro="">
      <xdr:nvGraphicFramePr>
        <xdr:cNvPr id="7" name="Chart 6">
          <a:extLst>
            <a:ext uri="{FF2B5EF4-FFF2-40B4-BE49-F238E27FC236}">
              <a16:creationId xmlns:a16="http://schemas.microsoft.com/office/drawing/2014/main" id="{16B36422-7CD1-4A8E-B6A4-A421CEFA4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215900</xdr:colOff>
      <xdr:row>11</xdr:row>
      <xdr:rowOff>0</xdr:rowOff>
    </xdr:from>
    <xdr:to>
      <xdr:col>12</xdr:col>
      <xdr:colOff>1360500</xdr:colOff>
      <xdr:row>11</xdr:row>
      <xdr:rowOff>0</xdr:rowOff>
    </xdr:to>
    <xdr:cxnSp macro="">
      <xdr:nvCxnSpPr>
        <xdr:cNvPr id="8" name="Straight Connector 7">
          <a:extLst>
            <a:ext uri="{FF2B5EF4-FFF2-40B4-BE49-F238E27FC236}">
              <a16:creationId xmlns:a16="http://schemas.microsoft.com/office/drawing/2014/main" id="{5F628FA6-772E-4AD9-844A-4DD8E19810DD}"/>
            </a:ext>
          </a:extLst>
        </xdr:cNvPr>
        <xdr:cNvCxnSpPr/>
      </xdr:nvCxnSpPr>
      <xdr:spPr>
        <a:xfrm>
          <a:off x="3365500" y="41910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215900</xdr:colOff>
      <xdr:row>18</xdr:row>
      <xdr:rowOff>127000</xdr:rowOff>
    </xdr:from>
    <xdr:to>
      <xdr:col>12</xdr:col>
      <xdr:colOff>1360500</xdr:colOff>
      <xdr:row>18</xdr:row>
      <xdr:rowOff>127000</xdr:rowOff>
    </xdr:to>
    <xdr:cxnSp macro="">
      <xdr:nvCxnSpPr>
        <xdr:cNvPr id="9" name="Straight Connector 8">
          <a:extLst>
            <a:ext uri="{FF2B5EF4-FFF2-40B4-BE49-F238E27FC236}">
              <a16:creationId xmlns:a16="http://schemas.microsoft.com/office/drawing/2014/main" id="{CFDFFD77-275E-43DE-B303-6DD4B85FB8CF}"/>
            </a:ext>
          </a:extLst>
        </xdr:cNvPr>
        <xdr:cNvCxnSpPr/>
      </xdr:nvCxnSpPr>
      <xdr:spPr>
        <a:xfrm>
          <a:off x="3365500" y="69850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25400</xdr:colOff>
      <xdr:row>9</xdr:row>
      <xdr:rowOff>0</xdr:rowOff>
    </xdr:from>
    <xdr:to>
      <xdr:col>3</xdr:col>
      <xdr:colOff>12700</xdr:colOff>
      <xdr:row>10</xdr:row>
      <xdr:rowOff>114300</xdr:rowOff>
    </xdr:to>
    <xdr:sp macro="" textlink="">
      <xdr:nvSpPr>
        <xdr:cNvPr id="11" name="Rectangle 10">
          <a:hlinkClick xmlns:r="http://schemas.openxmlformats.org/officeDocument/2006/relationships" r:id="rId7"/>
          <a:extLst>
            <a:ext uri="{FF2B5EF4-FFF2-40B4-BE49-F238E27FC236}">
              <a16:creationId xmlns:a16="http://schemas.microsoft.com/office/drawing/2014/main" id="{EA7B6328-F314-4888-9D3E-6E22BD0EC87E}"/>
            </a:ext>
          </a:extLst>
        </xdr:cNvPr>
        <xdr:cNvSpPr/>
      </xdr:nvSpPr>
      <xdr:spPr>
        <a:xfrm>
          <a:off x="406400" y="3429000"/>
          <a:ext cx="2755900" cy="495300"/>
        </a:xfrm>
        <a:prstGeom prst="rect">
          <a:avLst/>
        </a:prstGeom>
        <a:solidFill>
          <a:srgbClr val="009B74"/>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Click here to edit the variables in </a:t>
          </a:r>
          <a:r>
            <a:rPr lang="en-GB" sz="1100" baseline="0"/>
            <a:t>the dashboard</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373062</xdr:colOff>
      <xdr:row>0</xdr:row>
      <xdr:rowOff>373957</xdr:rowOff>
    </xdr:from>
    <xdr:to>
      <xdr:col>8</xdr:col>
      <xdr:colOff>947562</xdr:colOff>
      <xdr:row>10</xdr:row>
      <xdr:rowOff>163957</xdr:rowOff>
    </xdr:to>
    <xdr:graphicFrame macro="">
      <xdr:nvGraphicFramePr>
        <xdr:cNvPr id="3" name="Chart 2">
          <a:extLst>
            <a:ext uri="{FF2B5EF4-FFF2-40B4-BE49-F238E27FC236}">
              <a16:creationId xmlns:a16="http://schemas.microsoft.com/office/drawing/2014/main" id="{B3A57B48-947D-4370-A75D-3432FF1B8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57</xdr:row>
      <xdr:rowOff>109853</xdr:rowOff>
    </xdr:from>
    <xdr:to>
      <xdr:col>8</xdr:col>
      <xdr:colOff>8269</xdr:colOff>
      <xdr:row>103</xdr:row>
      <xdr:rowOff>39850</xdr:rowOff>
    </xdr:to>
    <xdr:graphicFrame macro="">
      <xdr:nvGraphicFramePr>
        <xdr:cNvPr id="8" name="Chart 7">
          <a:extLst>
            <a:ext uri="{FF2B5EF4-FFF2-40B4-BE49-F238E27FC236}">
              <a16:creationId xmlns:a16="http://schemas.microsoft.com/office/drawing/2014/main" id="{14D97AF6-70BA-4C19-BF4B-D855BB00D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76057</xdr:colOff>
      <xdr:row>12</xdr:row>
      <xdr:rowOff>17610</xdr:rowOff>
    </xdr:from>
    <xdr:to>
      <xdr:col>6</xdr:col>
      <xdr:colOff>193807</xdr:colOff>
      <xdr:row>21</xdr:row>
      <xdr:rowOff>188610</xdr:rowOff>
    </xdr:to>
    <xdr:graphicFrame macro="">
      <xdr:nvGraphicFramePr>
        <xdr:cNvPr id="13" name="Chart 12">
          <a:extLst>
            <a:ext uri="{FF2B5EF4-FFF2-40B4-BE49-F238E27FC236}">
              <a16:creationId xmlns:a16="http://schemas.microsoft.com/office/drawing/2014/main" id="{237BFB61-FD7F-4703-BD3B-51A33A060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534443</xdr:colOff>
      <xdr:row>12</xdr:row>
      <xdr:rowOff>17610</xdr:rowOff>
    </xdr:from>
    <xdr:to>
      <xdr:col>8</xdr:col>
      <xdr:colOff>655368</xdr:colOff>
      <xdr:row>21</xdr:row>
      <xdr:rowOff>188610</xdr:rowOff>
    </xdr:to>
    <xdr:graphicFrame macro="">
      <xdr:nvGraphicFramePr>
        <xdr:cNvPr id="14" name="Chart 13">
          <a:extLst>
            <a:ext uri="{FF2B5EF4-FFF2-40B4-BE49-F238E27FC236}">
              <a16:creationId xmlns:a16="http://schemas.microsoft.com/office/drawing/2014/main" id="{DBE38110-B0E6-4525-A54A-8B84215D1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996004</xdr:colOff>
      <xdr:row>12</xdr:row>
      <xdr:rowOff>17610</xdr:rowOff>
    </xdr:from>
    <xdr:to>
      <xdr:col>10</xdr:col>
      <xdr:colOff>1116929</xdr:colOff>
      <xdr:row>21</xdr:row>
      <xdr:rowOff>188610</xdr:rowOff>
    </xdr:to>
    <xdr:graphicFrame macro="">
      <xdr:nvGraphicFramePr>
        <xdr:cNvPr id="15" name="Chart 14">
          <a:extLst>
            <a:ext uri="{FF2B5EF4-FFF2-40B4-BE49-F238E27FC236}">
              <a16:creationId xmlns:a16="http://schemas.microsoft.com/office/drawing/2014/main" id="{4B51A959-9EFC-468D-9C23-2789C719C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73265</xdr:colOff>
      <xdr:row>12</xdr:row>
      <xdr:rowOff>81110</xdr:rowOff>
    </xdr:from>
    <xdr:to>
      <xdr:col>13</xdr:col>
      <xdr:colOff>194190</xdr:colOff>
      <xdr:row>21</xdr:row>
      <xdr:rowOff>252110</xdr:rowOff>
    </xdr:to>
    <xdr:graphicFrame macro="">
      <xdr:nvGraphicFramePr>
        <xdr:cNvPr id="16" name="Chart 15">
          <a:extLst>
            <a:ext uri="{FF2B5EF4-FFF2-40B4-BE49-F238E27FC236}">
              <a16:creationId xmlns:a16="http://schemas.microsoft.com/office/drawing/2014/main" id="{63E76377-49D6-42EA-BF92-3ACA33A5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22609</xdr:colOff>
      <xdr:row>18</xdr:row>
      <xdr:rowOff>379235</xdr:rowOff>
    </xdr:from>
    <xdr:to>
      <xdr:col>7</xdr:col>
      <xdr:colOff>186245</xdr:colOff>
      <xdr:row>35</xdr:row>
      <xdr:rowOff>85235</xdr:rowOff>
    </xdr:to>
    <xdr:graphicFrame macro="">
      <xdr:nvGraphicFramePr>
        <xdr:cNvPr id="9" name="Chart 8">
          <a:extLst>
            <a:ext uri="{FF2B5EF4-FFF2-40B4-BE49-F238E27FC236}">
              <a16:creationId xmlns:a16="http://schemas.microsoft.com/office/drawing/2014/main" id="{DF4CDE7D-E072-4BA0-95D8-D2441199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368300</xdr:colOff>
      <xdr:row>11</xdr:row>
      <xdr:rowOff>38100</xdr:rowOff>
    </xdr:from>
    <xdr:to>
      <xdr:col>13</xdr:col>
      <xdr:colOff>128600</xdr:colOff>
      <xdr:row>11</xdr:row>
      <xdr:rowOff>38100</xdr:rowOff>
    </xdr:to>
    <xdr:cxnSp macro="">
      <xdr:nvCxnSpPr>
        <xdr:cNvPr id="10" name="Straight Connector 9">
          <a:extLst>
            <a:ext uri="{FF2B5EF4-FFF2-40B4-BE49-F238E27FC236}">
              <a16:creationId xmlns:a16="http://schemas.microsoft.com/office/drawing/2014/main" id="{9239FFD8-1C06-4223-8DEE-75A25EF3C42E}"/>
            </a:ext>
          </a:extLst>
        </xdr:cNvPr>
        <xdr:cNvCxnSpPr/>
      </xdr:nvCxnSpPr>
      <xdr:spPr>
        <a:xfrm>
          <a:off x="3517900" y="42291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368300</xdr:colOff>
      <xdr:row>18</xdr:row>
      <xdr:rowOff>165100</xdr:rowOff>
    </xdr:from>
    <xdr:to>
      <xdr:col>13</xdr:col>
      <xdr:colOff>128600</xdr:colOff>
      <xdr:row>18</xdr:row>
      <xdr:rowOff>165100</xdr:rowOff>
    </xdr:to>
    <xdr:cxnSp macro="">
      <xdr:nvCxnSpPr>
        <xdr:cNvPr id="11" name="Straight Connector 10">
          <a:extLst>
            <a:ext uri="{FF2B5EF4-FFF2-40B4-BE49-F238E27FC236}">
              <a16:creationId xmlns:a16="http://schemas.microsoft.com/office/drawing/2014/main" id="{1BD0CD6A-4BCF-498E-8C21-379FB6CA57D8}"/>
            </a:ext>
          </a:extLst>
        </xdr:cNvPr>
        <xdr:cNvCxnSpPr/>
      </xdr:nvCxnSpPr>
      <xdr:spPr>
        <a:xfrm>
          <a:off x="3517900" y="70231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9</xdr:row>
      <xdr:rowOff>25400</xdr:rowOff>
    </xdr:from>
    <xdr:to>
      <xdr:col>3</xdr:col>
      <xdr:colOff>25400</xdr:colOff>
      <xdr:row>10</xdr:row>
      <xdr:rowOff>139700</xdr:rowOff>
    </xdr:to>
    <xdr:sp macro="" textlink="">
      <xdr:nvSpPr>
        <xdr:cNvPr id="12" name="Rectangle 11">
          <a:hlinkClick xmlns:r="http://schemas.openxmlformats.org/officeDocument/2006/relationships" r:id="rId8"/>
          <a:extLst>
            <a:ext uri="{FF2B5EF4-FFF2-40B4-BE49-F238E27FC236}">
              <a16:creationId xmlns:a16="http://schemas.microsoft.com/office/drawing/2014/main" id="{D0635F1F-94E6-49F6-A569-3C4656774297}"/>
            </a:ext>
          </a:extLst>
        </xdr:cNvPr>
        <xdr:cNvSpPr/>
      </xdr:nvSpPr>
      <xdr:spPr>
        <a:xfrm>
          <a:off x="419100" y="3454400"/>
          <a:ext cx="2755900" cy="495300"/>
        </a:xfrm>
        <a:prstGeom prst="rect">
          <a:avLst/>
        </a:prstGeom>
        <a:solidFill>
          <a:srgbClr val="009B74"/>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chemeClr val="lt1"/>
              </a:solidFill>
              <a:effectLst/>
              <a:latin typeface="+mn-lt"/>
              <a:ea typeface="+mn-ea"/>
              <a:cs typeface="+mn-cs"/>
            </a:rPr>
            <a:t>Click here to edit the variables in </a:t>
          </a:r>
          <a:r>
            <a:rPr lang="en-GB" sz="1100" baseline="0">
              <a:solidFill>
                <a:schemeClr val="lt1"/>
              </a:solidFill>
              <a:effectLst/>
              <a:latin typeface="+mn-lt"/>
              <a:ea typeface="+mn-ea"/>
              <a:cs typeface="+mn-cs"/>
            </a:rPr>
            <a:t>the dashboard</a:t>
          </a:r>
          <a:endParaRPr lang="en-GB">
            <a:effectLst/>
          </a:endParaRPr>
        </a:p>
      </xdr:txBody>
    </xdr:sp>
    <xdr:clientData/>
  </xdr:twoCellAnchor>
  <xdr:twoCellAnchor>
    <xdr:from>
      <xdr:col>7</xdr:col>
      <xdr:colOff>199651</xdr:colOff>
      <xdr:row>24</xdr:row>
      <xdr:rowOff>304800</xdr:rowOff>
    </xdr:from>
    <xdr:to>
      <xdr:col>8</xdr:col>
      <xdr:colOff>635135</xdr:colOff>
      <xdr:row>30</xdr:row>
      <xdr:rowOff>28418</xdr:rowOff>
    </xdr:to>
    <xdr:sp macro="" textlink="">
      <xdr:nvSpPr>
        <xdr:cNvPr id="17" name="Oval 16">
          <a:extLst>
            <a:ext uri="{FF2B5EF4-FFF2-40B4-BE49-F238E27FC236}">
              <a16:creationId xmlns:a16="http://schemas.microsoft.com/office/drawing/2014/main" id="{7EAE1252-8F23-4F64-8C90-5DB30B920BD6}"/>
            </a:ext>
          </a:extLst>
        </xdr:cNvPr>
        <xdr:cNvSpPr/>
      </xdr:nvSpPr>
      <xdr:spPr>
        <a:xfrm>
          <a:off x="7883151" y="9448800"/>
          <a:ext cx="1819784" cy="1819118"/>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8</xdr:col>
      <xdr:colOff>711200</xdr:colOff>
      <xdr:row>26</xdr:row>
      <xdr:rowOff>352501</xdr:rowOff>
    </xdr:from>
    <xdr:to>
      <xdr:col>9</xdr:col>
      <xdr:colOff>336686</xdr:colOff>
      <xdr:row>30</xdr:row>
      <xdr:rowOff>28417</xdr:rowOff>
    </xdr:to>
    <xdr:sp macro="" textlink="">
      <xdr:nvSpPr>
        <xdr:cNvPr id="18" name="Oval 17">
          <a:extLst>
            <a:ext uri="{FF2B5EF4-FFF2-40B4-BE49-F238E27FC236}">
              <a16:creationId xmlns:a16="http://schemas.microsoft.com/office/drawing/2014/main" id="{1F098C96-55D5-4734-96BC-B1E0F11A3647}"/>
            </a:ext>
          </a:extLst>
        </xdr:cNvPr>
        <xdr:cNvSpPr/>
      </xdr:nvSpPr>
      <xdr:spPr>
        <a:xfrm>
          <a:off x="9779000" y="10258501"/>
          <a:ext cx="1009786" cy="1009416"/>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b="1"/>
            <a:t>x</a:t>
          </a:r>
        </a:p>
      </xdr:txBody>
    </xdr:sp>
    <xdr:clientData/>
  </xdr:twoCellAnchor>
  <xdr:twoCellAnchor>
    <xdr:from>
      <xdr:col>8</xdr:col>
      <xdr:colOff>828870</xdr:colOff>
      <xdr:row>27</xdr:row>
      <xdr:rowOff>147552</xdr:rowOff>
    </xdr:from>
    <xdr:to>
      <xdr:col>9</xdr:col>
      <xdr:colOff>325320</xdr:colOff>
      <xdr:row>29</xdr:row>
      <xdr:rowOff>59889</xdr:rowOff>
    </xdr:to>
    <xdr:pic>
      <xdr:nvPicPr>
        <xdr:cNvPr id="19" name="Picture 18" descr="Shape&#10;&#10;Description automatically generated with low confidence">
          <a:extLst>
            <a:ext uri="{FF2B5EF4-FFF2-40B4-BE49-F238E27FC236}">
              <a16:creationId xmlns:a16="http://schemas.microsoft.com/office/drawing/2014/main" id="{59CC8CA0-9A5B-4D10-8CBF-8EC0789F10D1}"/>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colorTemperature colorTemp="4531"/>
                  </a14:imgEffect>
                  <a14:imgEffect>
                    <a14:saturation sat="152000"/>
                  </a14:imgEffect>
                  <a14:imgEffect>
                    <a14:brightnessContrast bright="100000" contrast="100000"/>
                  </a14:imgEffect>
                </a14:imgLayer>
              </a14:imgProps>
            </a:ext>
          </a:extLst>
        </a:blip>
        <a:srcRect b="23408"/>
        <a:stretch/>
      </xdr:blipFill>
      <xdr:spPr>
        <a:xfrm>
          <a:off x="9896670" y="10434552"/>
          <a:ext cx="880750" cy="674337"/>
        </a:xfrm>
        <a:prstGeom prst="rect">
          <a:avLst/>
        </a:prstGeom>
      </xdr:spPr>
    </xdr:pic>
    <xdr:clientData/>
  </xdr:twoCellAnchor>
  <xdr:twoCellAnchor>
    <xdr:from>
      <xdr:col>7</xdr:col>
      <xdr:colOff>225051</xdr:colOff>
      <xdr:row>25</xdr:row>
      <xdr:rowOff>114300</xdr:rowOff>
    </xdr:from>
    <xdr:to>
      <xdr:col>8</xdr:col>
      <xdr:colOff>790706</xdr:colOff>
      <xdr:row>28</xdr:row>
      <xdr:rowOff>369825</xdr:rowOff>
    </xdr:to>
    <xdr:pic>
      <xdr:nvPicPr>
        <xdr:cNvPr id="22" name="Picture 21" descr="Shape&#10;&#10;Description automatically generated with low confidence">
          <a:extLst>
            <a:ext uri="{FF2B5EF4-FFF2-40B4-BE49-F238E27FC236}">
              <a16:creationId xmlns:a16="http://schemas.microsoft.com/office/drawing/2014/main" id="{E396B3C3-81F4-4953-8DD1-BCD8BF44B961}"/>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brightnessContrast bright="100000"/>
                  </a14:imgEffect>
                </a14:imgLayer>
              </a14:imgProps>
            </a:ext>
          </a:extLst>
        </a:blip>
        <a:srcRect b="28253"/>
        <a:stretch/>
      </xdr:blipFill>
      <xdr:spPr>
        <a:xfrm>
          <a:off x="7908551" y="9639300"/>
          <a:ext cx="1949955" cy="1398525"/>
        </a:xfrm>
        <a:prstGeom prst="rect">
          <a:avLst/>
        </a:prstGeom>
      </xdr:spPr>
    </xdr:pic>
    <xdr:clientData/>
  </xdr:twoCellAnchor>
  <xdr:twoCellAnchor>
    <xdr:from>
      <xdr:col>7</xdr:col>
      <xdr:colOff>432451</xdr:colOff>
      <xdr:row>25</xdr:row>
      <xdr:rowOff>148394</xdr:rowOff>
    </xdr:from>
    <xdr:to>
      <xdr:col>8</xdr:col>
      <xdr:colOff>338107</xdr:colOff>
      <xdr:row>26</xdr:row>
      <xdr:rowOff>134787</xdr:rowOff>
    </xdr:to>
    <xdr:sp macro="" textlink="">
      <xdr:nvSpPr>
        <xdr:cNvPr id="20" name="TextBox 19">
          <a:extLst>
            <a:ext uri="{FF2B5EF4-FFF2-40B4-BE49-F238E27FC236}">
              <a16:creationId xmlns:a16="http://schemas.microsoft.com/office/drawing/2014/main" id="{420B10FB-940C-48D0-AC0F-535FFF7B8508}"/>
            </a:ext>
          </a:extLst>
        </xdr:cNvPr>
        <xdr:cNvSpPr txBox="1"/>
      </xdr:nvSpPr>
      <xdr:spPr>
        <a:xfrm>
          <a:off x="8115951" y="9673394"/>
          <a:ext cx="1289956"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bg1"/>
              </a:solidFill>
              <a:latin typeface="Ubuntu" panose="020B0504030602030204" pitchFamily="34" charset="0"/>
            </a:rPr>
            <a:t>128 LU</a:t>
          </a:r>
        </a:p>
      </xdr:txBody>
    </xdr:sp>
    <xdr:clientData/>
  </xdr:twoCellAnchor>
  <xdr:twoCellAnchor>
    <xdr:from>
      <xdr:col>8</xdr:col>
      <xdr:colOff>804379</xdr:colOff>
      <xdr:row>27</xdr:row>
      <xdr:rowOff>66750</xdr:rowOff>
    </xdr:from>
    <xdr:to>
      <xdr:col>9</xdr:col>
      <xdr:colOff>571243</xdr:colOff>
      <xdr:row>28</xdr:row>
      <xdr:rowOff>53143</xdr:rowOff>
    </xdr:to>
    <xdr:sp macro="" textlink="">
      <xdr:nvSpPr>
        <xdr:cNvPr id="21" name="TextBox 20">
          <a:extLst>
            <a:ext uri="{FF2B5EF4-FFF2-40B4-BE49-F238E27FC236}">
              <a16:creationId xmlns:a16="http://schemas.microsoft.com/office/drawing/2014/main" id="{4AF96CB8-2C2F-49BD-A9AE-549F9437687F}"/>
            </a:ext>
          </a:extLst>
        </xdr:cNvPr>
        <xdr:cNvSpPr txBox="1"/>
      </xdr:nvSpPr>
      <xdr:spPr>
        <a:xfrm>
          <a:off x="9872179" y="10353750"/>
          <a:ext cx="11511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bg1"/>
              </a:solidFill>
              <a:latin typeface="Ubuntu" panose="020B0504030602030204" pitchFamily="34" charset="0"/>
            </a:rPr>
            <a:t>34 LU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371473</xdr:colOff>
      <xdr:row>0</xdr:row>
      <xdr:rowOff>372651</xdr:rowOff>
    </xdr:from>
    <xdr:to>
      <xdr:col>8</xdr:col>
      <xdr:colOff>957179</xdr:colOff>
      <xdr:row>10</xdr:row>
      <xdr:rowOff>162651</xdr:rowOff>
    </xdr:to>
    <xdr:graphicFrame macro="">
      <xdr:nvGraphicFramePr>
        <xdr:cNvPr id="5" name="Chart 4">
          <a:extLst>
            <a:ext uri="{FF2B5EF4-FFF2-40B4-BE49-F238E27FC236}">
              <a16:creationId xmlns:a16="http://schemas.microsoft.com/office/drawing/2014/main" id="{EFB870C5-7D3B-4494-AED7-CF96E3B05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56</xdr:row>
      <xdr:rowOff>109853</xdr:rowOff>
    </xdr:from>
    <xdr:to>
      <xdr:col>8</xdr:col>
      <xdr:colOff>8269</xdr:colOff>
      <xdr:row>102</xdr:row>
      <xdr:rowOff>39850</xdr:rowOff>
    </xdr:to>
    <xdr:graphicFrame macro="">
      <xdr:nvGraphicFramePr>
        <xdr:cNvPr id="8" name="Chart 7">
          <a:extLst>
            <a:ext uri="{FF2B5EF4-FFF2-40B4-BE49-F238E27FC236}">
              <a16:creationId xmlns:a16="http://schemas.microsoft.com/office/drawing/2014/main" id="{849C8457-44FA-45FB-86DD-71CBFD369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379783</xdr:colOff>
      <xdr:row>11</xdr:row>
      <xdr:rowOff>362825</xdr:rowOff>
    </xdr:from>
    <xdr:to>
      <xdr:col>6</xdr:col>
      <xdr:colOff>110183</xdr:colOff>
      <xdr:row>21</xdr:row>
      <xdr:rowOff>152825</xdr:rowOff>
    </xdr:to>
    <xdr:graphicFrame macro="">
      <xdr:nvGraphicFramePr>
        <xdr:cNvPr id="13" name="Chart 12">
          <a:extLst>
            <a:ext uri="{FF2B5EF4-FFF2-40B4-BE49-F238E27FC236}">
              <a16:creationId xmlns:a16="http://schemas.microsoft.com/office/drawing/2014/main" id="{641BF288-DD5E-4818-AB7C-0FF7AF762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453815</xdr:colOff>
      <xdr:row>11</xdr:row>
      <xdr:rowOff>362825</xdr:rowOff>
    </xdr:from>
    <xdr:to>
      <xdr:col>8</xdr:col>
      <xdr:colOff>565215</xdr:colOff>
      <xdr:row>21</xdr:row>
      <xdr:rowOff>152825</xdr:rowOff>
    </xdr:to>
    <xdr:graphicFrame macro="">
      <xdr:nvGraphicFramePr>
        <xdr:cNvPr id="17" name="Chart 13">
          <a:extLst>
            <a:ext uri="{FF2B5EF4-FFF2-40B4-BE49-F238E27FC236}">
              <a16:creationId xmlns:a16="http://schemas.microsoft.com/office/drawing/2014/main" id="{DA432050-29EF-403E-8A58-F72F183D6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914824</xdr:colOff>
      <xdr:row>12</xdr:row>
      <xdr:rowOff>15443</xdr:rowOff>
    </xdr:from>
    <xdr:to>
      <xdr:col>10</xdr:col>
      <xdr:colOff>1026224</xdr:colOff>
      <xdr:row>21</xdr:row>
      <xdr:rowOff>186443</xdr:rowOff>
    </xdr:to>
    <xdr:graphicFrame macro="">
      <xdr:nvGraphicFramePr>
        <xdr:cNvPr id="15" name="Chart 14">
          <a:extLst>
            <a:ext uri="{FF2B5EF4-FFF2-40B4-BE49-F238E27FC236}">
              <a16:creationId xmlns:a16="http://schemas.microsoft.com/office/drawing/2014/main" id="{57DF6A07-D8D3-4DE9-9E2E-B3A035C5C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1375832</xdr:colOff>
      <xdr:row>11</xdr:row>
      <xdr:rowOff>375524</xdr:rowOff>
    </xdr:from>
    <xdr:to>
      <xdr:col>13</xdr:col>
      <xdr:colOff>102932</xdr:colOff>
      <xdr:row>21</xdr:row>
      <xdr:rowOff>165524</xdr:rowOff>
    </xdr:to>
    <xdr:graphicFrame macro="">
      <xdr:nvGraphicFramePr>
        <xdr:cNvPr id="16" name="Chart 15">
          <a:extLst>
            <a:ext uri="{FF2B5EF4-FFF2-40B4-BE49-F238E27FC236}">
              <a16:creationId xmlns:a16="http://schemas.microsoft.com/office/drawing/2014/main" id="{C870EA39-9ADC-49CC-ADD5-81FCC328F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326881</xdr:colOff>
      <xdr:row>19</xdr:row>
      <xdr:rowOff>55851</xdr:rowOff>
    </xdr:from>
    <xdr:to>
      <xdr:col>7</xdr:col>
      <xdr:colOff>511910</xdr:colOff>
      <xdr:row>35</xdr:row>
      <xdr:rowOff>142851</xdr:rowOff>
    </xdr:to>
    <xdr:graphicFrame macro="">
      <xdr:nvGraphicFramePr>
        <xdr:cNvPr id="9" name="Chart 8">
          <a:extLst>
            <a:ext uri="{FF2B5EF4-FFF2-40B4-BE49-F238E27FC236}">
              <a16:creationId xmlns:a16="http://schemas.microsoft.com/office/drawing/2014/main" id="{677CBA89-BDAD-4E20-BD18-E665AF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11</xdr:row>
      <xdr:rowOff>0</xdr:rowOff>
    </xdr:from>
    <xdr:to>
      <xdr:col>13</xdr:col>
      <xdr:colOff>141300</xdr:colOff>
      <xdr:row>11</xdr:row>
      <xdr:rowOff>0</xdr:rowOff>
    </xdr:to>
    <xdr:cxnSp macro="">
      <xdr:nvCxnSpPr>
        <xdr:cNvPr id="10" name="Straight Connector 9">
          <a:extLst>
            <a:ext uri="{FF2B5EF4-FFF2-40B4-BE49-F238E27FC236}">
              <a16:creationId xmlns:a16="http://schemas.microsoft.com/office/drawing/2014/main" id="{8456C534-C38E-4F30-B1B1-2D1AD186E86A}"/>
            </a:ext>
          </a:extLst>
        </xdr:cNvPr>
        <xdr:cNvCxnSpPr/>
      </xdr:nvCxnSpPr>
      <xdr:spPr>
        <a:xfrm>
          <a:off x="3530600" y="41910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18</xdr:row>
      <xdr:rowOff>127000</xdr:rowOff>
    </xdr:from>
    <xdr:to>
      <xdr:col>13</xdr:col>
      <xdr:colOff>141300</xdr:colOff>
      <xdr:row>18</xdr:row>
      <xdr:rowOff>127000</xdr:rowOff>
    </xdr:to>
    <xdr:cxnSp macro="">
      <xdr:nvCxnSpPr>
        <xdr:cNvPr id="11" name="Straight Connector 10">
          <a:extLst>
            <a:ext uri="{FF2B5EF4-FFF2-40B4-BE49-F238E27FC236}">
              <a16:creationId xmlns:a16="http://schemas.microsoft.com/office/drawing/2014/main" id="{BF776C89-54BB-4116-A6F2-5E660141FA80}"/>
            </a:ext>
          </a:extLst>
        </xdr:cNvPr>
        <xdr:cNvCxnSpPr/>
      </xdr:nvCxnSpPr>
      <xdr:spPr>
        <a:xfrm>
          <a:off x="3530600" y="69850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xdr:row>
      <xdr:rowOff>12700</xdr:rowOff>
    </xdr:from>
    <xdr:to>
      <xdr:col>3</xdr:col>
      <xdr:colOff>25400</xdr:colOff>
      <xdr:row>10</xdr:row>
      <xdr:rowOff>127000</xdr:rowOff>
    </xdr:to>
    <xdr:sp macro="" textlink="">
      <xdr:nvSpPr>
        <xdr:cNvPr id="12" name="Rectangle 11">
          <a:hlinkClick xmlns:r="http://schemas.openxmlformats.org/officeDocument/2006/relationships" r:id="rId8"/>
          <a:extLst>
            <a:ext uri="{FF2B5EF4-FFF2-40B4-BE49-F238E27FC236}">
              <a16:creationId xmlns:a16="http://schemas.microsoft.com/office/drawing/2014/main" id="{A3ECDD01-1C35-4761-B791-2FCCE103E962}"/>
            </a:ext>
          </a:extLst>
        </xdr:cNvPr>
        <xdr:cNvSpPr/>
      </xdr:nvSpPr>
      <xdr:spPr>
        <a:xfrm>
          <a:off x="381000" y="3441700"/>
          <a:ext cx="3390900" cy="495300"/>
        </a:xfrm>
        <a:prstGeom prst="rect">
          <a:avLst/>
        </a:prstGeom>
        <a:solidFill>
          <a:srgbClr val="009B74"/>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chemeClr val="lt1"/>
              </a:solidFill>
              <a:effectLst/>
              <a:latin typeface="+mn-lt"/>
              <a:ea typeface="+mn-ea"/>
              <a:cs typeface="+mn-cs"/>
            </a:rPr>
            <a:t>Click here to edit the variables in </a:t>
          </a:r>
          <a:r>
            <a:rPr lang="en-GB" sz="1100" baseline="0">
              <a:solidFill>
                <a:schemeClr val="lt1"/>
              </a:solidFill>
              <a:effectLst/>
              <a:latin typeface="+mn-lt"/>
              <a:ea typeface="+mn-ea"/>
              <a:cs typeface="+mn-cs"/>
            </a:rPr>
            <a:t>the dashboard</a:t>
          </a:r>
          <a:endParaRPr lang="en-GB">
            <a:effectLst/>
          </a:endParaRPr>
        </a:p>
      </xdr:txBody>
    </xdr:sp>
    <xdr:clientData/>
  </xdr:twoCellAnchor>
  <xdr:twoCellAnchor>
    <xdr:from>
      <xdr:col>8</xdr:col>
      <xdr:colOff>1016000</xdr:colOff>
      <xdr:row>26</xdr:row>
      <xdr:rowOff>322943</xdr:rowOff>
    </xdr:from>
    <xdr:to>
      <xdr:col>9</xdr:col>
      <xdr:colOff>695354</xdr:colOff>
      <xdr:row>30</xdr:row>
      <xdr:rowOff>84884</xdr:rowOff>
    </xdr:to>
    <xdr:sp macro="" textlink="">
      <xdr:nvSpPr>
        <xdr:cNvPr id="14" name="Oval 13">
          <a:extLst>
            <a:ext uri="{FF2B5EF4-FFF2-40B4-BE49-F238E27FC236}">
              <a16:creationId xmlns:a16="http://schemas.microsoft.com/office/drawing/2014/main" id="{D9268DA2-1829-4FAC-B369-5469B7FC8F0D}"/>
            </a:ext>
          </a:extLst>
        </xdr:cNvPr>
        <xdr:cNvSpPr/>
      </xdr:nvSpPr>
      <xdr:spPr>
        <a:xfrm>
          <a:off x="10083800" y="10228943"/>
          <a:ext cx="1063654" cy="1095441"/>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8</xdr:col>
      <xdr:colOff>1043217</xdr:colOff>
      <xdr:row>27</xdr:row>
      <xdr:rowOff>186873</xdr:rowOff>
    </xdr:from>
    <xdr:to>
      <xdr:col>9</xdr:col>
      <xdr:colOff>754835</xdr:colOff>
      <xdr:row>30</xdr:row>
      <xdr:rowOff>29664</xdr:rowOff>
    </xdr:to>
    <xdr:pic>
      <xdr:nvPicPr>
        <xdr:cNvPr id="18" name="Picture 17" descr="Shape&#10;&#10;Description automatically generated with low confidence">
          <a:extLst>
            <a:ext uri="{FF2B5EF4-FFF2-40B4-BE49-F238E27FC236}">
              <a16:creationId xmlns:a16="http://schemas.microsoft.com/office/drawing/2014/main" id="{7C94D9DB-21EF-4788-814F-DCAE9445CA39}"/>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brightnessContrast bright="100000"/>
                  </a14:imgEffect>
                </a14:imgLayer>
              </a14:imgProps>
            </a:ext>
          </a:extLst>
        </a:blip>
        <a:srcRect b="27709"/>
        <a:stretch/>
      </xdr:blipFill>
      <xdr:spPr>
        <a:xfrm flipH="1">
          <a:off x="10111017" y="10473873"/>
          <a:ext cx="1095918" cy="795291"/>
        </a:xfrm>
        <a:prstGeom prst="rect">
          <a:avLst/>
        </a:prstGeom>
      </xdr:spPr>
    </xdr:pic>
    <xdr:clientData/>
  </xdr:twoCellAnchor>
  <xdr:twoCellAnchor>
    <xdr:from>
      <xdr:col>7</xdr:col>
      <xdr:colOff>566159</xdr:colOff>
      <xdr:row>25</xdr:row>
      <xdr:rowOff>50800</xdr:rowOff>
    </xdr:from>
    <xdr:to>
      <xdr:col>8</xdr:col>
      <xdr:colOff>921066</xdr:colOff>
      <xdr:row>30</xdr:row>
      <xdr:rowOff>117258</xdr:rowOff>
    </xdr:to>
    <xdr:sp macro="" textlink="">
      <xdr:nvSpPr>
        <xdr:cNvPr id="19" name="Oval 18">
          <a:extLst>
            <a:ext uri="{FF2B5EF4-FFF2-40B4-BE49-F238E27FC236}">
              <a16:creationId xmlns:a16="http://schemas.microsoft.com/office/drawing/2014/main" id="{54BC0D38-CCE4-402C-8377-70F9D152A357}"/>
            </a:ext>
          </a:extLst>
        </xdr:cNvPr>
        <xdr:cNvSpPr/>
      </xdr:nvSpPr>
      <xdr:spPr>
        <a:xfrm>
          <a:off x="8249659" y="9575800"/>
          <a:ext cx="1739207" cy="1780958"/>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7</xdr:col>
      <xdr:colOff>787105</xdr:colOff>
      <xdr:row>26</xdr:row>
      <xdr:rowOff>531</xdr:rowOff>
    </xdr:from>
    <xdr:to>
      <xdr:col>8</xdr:col>
      <xdr:colOff>958659</xdr:colOff>
      <xdr:row>29</xdr:row>
      <xdr:rowOff>47294</xdr:rowOff>
    </xdr:to>
    <xdr:pic>
      <xdr:nvPicPr>
        <xdr:cNvPr id="20" name="Picture 19" descr="Shape&#10;&#10;Description automatically generated with low confidence">
          <a:extLst>
            <a:ext uri="{FF2B5EF4-FFF2-40B4-BE49-F238E27FC236}">
              <a16:creationId xmlns:a16="http://schemas.microsoft.com/office/drawing/2014/main" id="{1F4B1863-7102-48E4-81B4-1B28BD8DB66B}"/>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colorTemperature colorTemp="4531"/>
                  </a14:imgEffect>
                  <a14:imgEffect>
                    <a14:saturation sat="152000"/>
                  </a14:imgEffect>
                  <a14:imgEffect>
                    <a14:brightnessContrast bright="100000" contrast="100000"/>
                  </a14:imgEffect>
                </a14:imgLayer>
              </a14:imgProps>
            </a:ext>
          </a:extLst>
        </a:blip>
        <a:srcRect b="23408"/>
        <a:stretch/>
      </xdr:blipFill>
      <xdr:spPr>
        <a:xfrm>
          <a:off x="8470605" y="9906531"/>
          <a:ext cx="1555854" cy="1189763"/>
        </a:xfrm>
        <a:prstGeom prst="rect">
          <a:avLst/>
        </a:prstGeom>
      </xdr:spPr>
    </xdr:pic>
    <xdr:clientData/>
  </xdr:twoCellAnchor>
  <xdr:twoCellAnchor>
    <xdr:from>
      <xdr:col>7</xdr:col>
      <xdr:colOff>797480</xdr:colOff>
      <xdr:row>25</xdr:row>
      <xdr:rowOff>308408</xdr:rowOff>
    </xdr:from>
    <xdr:to>
      <xdr:col>8</xdr:col>
      <xdr:colOff>715136</xdr:colOff>
      <xdr:row>26</xdr:row>
      <xdr:rowOff>294801</xdr:rowOff>
    </xdr:to>
    <xdr:sp macro="" textlink="">
      <xdr:nvSpPr>
        <xdr:cNvPr id="21" name="TextBox 20">
          <a:extLst>
            <a:ext uri="{FF2B5EF4-FFF2-40B4-BE49-F238E27FC236}">
              <a16:creationId xmlns:a16="http://schemas.microsoft.com/office/drawing/2014/main" id="{0B3B47D1-66A8-47E6-AE5E-E2B940F6494E}"/>
            </a:ext>
          </a:extLst>
        </xdr:cNvPr>
        <xdr:cNvSpPr txBox="1"/>
      </xdr:nvSpPr>
      <xdr:spPr>
        <a:xfrm>
          <a:off x="8480980" y="9833408"/>
          <a:ext cx="1301956"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bg1"/>
              </a:solidFill>
              <a:latin typeface="Ubuntu" panose="020B0504030602030204" pitchFamily="34" charset="0"/>
            </a:rPr>
            <a:t>83 LU</a:t>
          </a:r>
        </a:p>
      </xdr:txBody>
    </xdr:sp>
    <xdr:clientData/>
  </xdr:twoCellAnchor>
  <xdr:twoCellAnchor>
    <xdr:from>
      <xdr:col>8</xdr:col>
      <xdr:colOff>1192893</xdr:colOff>
      <xdr:row>27</xdr:row>
      <xdr:rowOff>89231</xdr:rowOff>
    </xdr:from>
    <xdr:to>
      <xdr:col>9</xdr:col>
      <xdr:colOff>862267</xdr:colOff>
      <xdr:row>28</xdr:row>
      <xdr:rowOff>49872</xdr:rowOff>
    </xdr:to>
    <xdr:sp macro="" textlink="">
      <xdr:nvSpPr>
        <xdr:cNvPr id="22" name="TextBox 21">
          <a:extLst>
            <a:ext uri="{FF2B5EF4-FFF2-40B4-BE49-F238E27FC236}">
              <a16:creationId xmlns:a16="http://schemas.microsoft.com/office/drawing/2014/main" id="{D3F7544D-3638-41F4-BA35-424C74635A6C}"/>
            </a:ext>
          </a:extLst>
        </xdr:cNvPr>
        <xdr:cNvSpPr txBox="1"/>
      </xdr:nvSpPr>
      <xdr:spPr>
        <a:xfrm>
          <a:off x="10260693" y="10376231"/>
          <a:ext cx="1053674" cy="341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bg1"/>
              </a:solidFill>
              <a:latin typeface="Ubuntu" panose="020B0504030602030204" pitchFamily="34" charset="0"/>
            </a:rPr>
            <a:t>19 LU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376238</xdr:colOff>
      <xdr:row>1</xdr:row>
      <xdr:rowOff>0</xdr:rowOff>
    </xdr:from>
    <xdr:to>
      <xdr:col>8</xdr:col>
      <xdr:colOff>950738</xdr:colOff>
      <xdr:row>10</xdr:row>
      <xdr:rowOff>171000</xdr:rowOff>
    </xdr:to>
    <xdr:graphicFrame macro="">
      <xdr:nvGraphicFramePr>
        <xdr:cNvPr id="6" name="Chart 5">
          <a:extLst>
            <a:ext uri="{FF2B5EF4-FFF2-40B4-BE49-F238E27FC236}">
              <a16:creationId xmlns:a16="http://schemas.microsoft.com/office/drawing/2014/main" id="{89DC71EC-2237-4EC6-A074-5C092AC28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35546</xdr:colOff>
      <xdr:row>11</xdr:row>
      <xdr:rowOff>373695</xdr:rowOff>
    </xdr:from>
    <xdr:to>
      <xdr:col>6</xdr:col>
      <xdr:colOff>153296</xdr:colOff>
      <xdr:row>21</xdr:row>
      <xdr:rowOff>163695</xdr:rowOff>
    </xdr:to>
    <xdr:graphicFrame macro="">
      <xdr:nvGraphicFramePr>
        <xdr:cNvPr id="13" name="Chart 12">
          <a:extLst>
            <a:ext uri="{FF2B5EF4-FFF2-40B4-BE49-F238E27FC236}">
              <a16:creationId xmlns:a16="http://schemas.microsoft.com/office/drawing/2014/main" id="{B413EF3E-7E44-4E5E-A493-0199288B5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490951</xdr:colOff>
      <xdr:row>11</xdr:row>
      <xdr:rowOff>373695</xdr:rowOff>
    </xdr:from>
    <xdr:to>
      <xdr:col>8</xdr:col>
      <xdr:colOff>611876</xdr:colOff>
      <xdr:row>21</xdr:row>
      <xdr:rowOff>163695</xdr:rowOff>
    </xdr:to>
    <xdr:graphicFrame macro="">
      <xdr:nvGraphicFramePr>
        <xdr:cNvPr id="14" name="Chart 13">
          <a:extLst>
            <a:ext uri="{FF2B5EF4-FFF2-40B4-BE49-F238E27FC236}">
              <a16:creationId xmlns:a16="http://schemas.microsoft.com/office/drawing/2014/main" id="{C063B497-573E-49C7-8ABE-A4C12DFA0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949531</xdr:colOff>
      <xdr:row>11</xdr:row>
      <xdr:rowOff>373695</xdr:rowOff>
    </xdr:from>
    <xdr:to>
      <xdr:col>10</xdr:col>
      <xdr:colOff>1070456</xdr:colOff>
      <xdr:row>21</xdr:row>
      <xdr:rowOff>163695</xdr:rowOff>
    </xdr:to>
    <xdr:graphicFrame macro="">
      <xdr:nvGraphicFramePr>
        <xdr:cNvPr id="15" name="Chart 14">
          <a:extLst>
            <a:ext uri="{FF2B5EF4-FFF2-40B4-BE49-F238E27FC236}">
              <a16:creationId xmlns:a16="http://schemas.microsoft.com/office/drawing/2014/main" id="{C6EA2737-A83B-4C7B-B33A-C3DA2B213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23810</xdr:colOff>
      <xdr:row>11</xdr:row>
      <xdr:rowOff>373695</xdr:rowOff>
    </xdr:from>
    <xdr:to>
      <xdr:col>13</xdr:col>
      <xdr:colOff>144735</xdr:colOff>
      <xdr:row>21</xdr:row>
      <xdr:rowOff>163695</xdr:rowOff>
    </xdr:to>
    <xdr:graphicFrame macro="">
      <xdr:nvGraphicFramePr>
        <xdr:cNvPr id="16" name="Chart 15">
          <a:extLst>
            <a:ext uri="{FF2B5EF4-FFF2-40B4-BE49-F238E27FC236}">
              <a16:creationId xmlns:a16="http://schemas.microsoft.com/office/drawing/2014/main" id="{3AD95CAF-30B9-41E0-BC51-08C99A9D6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373592</xdr:colOff>
      <xdr:row>18</xdr:row>
      <xdr:rowOff>375586</xdr:rowOff>
    </xdr:from>
    <xdr:to>
      <xdr:col>7</xdr:col>
      <xdr:colOff>169217</xdr:colOff>
      <xdr:row>35</xdr:row>
      <xdr:rowOff>81586</xdr:rowOff>
    </xdr:to>
    <xdr:graphicFrame macro="">
      <xdr:nvGraphicFramePr>
        <xdr:cNvPr id="7" name="Chart 6">
          <a:extLst>
            <a:ext uri="{FF2B5EF4-FFF2-40B4-BE49-F238E27FC236}">
              <a16:creationId xmlns:a16="http://schemas.microsoft.com/office/drawing/2014/main" id="{7B9DA3C9-085B-420B-B11B-BBCB7FA25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11</xdr:row>
      <xdr:rowOff>0</xdr:rowOff>
    </xdr:from>
    <xdr:to>
      <xdr:col>13</xdr:col>
      <xdr:colOff>141300</xdr:colOff>
      <xdr:row>11</xdr:row>
      <xdr:rowOff>0</xdr:rowOff>
    </xdr:to>
    <xdr:cxnSp macro="">
      <xdr:nvCxnSpPr>
        <xdr:cNvPr id="9" name="Straight Connector 8">
          <a:extLst>
            <a:ext uri="{FF2B5EF4-FFF2-40B4-BE49-F238E27FC236}">
              <a16:creationId xmlns:a16="http://schemas.microsoft.com/office/drawing/2014/main" id="{FC705447-07EC-4D2C-AE3A-752DADEAFDFC}"/>
            </a:ext>
          </a:extLst>
        </xdr:cNvPr>
        <xdr:cNvCxnSpPr/>
      </xdr:nvCxnSpPr>
      <xdr:spPr>
        <a:xfrm>
          <a:off x="3530600" y="41910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18</xdr:row>
      <xdr:rowOff>127000</xdr:rowOff>
    </xdr:from>
    <xdr:to>
      <xdr:col>13</xdr:col>
      <xdr:colOff>141300</xdr:colOff>
      <xdr:row>18</xdr:row>
      <xdr:rowOff>127000</xdr:rowOff>
    </xdr:to>
    <xdr:cxnSp macro="">
      <xdr:nvCxnSpPr>
        <xdr:cNvPr id="10" name="Straight Connector 9">
          <a:extLst>
            <a:ext uri="{FF2B5EF4-FFF2-40B4-BE49-F238E27FC236}">
              <a16:creationId xmlns:a16="http://schemas.microsoft.com/office/drawing/2014/main" id="{D6721C3B-27BA-4C41-9A2D-C8210A3C1563}"/>
            </a:ext>
          </a:extLst>
        </xdr:cNvPr>
        <xdr:cNvCxnSpPr/>
      </xdr:nvCxnSpPr>
      <xdr:spPr>
        <a:xfrm>
          <a:off x="3530600" y="6985000"/>
          <a:ext cx="1260000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xdr:row>
      <xdr:rowOff>12700</xdr:rowOff>
    </xdr:from>
    <xdr:to>
      <xdr:col>3</xdr:col>
      <xdr:colOff>12700</xdr:colOff>
      <xdr:row>10</xdr:row>
      <xdr:rowOff>127000</xdr:rowOff>
    </xdr:to>
    <xdr:sp macro="" textlink="">
      <xdr:nvSpPr>
        <xdr:cNvPr id="11" name="Rectangle 10">
          <a:hlinkClick xmlns:r="http://schemas.openxmlformats.org/officeDocument/2006/relationships" r:id="rId7"/>
          <a:extLst>
            <a:ext uri="{FF2B5EF4-FFF2-40B4-BE49-F238E27FC236}">
              <a16:creationId xmlns:a16="http://schemas.microsoft.com/office/drawing/2014/main" id="{458AA5B3-996F-4320-A577-0CA3A085C174}"/>
            </a:ext>
          </a:extLst>
        </xdr:cNvPr>
        <xdr:cNvSpPr/>
      </xdr:nvSpPr>
      <xdr:spPr>
        <a:xfrm>
          <a:off x="381000" y="3441700"/>
          <a:ext cx="3378200" cy="495300"/>
        </a:xfrm>
        <a:prstGeom prst="rect">
          <a:avLst/>
        </a:prstGeom>
        <a:solidFill>
          <a:srgbClr val="009B74"/>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chemeClr val="lt1"/>
              </a:solidFill>
              <a:effectLst/>
              <a:latin typeface="+mn-lt"/>
              <a:ea typeface="+mn-ea"/>
              <a:cs typeface="+mn-cs"/>
            </a:rPr>
            <a:t>Click here to edit the variables in </a:t>
          </a:r>
          <a:r>
            <a:rPr lang="en-GB" sz="1100" baseline="0">
              <a:solidFill>
                <a:schemeClr val="lt1"/>
              </a:solidFill>
              <a:effectLst/>
              <a:latin typeface="+mn-lt"/>
              <a:ea typeface="+mn-ea"/>
              <a:cs typeface="+mn-cs"/>
            </a:rPr>
            <a:t>the dashboard</a:t>
          </a:r>
          <a:endParaRPr lang="en-GB">
            <a:effectLst/>
          </a:endParaRPr>
        </a:p>
      </xdr:txBody>
    </xdr:sp>
    <xdr:clientData/>
  </xdr:twoCellAnchor>
  <xdr:twoCellAnchor>
    <xdr:from>
      <xdr:col>8</xdr:col>
      <xdr:colOff>673100</xdr:colOff>
      <xdr:row>26</xdr:row>
      <xdr:rowOff>297094</xdr:rowOff>
    </xdr:from>
    <xdr:to>
      <xdr:col>9</xdr:col>
      <xdr:colOff>304422</xdr:colOff>
      <xdr:row>30</xdr:row>
      <xdr:rowOff>511</xdr:rowOff>
    </xdr:to>
    <xdr:sp macro="" textlink="">
      <xdr:nvSpPr>
        <xdr:cNvPr id="12" name="Oval 11">
          <a:extLst>
            <a:ext uri="{FF2B5EF4-FFF2-40B4-BE49-F238E27FC236}">
              <a16:creationId xmlns:a16="http://schemas.microsoft.com/office/drawing/2014/main" id="{9E5418A6-15E4-4BD8-AC4F-950999BE9E5F}"/>
            </a:ext>
          </a:extLst>
        </xdr:cNvPr>
        <xdr:cNvSpPr/>
      </xdr:nvSpPr>
      <xdr:spPr>
        <a:xfrm>
          <a:off x="9740900" y="10203094"/>
          <a:ext cx="1015622" cy="1036917"/>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8</xdr:col>
      <xdr:colOff>702095</xdr:colOff>
      <xdr:row>27</xdr:row>
      <xdr:rowOff>144988</xdr:rowOff>
    </xdr:from>
    <xdr:to>
      <xdr:col>9</xdr:col>
      <xdr:colOff>364017</xdr:colOff>
      <xdr:row>29</xdr:row>
      <xdr:rowOff>135791</xdr:rowOff>
    </xdr:to>
    <xdr:pic>
      <xdr:nvPicPr>
        <xdr:cNvPr id="17" name="Picture 16" descr="Shape&#10;&#10;Description automatically generated with low confidence">
          <a:extLst>
            <a:ext uri="{FF2B5EF4-FFF2-40B4-BE49-F238E27FC236}">
              <a16:creationId xmlns:a16="http://schemas.microsoft.com/office/drawing/2014/main" id="{F664E7D3-C505-4901-8120-E1BA17AEF696}"/>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brightnessContrast bright="100000"/>
                  </a14:imgEffect>
                </a14:imgLayer>
              </a14:imgProps>
            </a:ext>
          </a:extLst>
        </a:blip>
        <a:srcRect b="27709"/>
        <a:stretch/>
      </xdr:blipFill>
      <xdr:spPr>
        <a:xfrm flipH="1">
          <a:off x="9769895" y="10431988"/>
          <a:ext cx="1046222" cy="752803"/>
        </a:xfrm>
        <a:prstGeom prst="rect">
          <a:avLst/>
        </a:prstGeom>
      </xdr:spPr>
    </xdr:pic>
    <xdr:clientData/>
  </xdr:twoCellAnchor>
  <xdr:twoCellAnchor>
    <xdr:from>
      <xdr:col>7</xdr:col>
      <xdr:colOff>160799</xdr:colOff>
      <xdr:row>24</xdr:row>
      <xdr:rowOff>254000</xdr:rowOff>
    </xdr:from>
    <xdr:to>
      <xdr:col>8</xdr:col>
      <xdr:colOff>603195</xdr:colOff>
      <xdr:row>30</xdr:row>
      <xdr:rowOff>32885</xdr:rowOff>
    </xdr:to>
    <xdr:sp macro="" textlink="">
      <xdr:nvSpPr>
        <xdr:cNvPr id="18" name="Oval 17">
          <a:extLst>
            <a:ext uri="{FF2B5EF4-FFF2-40B4-BE49-F238E27FC236}">
              <a16:creationId xmlns:a16="http://schemas.microsoft.com/office/drawing/2014/main" id="{C766F35D-8F27-4EBE-921B-211565BB471D}"/>
            </a:ext>
          </a:extLst>
        </xdr:cNvPr>
        <xdr:cNvSpPr/>
      </xdr:nvSpPr>
      <xdr:spPr>
        <a:xfrm>
          <a:off x="7844299" y="9398000"/>
          <a:ext cx="1826696" cy="1874385"/>
        </a:xfrm>
        <a:prstGeom prst="ellipse">
          <a:avLst/>
        </a:prstGeom>
        <a:solidFill>
          <a:srgbClr val="009874"/>
        </a:solidFill>
        <a:ln>
          <a:solidFill>
            <a:srgbClr val="00987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b="1"/>
        </a:p>
      </xdr:txBody>
    </xdr:sp>
    <xdr:clientData/>
  </xdr:twoCellAnchor>
  <xdr:twoCellAnchor>
    <xdr:from>
      <xdr:col>7</xdr:col>
      <xdr:colOff>387880</xdr:colOff>
      <xdr:row>25</xdr:row>
      <xdr:rowOff>234746</xdr:rowOff>
    </xdr:from>
    <xdr:to>
      <xdr:col>8</xdr:col>
      <xdr:colOff>640862</xdr:colOff>
      <xdr:row>28</xdr:row>
      <xdr:rowOff>343922</xdr:rowOff>
    </xdr:to>
    <xdr:pic>
      <xdr:nvPicPr>
        <xdr:cNvPr id="19" name="Picture 18" descr="Shape&#10;&#10;Description automatically generated with low confidence">
          <a:extLst>
            <a:ext uri="{FF2B5EF4-FFF2-40B4-BE49-F238E27FC236}">
              <a16:creationId xmlns:a16="http://schemas.microsoft.com/office/drawing/2014/main" id="{E2709C38-8069-4839-BF9A-5078FC3B525D}"/>
            </a:ext>
          </a:extLst>
        </xdr:cNvPr>
        <xdr:cNvPicPr>
          <a:picLocks noChangeAspect="1"/>
        </xdr:cNvPicPr>
      </xdr:nvPicPr>
      <xdr:blipFill rotWithShape="1">
        <a:blip xmlns:r="http://schemas.openxmlformats.org/officeDocument/2006/relationships" r:embed="rId10">
          <a:extLst>
            <a:ext uri="{BEBA8EAE-BF5A-486C-A8C5-ECC9F3942E4B}">
              <a14:imgProps xmlns:a14="http://schemas.microsoft.com/office/drawing/2010/main">
                <a14:imgLayer r:embed="rId11">
                  <a14:imgEffect>
                    <a14:colorTemperature colorTemp="4531"/>
                  </a14:imgEffect>
                  <a14:imgEffect>
                    <a14:saturation sat="152000"/>
                  </a14:imgEffect>
                  <a14:imgEffect>
                    <a14:brightnessContrast bright="100000" contrast="100000"/>
                  </a14:imgEffect>
                </a14:imgLayer>
              </a14:imgProps>
            </a:ext>
          </a:extLst>
        </a:blip>
        <a:srcRect b="23408"/>
        <a:stretch/>
      </xdr:blipFill>
      <xdr:spPr>
        <a:xfrm>
          <a:off x="8071380" y="9759746"/>
          <a:ext cx="1637282" cy="1252176"/>
        </a:xfrm>
        <a:prstGeom prst="rect">
          <a:avLst/>
        </a:prstGeom>
      </xdr:spPr>
    </xdr:pic>
    <xdr:clientData/>
  </xdr:twoCellAnchor>
  <xdr:twoCellAnchor>
    <xdr:from>
      <xdr:col>7</xdr:col>
      <xdr:colOff>472516</xdr:colOff>
      <xdr:row>25</xdr:row>
      <xdr:rowOff>179915</xdr:rowOff>
    </xdr:from>
    <xdr:to>
      <xdr:col>8</xdr:col>
      <xdr:colOff>454958</xdr:colOff>
      <xdr:row>26</xdr:row>
      <xdr:rowOff>185581</xdr:rowOff>
    </xdr:to>
    <xdr:sp macro="" textlink="">
      <xdr:nvSpPr>
        <xdr:cNvPr id="20" name="TextBox 19">
          <a:extLst>
            <a:ext uri="{FF2B5EF4-FFF2-40B4-BE49-F238E27FC236}">
              <a16:creationId xmlns:a16="http://schemas.microsoft.com/office/drawing/2014/main" id="{BD9AF0ED-0AF5-4984-8B84-79E605972A0A}"/>
            </a:ext>
          </a:extLst>
        </xdr:cNvPr>
        <xdr:cNvSpPr txBox="1"/>
      </xdr:nvSpPr>
      <xdr:spPr>
        <a:xfrm>
          <a:off x="8156016" y="9704915"/>
          <a:ext cx="1366742" cy="386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bg1"/>
              </a:solidFill>
              <a:latin typeface="Ubuntu" panose="020B0504030602030204" pitchFamily="34" charset="0"/>
            </a:rPr>
            <a:t>91 LU</a:t>
          </a:r>
        </a:p>
      </xdr:txBody>
    </xdr:sp>
    <xdr:clientData/>
  </xdr:twoCellAnchor>
  <xdr:twoCellAnchor>
    <xdr:from>
      <xdr:col>8</xdr:col>
      <xdr:colOff>808307</xdr:colOff>
      <xdr:row>27</xdr:row>
      <xdr:rowOff>64523</xdr:rowOff>
    </xdr:from>
    <xdr:to>
      <xdr:col>9</xdr:col>
      <xdr:colOff>426235</xdr:colOff>
      <xdr:row>28</xdr:row>
      <xdr:rowOff>6912</xdr:rowOff>
    </xdr:to>
    <xdr:sp macro="" textlink="">
      <xdr:nvSpPr>
        <xdr:cNvPr id="21" name="TextBox 20">
          <a:extLst>
            <a:ext uri="{FF2B5EF4-FFF2-40B4-BE49-F238E27FC236}">
              <a16:creationId xmlns:a16="http://schemas.microsoft.com/office/drawing/2014/main" id="{D9E3D4BC-86E1-4C4B-AD59-B4039600D42C}"/>
            </a:ext>
          </a:extLst>
        </xdr:cNvPr>
        <xdr:cNvSpPr txBox="1"/>
      </xdr:nvSpPr>
      <xdr:spPr>
        <a:xfrm>
          <a:off x="9876107" y="10351523"/>
          <a:ext cx="1002228" cy="323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bg1"/>
              </a:solidFill>
              <a:latin typeface="Ubuntu" panose="020B0504030602030204" pitchFamily="34" charset="0"/>
            </a:rPr>
            <a:t>15 LU</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cdr:x>
      <cdr:y>1</cdr:y>
    </cdr:from>
    <cdr:to>
      <cdr:x>1</cdr:x>
      <cdr:y>1</cdr:y>
    </cdr:to>
    <cdr:cxnSp macro="">
      <cdr:nvCxnSpPr>
        <cdr:cNvPr id="2" name="Straight Connector 1">
          <a:extLst xmlns:a="http://schemas.openxmlformats.org/drawingml/2006/main">
            <a:ext uri="{FF2B5EF4-FFF2-40B4-BE49-F238E27FC236}">
              <a16:creationId xmlns:a16="http://schemas.microsoft.com/office/drawing/2014/main" id="{8456C534-C38E-4F30-B1B1-2D1AD186E86A}"/>
            </a:ext>
          </a:extLst>
        </cdr:cNvPr>
        <cdr:cNvCxnSpPr/>
      </cdr:nvCxnSpPr>
      <cdr:spPr>
        <a:xfrm xmlns:a="http://schemas.openxmlformats.org/drawingml/2006/main">
          <a:off x="3581400" y="4241800"/>
          <a:ext cx="12600000" cy="0"/>
        </a:xfrm>
        <a:prstGeom xmlns:a="http://schemas.openxmlformats.org/drawingml/2006/main" prst="line">
          <a:avLst/>
        </a:prstGeom>
        <a:ln xmlns:a="http://schemas.openxmlformats.org/drawingml/2006/main" w="12700">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1</cdr:y>
    </cdr:from>
    <cdr:to>
      <cdr:x>1</cdr:x>
      <cdr:y>1</cdr:y>
    </cdr:to>
    <cdr:cxnSp macro="">
      <cdr:nvCxnSpPr>
        <cdr:cNvPr id="3" name="Straight Connector 2">
          <a:extLst xmlns:a="http://schemas.openxmlformats.org/drawingml/2006/main">
            <a:ext uri="{FF2B5EF4-FFF2-40B4-BE49-F238E27FC236}">
              <a16:creationId xmlns:a16="http://schemas.microsoft.com/office/drawing/2014/main" id="{BF776C89-54BB-4116-A6F2-5E660141FA80}"/>
            </a:ext>
          </a:extLst>
        </cdr:cNvPr>
        <cdr:cNvCxnSpPr/>
      </cdr:nvCxnSpPr>
      <cdr:spPr>
        <a:xfrm xmlns:a="http://schemas.openxmlformats.org/drawingml/2006/main">
          <a:off x="3581400" y="7035800"/>
          <a:ext cx="12600000" cy="0"/>
        </a:xfrm>
        <a:prstGeom xmlns:a="http://schemas.openxmlformats.org/drawingml/2006/main" prst="line">
          <a:avLst/>
        </a:prstGeom>
        <a:ln xmlns:a="http://schemas.openxmlformats.org/drawingml/2006/main" w="12700">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arlie\AppData\Roaming\Microsoft\Excel\D010%20Defra%20BBC%20IV%202022-01%20-%20EDITS%20Included%20(version%201).xlsb"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A%20agroecological%20farm%20business%20-%20Economic%20Model_21%20(Mixed%20and%20Matt%20comments).xlsx?7EB37CF9" TargetMode="External"/><Relationship Id="rId1" Type="http://schemas.openxmlformats.org/officeDocument/2006/relationships/externalLinkPath" Target="file:///\\7EB37CF9\SA%20agroecological%20farm%20business%20-%20Economic%20Model_21%20(Mixed%20and%20Matt%20comm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Projects/Current%20Projects/P-728-SA-Farm%20Typologies/Economic%20Model_01.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Payment Methodologies"/>
      <sheetName val="SFI payments summary"/>
      <sheetName val="TEMPLATE"/>
      <sheetName val="Development Log"/>
      <sheetName val="Min Till"/>
      <sheetName val="Moorland Standard"/>
      <sheetName val="Imp Grass Soils"/>
      <sheetName val="Arable Hort Soils"/>
      <sheetName val="SFI Appendices"/>
      <sheetName val="Arable Base Systems"/>
      <sheetName val="Grass Base Systems"/>
      <sheetName val="GM Summary"/>
      <sheetName val="GM Livestock"/>
      <sheetName val="GM Dairy"/>
      <sheetName val="GM Arable"/>
      <sheetName val="GM Forage"/>
      <sheetName val="GM Assumptions"/>
      <sheetName val="A2 - Machinery &amp; Labour"/>
      <sheetName val="A3 - Additional Costs"/>
      <sheetName val="A4 - Capital &amp; Associated"/>
      <sheetName val="Inf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Farm Typologies"/>
      <sheetName val="Results - cereals"/>
      <sheetName val="Results - horticulture"/>
      <sheetName val="Results - lowland dairy"/>
      <sheetName val="Results - lowland grazing"/>
      <sheetName val="Results - LFA grazing"/>
      <sheetName val="Results - mixed"/>
      <sheetName val="Livestock allocation - baseline"/>
      <sheetName val="Livestock GM - baseline"/>
      <sheetName val="Cropping allocation - baseline"/>
      <sheetName val="Cropping GMs - baseline"/>
      <sheetName val="Forage"/>
      <sheetName val="FBS Data"/>
      <sheetName val="Fixed Costs + Agri-enviro"/>
      <sheetName val="Lists"/>
      <sheetName val="Net farm incomes graph"/>
      <sheetName val="Farm Typologies (org prem)"/>
      <sheetName val="Livestock allocation"/>
      <sheetName val="Livestock allocation -price var"/>
      <sheetName val="Livestock allocation - conc"/>
      <sheetName val="Livestock GM"/>
      <sheetName val="Livestock GM - price var"/>
      <sheetName val="Cropping allocation"/>
      <sheetName val="Cropping allocation - price var"/>
      <sheetName val="Cropping allocation - N cost"/>
      <sheetName val="Cropping allocation - N and +£"/>
      <sheetName val="Cropping GMs"/>
      <sheetName val="Cropping GMs - N cost Grain £"/>
      <sheetName val="Cropping GMs - price variation"/>
      <sheetName val="Cropping GMs - grain price var"/>
    </sheetNames>
    <sheetDataSet>
      <sheetData sheetId="0"/>
      <sheetData sheetId="1"/>
      <sheetData sheetId="2"/>
      <sheetData sheetId="3"/>
      <sheetData sheetId="4"/>
      <sheetData sheetId="5"/>
      <sheetData sheetId="6"/>
      <sheetData sheetId="7"/>
      <sheetData sheetId="8"/>
      <sheetData sheetId="9"/>
      <sheetData sheetId="10"/>
      <sheetData sheetId="11">
        <row r="92">
          <cell r="AS92">
            <v>11.9</v>
          </cell>
        </row>
        <row r="98">
          <cell r="AS98">
            <v>8330</v>
          </cell>
        </row>
        <row r="115">
          <cell r="AS115">
            <v>9954.104621221677</v>
          </cell>
        </row>
        <row r="118">
          <cell r="AS118">
            <v>-1624.104621221677</v>
          </cell>
        </row>
        <row r="120">
          <cell r="AS120">
            <v>199.08209242443354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Farm Typologies"/>
      <sheetName val="Results"/>
      <sheetName val="Forage"/>
      <sheetName val="Livestock allocation"/>
      <sheetName val="Livestock GM"/>
      <sheetName val="Cropping allocation"/>
      <sheetName val="Cropping GMs"/>
      <sheetName val="FBS Data"/>
    </sheetNames>
    <sheetDataSet>
      <sheetData sheetId="0"/>
      <sheetData sheetId="1"/>
      <sheetData sheetId="2"/>
      <sheetData sheetId="3">
        <row r="6">
          <cell r="V6">
            <v>2.5133000000000001</v>
          </cell>
        </row>
        <row r="29">
          <cell r="V29">
            <v>125.66500000000001</v>
          </cell>
        </row>
      </sheetData>
      <sheetData sheetId="4"/>
      <sheetData sheetId="5"/>
      <sheetData sheetId="6"/>
      <sheetData sheetId="7">
        <row r="3">
          <cell r="AG3">
            <v>768.08357778885488</v>
          </cell>
          <cell r="AI3">
            <v>2714.6502028985515</v>
          </cell>
          <cell r="AJ3">
            <v>1058</v>
          </cell>
        </row>
        <row r="4">
          <cell r="D4">
            <v>15.178545742284125</v>
          </cell>
          <cell r="E4">
            <v>15.5302440247767</v>
          </cell>
          <cell r="F4">
            <v>15.856153202249894</v>
          </cell>
          <cell r="G4">
            <v>16.605015146525233</v>
          </cell>
          <cell r="H4">
            <v>15.647643432275565</v>
          </cell>
          <cell r="I4">
            <v>16.321728305213831</v>
          </cell>
          <cell r="J4">
            <v>8.9893172800531929</v>
          </cell>
          <cell r="K4">
            <v>11.469215572121362</v>
          </cell>
          <cell r="L4">
            <v>10.507494447146378</v>
          </cell>
          <cell r="M4">
            <v>7.1268429885271827</v>
          </cell>
          <cell r="N4">
            <v>6.5959857442984982</v>
          </cell>
          <cell r="O4">
            <v>9.7397572118563573</v>
          </cell>
          <cell r="Q4">
            <v>12.131184059215649</v>
          </cell>
          <cell r="R4">
            <v>5.7711678123531716</v>
          </cell>
          <cell r="S4">
            <v>7.3987565089055831</v>
          </cell>
          <cell r="T4">
            <v>5.5511391151788008</v>
          </cell>
          <cell r="U4">
            <v>5.5443891151788014</v>
          </cell>
          <cell r="V4">
            <v>5.7811758323540925</v>
          </cell>
          <cell r="W4">
            <v>4.409698287220027</v>
          </cell>
          <cell r="X4">
            <v>7.0485165217391303</v>
          </cell>
          <cell r="AG4">
            <v>22.3642528240381</v>
          </cell>
          <cell r="AI4">
            <v>136.23983464347828</v>
          </cell>
          <cell r="AJ4">
            <v>101.9568</v>
          </cell>
        </row>
        <row r="26">
          <cell r="D26">
            <v>1447.264645083593</v>
          </cell>
          <cell r="E26">
            <v>1327.4428213875167</v>
          </cell>
          <cell r="F26">
            <v>1455.8552173475225</v>
          </cell>
          <cell r="G26">
            <v>1335.2266724622052</v>
          </cell>
          <cell r="H26">
            <v>1447.0119811934774</v>
          </cell>
          <cell r="I26">
            <v>1327.2138845912025</v>
          </cell>
          <cell r="J26">
            <v>1160.6394715928743</v>
          </cell>
          <cell r="K26">
            <v>1135.4003013670419</v>
          </cell>
          <cell r="L26">
            <v>1208.1801063777216</v>
          </cell>
          <cell r="M26">
            <v>970.13414414183239</v>
          </cell>
          <cell r="N26">
            <v>1099.1028143523129</v>
          </cell>
          <cell r="O26">
            <v>915.65679849758544</v>
          </cell>
          <cell r="Q26">
            <v>1201.165639084739</v>
          </cell>
          <cell r="R26">
            <v>780.7576654050805</v>
          </cell>
          <cell r="S26">
            <v>738.73275000000001</v>
          </cell>
          <cell r="T26">
            <v>679.21579999999994</v>
          </cell>
          <cell r="U26">
            <v>668.37725</v>
          </cell>
          <cell r="V26">
            <v>692.51666666666654</v>
          </cell>
          <cell r="W26">
            <v>700</v>
          </cell>
          <cell r="X26">
            <v>900</v>
          </cell>
          <cell r="AG26">
            <v>1615.2143665781769</v>
          </cell>
          <cell r="AI26">
            <v>7875.2500000000009</v>
          </cell>
          <cell r="AJ26">
            <v>4920</v>
          </cell>
        </row>
        <row r="63">
          <cell r="D63">
            <v>574.94491448045926</v>
          </cell>
          <cell r="E63">
            <v>588.2668191203295</v>
          </cell>
          <cell r="F63">
            <v>600.61186372158681</v>
          </cell>
          <cell r="G63">
            <v>628.97784645928914</v>
          </cell>
          <cell r="H63">
            <v>592.71376637407445</v>
          </cell>
          <cell r="I63">
            <v>618.24728428840274</v>
          </cell>
          <cell r="J63">
            <v>449.46586400265966</v>
          </cell>
          <cell r="K63">
            <v>434.4399837924758</v>
          </cell>
          <cell r="L63">
            <v>398.01115330099913</v>
          </cell>
          <cell r="M63">
            <v>356.34214942635913</v>
          </cell>
          <cell r="N63">
            <v>329.7992872149249</v>
          </cell>
          <cell r="O63">
            <v>368.93019741880141</v>
          </cell>
          <cell r="Q63">
            <v>459.51454769756236</v>
          </cell>
          <cell r="R63">
            <v>288.55839061765857</v>
          </cell>
          <cell r="S63">
            <v>280.2559283676357</v>
          </cell>
          <cell r="T63">
            <v>277.55695575894003</v>
          </cell>
          <cell r="U63">
            <v>277.21945575894006</v>
          </cell>
          <cell r="V63">
            <v>289.05879161770463</v>
          </cell>
          <cell r="W63">
            <v>220.48491436100133</v>
          </cell>
          <cell r="X63">
            <v>266.98926218708829</v>
          </cell>
          <cell r="AG63">
            <v>847.13078878932197</v>
          </cell>
          <cell r="AI63">
            <v>5160.5997971014494</v>
          </cell>
          <cell r="AJ63">
            <v>3862</v>
          </cell>
        </row>
        <row r="64">
          <cell r="D64">
            <v>872.31973060313373</v>
          </cell>
          <cell r="E64">
            <v>739.17600226718719</v>
          </cell>
          <cell r="F64">
            <v>855.2433536259357</v>
          </cell>
          <cell r="G64">
            <v>706.24882600291608</v>
          </cell>
          <cell r="H64">
            <v>854.29821481940292</v>
          </cell>
          <cell r="I64">
            <v>708.96660030279975</v>
          </cell>
          <cell r="J64">
            <v>711.17360759021471</v>
          </cell>
          <cell r="K64">
            <v>700.96031757456615</v>
          </cell>
          <cell r="L64">
            <v>810.16895307672246</v>
          </cell>
          <cell r="M64">
            <v>613.79199471547327</v>
          </cell>
          <cell r="N64">
            <v>769.30352713738796</v>
          </cell>
          <cell r="O64">
            <v>546.72660107878403</v>
          </cell>
          <cell r="Q64">
            <v>741.65109138717662</v>
          </cell>
          <cell r="R64">
            <v>492.19927478742193</v>
          </cell>
          <cell r="S64">
            <v>458.47682163236431</v>
          </cell>
          <cell r="T64">
            <v>401.65884424105991</v>
          </cell>
          <cell r="U64">
            <v>391.15779424105995</v>
          </cell>
          <cell r="V64">
            <v>403.45787504896191</v>
          </cell>
          <cell r="W64">
            <v>479.5150856389987</v>
          </cell>
          <cell r="X64">
            <v>633.01073781291166</v>
          </cell>
        </row>
        <row r="69">
          <cell r="AI69">
            <v>4580</v>
          </cell>
          <cell r="AR69">
            <v>5440</v>
          </cell>
        </row>
        <row r="72">
          <cell r="D72">
            <v>4.2624383999999997</v>
          </cell>
          <cell r="J72">
            <v>4.5504750000000005</v>
          </cell>
          <cell r="K72">
            <v>4.3608311999999998</v>
          </cell>
          <cell r="M72">
            <v>3.2706399999999998</v>
          </cell>
          <cell r="O72">
            <v>3.0223559999999998</v>
          </cell>
          <cell r="S72">
            <v>5.7166560000000004</v>
          </cell>
          <cell r="T72">
            <v>5.8739999999999997</v>
          </cell>
          <cell r="U72">
            <v>4.45</v>
          </cell>
          <cell r="V72">
            <v>5.2480184005000003</v>
          </cell>
          <cell r="AI72">
            <v>74</v>
          </cell>
          <cell r="AR72">
            <v>125.2</v>
          </cell>
        </row>
        <row r="84">
          <cell r="D84">
            <v>1572.65</v>
          </cell>
          <cell r="J84">
            <v>1059.6500000000001</v>
          </cell>
          <cell r="K84">
            <v>990.72</v>
          </cell>
          <cell r="M84">
            <v>989.22</v>
          </cell>
          <cell r="O84">
            <v>1073.8800000000001</v>
          </cell>
          <cell r="S84">
            <v>1139.6000000000001</v>
          </cell>
          <cell r="T84">
            <v>496.32</v>
          </cell>
          <cell r="U84">
            <v>651.20000000000005</v>
          </cell>
          <cell r="V84">
            <v>770</v>
          </cell>
          <cell r="AI84">
            <v>8280</v>
          </cell>
          <cell r="AR84">
            <v>11700</v>
          </cell>
        </row>
        <row r="101">
          <cell r="D101">
            <v>161.45599999999999</v>
          </cell>
          <cell r="J101">
            <v>227.52375000000001</v>
          </cell>
          <cell r="K101">
            <v>165.18299999999999</v>
          </cell>
          <cell r="M101">
            <v>163.53199999999998</v>
          </cell>
          <cell r="O101">
            <v>151.11779999999999</v>
          </cell>
          <cell r="S101">
            <v>216.54000000000002</v>
          </cell>
          <cell r="T101">
            <v>222.5</v>
          </cell>
          <cell r="U101">
            <v>222.5</v>
          </cell>
          <cell r="V101">
            <v>262.400920025</v>
          </cell>
          <cell r="AI101">
            <v>3700</v>
          </cell>
          <cell r="AR101">
            <v>6260</v>
          </cell>
        </row>
        <row r="104">
          <cell r="D104">
            <v>1411.1940000000002</v>
          </cell>
          <cell r="J104">
            <v>832.12625000000003</v>
          </cell>
          <cell r="K104">
            <v>825.53700000000003</v>
          </cell>
          <cell r="M104">
            <v>825.6880000000001</v>
          </cell>
          <cell r="O104">
            <v>922.76220000000012</v>
          </cell>
          <cell r="P104">
            <v>939.90000000000009</v>
          </cell>
          <cell r="S104">
            <v>923.06000000000017</v>
          </cell>
          <cell r="T104">
            <v>273.82</v>
          </cell>
          <cell r="U104">
            <v>428.70000000000005</v>
          </cell>
          <cell r="V104">
            <v>507.599079975</v>
          </cell>
        </row>
      </sheetData>
      <sheetData sheetId="8"/>
    </sheetDataSet>
  </externalBook>
</externalLink>
</file>

<file path=xl/persons/person.xml><?xml version="1.0" encoding="utf-8"?>
<personList xmlns="http://schemas.microsoft.com/office/spreadsheetml/2018/threadedcomments" xmlns:x="http://schemas.openxmlformats.org/spreadsheetml/2006/main">
  <person displayName="Charlie Russ" id="{68D90FEC-A9C3-4AE5-99F2-A5B5A5BBC9A6}" userId="Charlie@cumulus-consultants.co.uk" providerId="PeoplePicker"/>
  <person displayName="George  Chanarin" id="{975B852F-A72B-4235-B368-8D54D725EEFA}" userId="S::George@cumulus-consultants.co.uk::b45e6f20-fd5e-4b80-9ac1-b5cabd710ef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I18" dT="2022-05-20T09:31:28.16" personId="{975B852F-A72B-4235-B368-8D54D725EEFA}" id="{EC27A19D-EB4A-4F1F-9DD3-82FF95E6FCDA}">
    <text>@Charlie Russ I think we should consider dropping this to zero, with the assumption that all feed is provided by the herbal sward?</text>
    <mentions>
      <mention mentionpersonId="{68D90FEC-A9C3-4AE5-99F2-A5B5A5BBC9A6}" mentionId="{3D15F22D-1A4E-46FB-AF59-A46F1D7C7AED}" startIndex="0" length="13"/>
    </mentions>
  </threadedComment>
  <threadedComment ref="AI55" dT="2022-05-20T09:31:28.16" personId="{975B852F-A72B-4235-B368-8D54D725EEFA}" id="{69CD8A98-B91A-423D-85D1-A81690C0369A}">
    <text>@Charlie Russ I think we should consider dropping this to zero, with the assumption that all feed is provided by the herbal sward?</text>
    <mentions>
      <mention mentionpersonId="{68D90FEC-A9C3-4AE5-99F2-A5B5A5BBC9A6}" mentionId="{EB124854-0DDA-4D6E-9EDC-7580D5E87BC6}" startIndex="0" length="13"/>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ED29" dT="2022-06-20T11:09:10.36" personId="{975B852F-A72B-4235-B368-8D54D725EEFA}" id="{8E5E9940-4053-4284-9B00-8655280263A7}">
    <text>@Charlie Russ I think this should be t/cow or something? Could you please check?</text>
    <mentions>
      <mention mentionpersonId="{68D90FEC-A9C3-4AE5-99F2-A5B5A5BBC9A6}" mentionId="{BE36260D-5A42-4F41-9913-F2589FA3BA98}" startIndex="0" length="13"/>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T70" dT="2022-05-19T14:33:59.45" personId="{975B852F-A72B-4235-B368-8D54D725EEFA}" id="{943A6C27-2548-43C4-B96B-3111AD9A2353}">
    <text>@Charlie Russ would be good to discuss the logic of this at some point</text>
    <mentions>
      <mention mentionpersonId="{68D90FEC-A9C3-4AE5-99F2-A5B5A5BBC9A6}" mentionId="{B573DFD3-E9C6-475D-B8E3-41E8F6C8F060}" startIndex="0" length="13"/>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8" Type="http://schemas.openxmlformats.org/officeDocument/2006/relationships/hyperlink" Target="http://publications.naturalengland.org.uk/publication/5419124441481216" TargetMode="External"/><Relationship Id="rId3" Type="http://schemas.openxmlformats.org/officeDocument/2006/relationships/hyperlink" Target="http://publications.naturalengland.org.uk/publication/5419124441481216" TargetMode="External"/><Relationship Id="rId7" Type="http://schemas.openxmlformats.org/officeDocument/2006/relationships/hyperlink" Target="https://www.forestresearch.gov.uk/documents/284/fcrp018_8ATkMhd.pdf,%20(Magnani%20et%20al.,%202007;%20Clement,%20Moncrieff%20and%20Jarvis,%202003;%20Jarvis%20et%20al.,%202009;%20Black%20et%20al.%20(2009);%20Fenn%20et%20al.,%202010;%20Thomas%20et%20al.,%202010)" TargetMode="External"/><Relationship Id="rId2" Type="http://schemas.openxmlformats.org/officeDocument/2006/relationships/hyperlink" Target="https://www.sciencedirect.com/science/article/pii/S0167880914004873?casa_token=2253E5yk-uUAAAAA:2rmR7wuANdyOiluuuK2siAsCkfeXhawGCgUW5tyfOaI-GnMmytmesHY7q1iCUDiu_eZM0qc-4Q" TargetMode="External"/><Relationship Id="rId1" Type="http://schemas.openxmlformats.org/officeDocument/2006/relationships/hyperlink" Target="https://www.nature.com/articles/s41467-019-12622-7" TargetMode="External"/><Relationship Id="rId6" Type="http://schemas.openxmlformats.org/officeDocument/2006/relationships/hyperlink" Target="http://publications.naturalengland.org.uk/publication/5419124441481216" TargetMode="External"/><Relationship Id="rId5" Type="http://schemas.openxmlformats.org/officeDocument/2006/relationships/hyperlink" Target="http://publications.naturalengland.org.uk/publication/5419124441481216" TargetMode="External"/><Relationship Id="rId4" Type="http://schemas.openxmlformats.org/officeDocument/2006/relationships/hyperlink" Target="http://publications.naturalengland.org.uk/publication/5419124441481216" TargetMode="External"/><Relationship Id="rId9"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hyperlink" Target="https://orgprints.org/id/eprint/29475/1/organic_farm_incomes_E%2BW_2013-14_Final.pdf" TargetMode="External"/><Relationship Id="rId2" Type="http://schemas.openxmlformats.org/officeDocument/2006/relationships/hyperlink" Target="file:///C:\Users\George\AppData\Downloads\Dairy-Farming-in-England-2020-21%20(1).pdf" TargetMode="External"/><Relationship Id="rId1" Type="http://schemas.openxmlformats.org/officeDocument/2006/relationships/hyperlink" Target="file:///C:\Users\George\AppData\Downloads\Dairy-Farming-in-England-2020-21%20(1).pdf" TargetMode="External"/><Relationship Id="rId5" Type="http://schemas.openxmlformats.org/officeDocument/2006/relationships/printerSettings" Target="../printerSettings/printerSettings4.bin"/><Relationship Id="rId4" Type="http://schemas.openxmlformats.org/officeDocument/2006/relationships/hyperlink" Target="https://orgprints.org/id/eprint/29475/1/organic_farm_incomes_E%2BW_2013-14_Final.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DAEC0-BCE3-4938-917B-7DD469D59693}">
  <dimension ref="A2:E38"/>
  <sheetViews>
    <sheetView showGridLines="0" showRowColHeaders="0" zoomScaleNormal="100" workbookViewId="0">
      <selection activeCell="C7" sqref="C7:D7"/>
    </sheetView>
  </sheetViews>
  <sheetFormatPr defaultColWidth="8.81640625" defaultRowHeight="14.5" x14ac:dyDescent="0.35"/>
  <cols>
    <col min="1" max="1" width="5.54296875" customWidth="1"/>
    <col min="2" max="2" width="6.453125" customWidth="1"/>
    <col min="3" max="3" width="29.81640625" customWidth="1"/>
    <col min="4" max="4" width="128.453125" customWidth="1"/>
    <col min="5" max="5" width="7.1796875" customWidth="1"/>
    <col min="6" max="6" width="13.81640625" customWidth="1"/>
    <col min="7" max="7" width="13.453125" customWidth="1"/>
    <col min="8" max="8" width="14" customWidth="1"/>
    <col min="9" max="9" width="12.81640625" customWidth="1"/>
    <col min="10" max="10" width="14.1796875" customWidth="1"/>
    <col min="11" max="11" width="17.81640625" customWidth="1"/>
    <col min="12" max="12" width="14.453125" customWidth="1"/>
    <col min="13" max="13" width="13.453125" customWidth="1"/>
    <col min="14" max="14" width="14.453125" customWidth="1"/>
    <col min="15" max="15" width="12.54296875" customWidth="1"/>
    <col min="16" max="16" width="14.1796875" customWidth="1"/>
    <col min="17" max="17" width="13.1796875" customWidth="1"/>
    <col min="18" max="18" width="16.1796875" customWidth="1"/>
  </cols>
  <sheetData>
    <row r="2" spans="2:5" x14ac:dyDescent="0.35">
      <c r="B2" s="1402"/>
      <c r="C2" s="1402"/>
      <c r="D2" s="1402"/>
      <c r="E2" s="1402"/>
    </row>
    <row r="3" spans="2:5" ht="21" x14ac:dyDescent="0.35">
      <c r="B3" s="1402"/>
      <c r="C3" s="1404" t="s">
        <v>0</v>
      </c>
      <c r="D3" s="1402"/>
      <c r="E3" s="1402"/>
    </row>
    <row r="4" spans="2:5" x14ac:dyDescent="0.35">
      <c r="B4" s="1402"/>
      <c r="C4" s="1405" t="s">
        <v>1</v>
      </c>
      <c r="D4" s="1402"/>
      <c r="E4" s="1402"/>
    </row>
    <row r="5" spans="2:5" ht="55.5" customHeight="1" x14ac:dyDescent="0.35">
      <c r="B5" s="1402"/>
      <c r="C5" s="1431" t="s">
        <v>2</v>
      </c>
      <c r="D5" s="1431"/>
      <c r="E5" s="1402"/>
    </row>
    <row r="6" spans="2:5" x14ac:dyDescent="0.35">
      <c r="B6" s="1402"/>
      <c r="C6" s="1405" t="s">
        <v>3</v>
      </c>
      <c r="D6" s="1402"/>
      <c r="E6" s="1402"/>
    </row>
    <row r="7" spans="2:5" ht="76.5" customHeight="1" x14ac:dyDescent="0.35">
      <c r="B7" s="1402"/>
      <c r="C7" s="1431" t="s">
        <v>4</v>
      </c>
      <c r="D7" s="1431"/>
      <c r="E7" s="1402"/>
    </row>
    <row r="8" spans="2:5" x14ac:dyDescent="0.35">
      <c r="B8" s="1402"/>
      <c r="C8" s="1405"/>
      <c r="D8" s="1402"/>
      <c r="E8" s="1402"/>
    </row>
    <row r="9" spans="2:5" x14ac:dyDescent="0.35">
      <c r="B9" s="1402"/>
      <c r="C9" s="1405" t="s">
        <v>5</v>
      </c>
      <c r="D9" s="1402"/>
      <c r="E9" s="1402"/>
    </row>
    <row r="10" spans="2:5" ht="63" customHeight="1" x14ac:dyDescent="0.35">
      <c r="B10" s="1402"/>
      <c r="C10" s="1431" t="s">
        <v>6</v>
      </c>
      <c r="D10" s="1431"/>
      <c r="E10" s="1402"/>
    </row>
    <row r="11" spans="2:5" ht="48" customHeight="1" x14ac:dyDescent="0.35">
      <c r="B11" s="1402"/>
      <c r="C11" s="1431" t="s">
        <v>7</v>
      </c>
      <c r="D11" s="1431"/>
      <c r="E11" s="1402"/>
    </row>
    <row r="12" spans="2:5" ht="90" customHeight="1" x14ac:dyDescent="0.35">
      <c r="B12" s="1402"/>
      <c r="C12" s="1431" t="s">
        <v>8</v>
      </c>
      <c r="D12" s="1431"/>
      <c r="E12" s="1402"/>
    </row>
    <row r="13" spans="2:5" ht="63" customHeight="1" x14ac:dyDescent="0.35">
      <c r="B13" s="1402"/>
      <c r="C13" s="1431" t="s">
        <v>9</v>
      </c>
      <c r="D13" s="1431"/>
      <c r="E13" s="1402"/>
    </row>
    <row r="14" spans="2:5" ht="76.5" customHeight="1" x14ac:dyDescent="0.35">
      <c r="B14" s="1402"/>
      <c r="C14" s="1431" t="s">
        <v>10</v>
      </c>
      <c r="D14" s="1431"/>
      <c r="E14" s="1402"/>
    </row>
    <row r="15" spans="2:5" x14ac:dyDescent="0.35">
      <c r="B15" s="1402"/>
      <c r="C15" s="1405" t="s">
        <v>11</v>
      </c>
      <c r="D15" s="1402"/>
      <c r="E15" s="1402"/>
    </row>
    <row r="16" spans="2:5" ht="68.25" customHeight="1" x14ac:dyDescent="0.35">
      <c r="B16" s="1402"/>
      <c r="C16" s="1431" t="s">
        <v>12</v>
      </c>
      <c r="D16" s="1431"/>
      <c r="E16" s="1402"/>
    </row>
    <row r="17" spans="1:5" ht="27" customHeight="1" x14ac:dyDescent="0.35">
      <c r="A17" s="1400"/>
      <c r="B17" s="1403"/>
      <c r="C17" s="1406" t="s">
        <v>13</v>
      </c>
      <c r="D17" s="1403" t="s">
        <v>14</v>
      </c>
      <c r="E17" s="1403"/>
    </row>
    <row r="18" spans="1:5" ht="40.5" customHeight="1" x14ac:dyDescent="0.35">
      <c r="A18" s="1401"/>
      <c r="B18" s="1402"/>
      <c r="C18" s="1407" t="s">
        <v>15</v>
      </c>
      <c r="D18" s="1402" t="s">
        <v>16</v>
      </c>
      <c r="E18" s="1402"/>
    </row>
    <row r="19" spans="1:5" ht="96" customHeight="1" x14ac:dyDescent="0.35">
      <c r="B19" s="1402"/>
      <c r="C19" s="1407" t="s">
        <v>17</v>
      </c>
      <c r="D19" s="1402" t="s">
        <v>18</v>
      </c>
      <c r="E19" s="1402"/>
    </row>
    <row r="20" spans="1:5" ht="35.15" customHeight="1" x14ac:dyDescent="0.35">
      <c r="B20" s="1402"/>
      <c r="C20" s="1407" t="s">
        <v>19</v>
      </c>
      <c r="D20" s="1402" t="s">
        <v>20</v>
      </c>
      <c r="E20" s="1402"/>
    </row>
    <row r="21" spans="1:5" ht="35.15" customHeight="1" x14ac:dyDescent="0.35">
      <c r="B21" s="1402"/>
      <c r="C21" s="1407" t="s">
        <v>21</v>
      </c>
      <c r="D21" s="1402" t="s">
        <v>22</v>
      </c>
      <c r="E21" s="1402"/>
    </row>
    <row r="22" spans="1:5" ht="35.15" customHeight="1" x14ac:dyDescent="0.35">
      <c r="B22" s="1402"/>
      <c r="C22" s="1407" t="s">
        <v>23</v>
      </c>
      <c r="D22" s="1402" t="s">
        <v>24</v>
      </c>
      <c r="E22" s="1402"/>
    </row>
    <row r="23" spans="1:5" ht="35.15" customHeight="1" x14ac:dyDescent="0.35">
      <c r="B23" s="1402"/>
      <c r="C23" s="1407" t="s">
        <v>25</v>
      </c>
      <c r="D23" s="1402" t="s">
        <v>26</v>
      </c>
      <c r="E23" s="1402"/>
    </row>
    <row r="24" spans="1:5" ht="35.15" customHeight="1" x14ac:dyDescent="0.35">
      <c r="B24" s="1402"/>
      <c r="C24" s="1407" t="s">
        <v>27</v>
      </c>
      <c r="D24" s="1402" t="s">
        <v>28</v>
      </c>
      <c r="E24" s="1402"/>
    </row>
    <row r="25" spans="1:5" ht="35.15" customHeight="1" x14ac:dyDescent="0.35">
      <c r="B25" s="1402"/>
      <c r="C25" s="1407" t="s">
        <v>29</v>
      </c>
      <c r="D25" s="1402" t="s">
        <v>30</v>
      </c>
      <c r="E25" s="1402"/>
    </row>
    <row r="26" spans="1:5" x14ac:dyDescent="0.35">
      <c r="B26" s="1402"/>
      <c r="C26" s="1402"/>
      <c r="D26" s="1402"/>
      <c r="E26" s="1402"/>
    </row>
    <row r="27" spans="1:5" ht="29" x14ac:dyDescent="0.35">
      <c r="B27" s="1402"/>
      <c r="C27" s="1405" t="s">
        <v>31</v>
      </c>
      <c r="D27" s="1402"/>
      <c r="E27" s="1402"/>
    </row>
    <row r="28" spans="1:5" ht="78.75" customHeight="1" x14ac:dyDescent="0.35">
      <c r="B28" s="1402"/>
      <c r="C28" s="1430" t="s">
        <v>32</v>
      </c>
      <c r="D28" s="1430"/>
      <c r="E28" s="1402"/>
    </row>
    <row r="29" spans="1:5" x14ac:dyDescent="0.35">
      <c r="B29" s="1402"/>
      <c r="C29" s="1402"/>
      <c r="D29" s="1402"/>
      <c r="E29" s="1402"/>
    </row>
    <row r="30" spans="1:5" x14ac:dyDescent="0.35">
      <c r="B30" s="1402"/>
      <c r="C30" s="1402"/>
      <c r="D30" s="1402"/>
      <c r="E30" s="1402"/>
    </row>
    <row r="31" spans="1:5" x14ac:dyDescent="0.35">
      <c r="B31" s="1402"/>
      <c r="C31" s="1402"/>
      <c r="D31" s="1402"/>
      <c r="E31" s="1402"/>
    </row>
    <row r="32" spans="1:5" x14ac:dyDescent="0.35">
      <c r="B32" s="1402"/>
      <c r="C32" s="1402"/>
      <c r="D32" s="1402"/>
      <c r="E32" s="1402"/>
    </row>
    <row r="33" spans="2:5" x14ac:dyDescent="0.35">
      <c r="B33" s="1402"/>
      <c r="C33" s="1402"/>
      <c r="D33" s="1402"/>
      <c r="E33" s="1402"/>
    </row>
    <row r="34" spans="2:5" x14ac:dyDescent="0.35">
      <c r="B34" s="1402"/>
      <c r="C34" s="1402"/>
      <c r="D34" s="1402"/>
      <c r="E34" s="1402"/>
    </row>
    <row r="35" spans="2:5" x14ac:dyDescent="0.35">
      <c r="B35" s="1402"/>
      <c r="C35" s="1402"/>
      <c r="D35" s="1402"/>
      <c r="E35" s="1402"/>
    </row>
    <row r="36" spans="2:5" x14ac:dyDescent="0.35">
      <c r="B36" s="1402"/>
      <c r="C36" s="1402"/>
      <c r="D36" s="1402"/>
      <c r="E36" s="1402"/>
    </row>
    <row r="37" spans="2:5" x14ac:dyDescent="0.35">
      <c r="B37" s="1402"/>
      <c r="C37" s="1402"/>
      <c r="D37" s="1402"/>
      <c r="E37" s="1402"/>
    </row>
    <row r="38" spans="2:5" x14ac:dyDescent="0.35">
      <c r="B38" s="1402"/>
      <c r="C38" s="1402"/>
      <c r="D38" s="1402"/>
      <c r="E38" s="1402"/>
    </row>
  </sheetData>
  <sheetProtection algorithmName="SHA-512" hashValue="yjv0mk4nk9WSqldEfyuuGpFWp2lB9OD4SRWHeZUos9qk6mucOsRcXWcwtSz+SEl3h2PnrLfPFyI5/LvC6A13IQ==" saltValue="XJOhgantZAZex0KVqnq4Rg==" spinCount="100000" sheet="1" objects="1" scenarios="1"/>
  <mergeCells count="9">
    <mergeCell ref="C28:D28"/>
    <mergeCell ref="C12:D12"/>
    <mergeCell ref="C14:D14"/>
    <mergeCell ref="C5:D5"/>
    <mergeCell ref="C7:D7"/>
    <mergeCell ref="C10:D10"/>
    <mergeCell ref="C11:D11"/>
    <mergeCell ref="C13:D13"/>
    <mergeCell ref="C16:D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0D1B-2221-4B36-81B2-5696581E3654}">
  <dimension ref="B1:R61"/>
  <sheetViews>
    <sheetView showGridLines="0" showRowColHeaders="0" workbookViewId="0">
      <selection activeCell="A2" sqref="A2"/>
    </sheetView>
  </sheetViews>
  <sheetFormatPr defaultColWidth="8.81640625" defaultRowHeight="14.5" x14ac:dyDescent="0.35"/>
  <cols>
    <col min="1" max="1" width="5.7265625" customWidth="1"/>
    <col min="2" max="2" width="20.7265625" customWidth="1"/>
    <col min="3" max="3" width="29.7265625" customWidth="1"/>
    <col min="4" max="4" width="5.7265625" customWidth="1"/>
    <col min="5" max="7" width="20.7265625" style="2" customWidth="1"/>
    <col min="8" max="13" width="20.7265625" customWidth="1"/>
    <col min="14" max="14" width="10.7265625" customWidth="1"/>
    <col min="15" max="15" width="27" customWidth="1"/>
    <col min="16" max="17" width="20.7265625" customWidth="1"/>
    <col min="18" max="18" width="28.26953125" customWidth="1"/>
    <col min="19" max="19" width="20.7265625" customWidth="1"/>
  </cols>
  <sheetData>
    <row r="1" spans="2:18" ht="30" customHeight="1" thickBot="1" x14ac:dyDescent="0.4">
      <c r="E1" s="235"/>
      <c r="F1" s="235"/>
      <c r="G1" s="235"/>
    </row>
    <row r="2" spans="2:18" ht="30" customHeight="1" x14ac:dyDescent="0.35">
      <c r="B2" s="1458" t="s">
        <v>123</v>
      </c>
      <c r="C2" s="1459"/>
      <c r="O2" s="1451" t="s">
        <v>176</v>
      </c>
      <c r="P2" s="1452"/>
      <c r="Q2" s="1452"/>
      <c r="R2" s="1453"/>
    </row>
    <row r="3" spans="2:18" ht="30" customHeight="1" x14ac:dyDescent="0.35">
      <c r="B3" s="1240" t="s">
        <v>49</v>
      </c>
      <c r="C3" s="1241" t="s">
        <v>125</v>
      </c>
      <c r="O3" s="1456" t="s">
        <v>126</v>
      </c>
      <c r="P3" s="1454" t="s">
        <v>71</v>
      </c>
      <c r="Q3" s="1468" t="s">
        <v>75</v>
      </c>
      <c r="R3" s="1469"/>
    </row>
    <row r="4" spans="2:18" ht="30" customHeight="1" x14ac:dyDescent="0.35">
      <c r="B4" s="1242" t="s">
        <v>127</v>
      </c>
      <c r="C4" s="1238" t="str">
        <f>Dashboard!C3</f>
        <v>Current payment rate</v>
      </c>
      <c r="O4" s="1457"/>
      <c r="P4" s="1455"/>
      <c r="Q4" s="1397"/>
      <c r="R4" s="1398" t="s">
        <v>128</v>
      </c>
    </row>
    <row r="5" spans="2:18" ht="30" customHeight="1" x14ac:dyDescent="0.35">
      <c r="B5" s="1242" t="s">
        <v>55</v>
      </c>
      <c r="C5" s="1238" t="str">
        <f>Dashboard!C4</f>
        <v>Conventional pricing</v>
      </c>
      <c r="O5" s="203" t="s">
        <v>129</v>
      </c>
      <c r="P5" s="648">
        <f>SUM(Dashboard!N34:N36)</f>
        <v>132221.86412163946</v>
      </c>
      <c r="Q5" s="648">
        <f>SUM(Dashboard!O34:O36)</f>
        <v>194887.14751324916</v>
      </c>
      <c r="R5" s="655">
        <f>Q5-$P$5</f>
        <v>62665.283391609701</v>
      </c>
    </row>
    <row r="6" spans="2:18" ht="30" customHeight="1" x14ac:dyDescent="0.35">
      <c r="B6" s="1242" t="s">
        <v>57</v>
      </c>
      <c r="C6" s="1238" t="str">
        <f>Dashboard!C5</f>
        <v>10% below conventional fixed costs</v>
      </c>
      <c r="O6" s="203" t="s">
        <v>130</v>
      </c>
      <c r="P6" s="648">
        <f>SUM(Dashboard!N27:N32)</f>
        <v>66861.930568090116</v>
      </c>
      <c r="Q6" s="648">
        <f>SUM(Dashboard!O27:O32)</f>
        <v>97013.099070361946</v>
      </c>
      <c r="R6" s="655">
        <f>Q6-$P$6</f>
        <v>30151.16850227183</v>
      </c>
    </row>
    <row r="7" spans="2:18" ht="30" customHeight="1" x14ac:dyDescent="0.35">
      <c r="B7" s="1242" t="s">
        <v>59</v>
      </c>
      <c r="C7" s="1239" t="str">
        <f>Dashboard!C6</f>
        <v>+100%</v>
      </c>
      <c r="O7" s="203" t="s">
        <v>131</v>
      </c>
      <c r="P7" s="648">
        <f>Dashboard!N42</f>
        <v>66240</v>
      </c>
      <c r="Q7" s="648">
        <f>Dashboard!O42</f>
        <v>127808.49847640212</v>
      </c>
      <c r="R7" s="655">
        <f>Q7-$P$7</f>
        <v>61568.498476402121</v>
      </c>
    </row>
    <row r="8" spans="2:18" ht="30" customHeight="1" thickBot="1" x14ac:dyDescent="0.4">
      <c r="B8" s="1242" t="s">
        <v>61</v>
      </c>
      <c r="C8" s="1239" t="str">
        <f>Dashboard!C7</f>
        <v>No payment</v>
      </c>
      <c r="E8" s="235"/>
      <c r="F8" s="235"/>
      <c r="G8" s="235"/>
      <c r="N8" s="1270"/>
      <c r="O8" s="1375" t="s">
        <v>132</v>
      </c>
      <c r="P8" s="1376">
        <f>Dashboard!N44</f>
        <v>-880.06644645065535</v>
      </c>
      <c r="Q8" s="1376">
        <f>Dashboard!O44</f>
        <v>-29934.450033514906</v>
      </c>
      <c r="R8" s="1377">
        <f>Q8-$P$8</f>
        <v>-29054.383587064251</v>
      </c>
    </row>
    <row r="9" spans="2:18" ht="30" customHeight="1" x14ac:dyDescent="0.35">
      <c r="E9" s="235"/>
      <c r="F9" s="235"/>
      <c r="G9" s="235"/>
      <c r="N9" s="1270"/>
      <c r="O9" s="1270"/>
      <c r="P9" s="1270"/>
    </row>
    <row r="10" spans="2:18" ht="30" customHeight="1" thickBot="1" x14ac:dyDescent="0.4">
      <c r="E10" s="235"/>
      <c r="F10" s="235"/>
      <c r="G10" s="235"/>
    </row>
    <row r="11" spans="2:18" ht="30" customHeight="1" x14ac:dyDescent="0.35">
      <c r="E11" s="235"/>
      <c r="F11" s="235"/>
      <c r="G11" s="235"/>
      <c r="O11" s="1470" t="s">
        <v>177</v>
      </c>
      <c r="P11" s="1472"/>
      <c r="Q11" s="1471"/>
    </row>
    <row r="12" spans="2:18" ht="30" customHeight="1" x14ac:dyDescent="0.35">
      <c r="E12" s="235"/>
      <c r="F12" s="235"/>
      <c r="G12" s="235"/>
      <c r="O12" s="1396" t="s">
        <v>126</v>
      </c>
      <c r="P12" s="1397" t="s">
        <v>71</v>
      </c>
      <c r="Q12" s="1398" t="s">
        <v>75</v>
      </c>
    </row>
    <row r="13" spans="2:18" ht="30" customHeight="1" x14ac:dyDescent="0.35">
      <c r="E13" s="235"/>
      <c r="F13" s="235"/>
      <c r="G13" s="235"/>
      <c r="O13" s="935" t="str">
        <f>O5</f>
        <v>Gross farm output</v>
      </c>
      <c r="P13" s="648">
        <f t="shared" ref="P13:Q16" si="0">P5/92</f>
        <v>1437.1941752352116</v>
      </c>
      <c r="Q13" s="655">
        <f t="shared" si="0"/>
        <v>2118.3385599266212</v>
      </c>
    </row>
    <row r="14" spans="2:18" ht="30" customHeight="1" x14ac:dyDescent="0.35">
      <c r="E14" s="235"/>
      <c r="F14" s="235"/>
      <c r="G14" s="235"/>
      <c r="O14" s="935" t="str">
        <f>O6</f>
        <v>Gross farm variable costs</v>
      </c>
      <c r="P14" s="648">
        <f t="shared" si="0"/>
        <v>726.76011487054473</v>
      </c>
      <c r="Q14" s="655">
        <f t="shared" si="0"/>
        <v>1054.490207286543</v>
      </c>
    </row>
    <row r="15" spans="2:18" ht="30" customHeight="1" x14ac:dyDescent="0.35">
      <c r="E15" s="235"/>
      <c r="F15" s="235"/>
      <c r="G15" s="235"/>
      <c r="O15" s="935" t="str">
        <f>O7</f>
        <v>Fixed costs</v>
      </c>
      <c r="P15" s="648">
        <f t="shared" si="0"/>
        <v>720</v>
      </c>
      <c r="Q15" s="655">
        <f t="shared" si="0"/>
        <v>1389.22280952611</v>
      </c>
    </row>
    <row r="16" spans="2:18" ht="30" customHeight="1" thickBot="1" x14ac:dyDescent="0.4">
      <c r="E16" s="235"/>
      <c r="F16" s="235"/>
      <c r="G16" s="235"/>
      <c r="N16" s="1270"/>
      <c r="O16" s="1365" t="str">
        <f>O8</f>
        <v>Net farm income</v>
      </c>
      <c r="P16" s="1376">
        <f t="shared" si="0"/>
        <v>-9.5659396353332102</v>
      </c>
      <c r="Q16" s="1377">
        <f t="shared" si="0"/>
        <v>-325.37445688603157</v>
      </c>
    </row>
    <row r="17" spans="5:16" ht="30" customHeight="1" x14ac:dyDescent="0.35">
      <c r="E17" s="235"/>
      <c r="F17" s="235"/>
      <c r="G17" s="235"/>
      <c r="N17" s="1270"/>
      <c r="O17" s="1270"/>
      <c r="P17" s="1270"/>
    </row>
    <row r="18" spans="5:16" ht="30" customHeight="1" thickBot="1" x14ac:dyDescent="0.4">
      <c r="E18" s="235"/>
      <c r="F18" s="235"/>
      <c r="G18" s="235"/>
    </row>
    <row r="19" spans="5:16" ht="30" customHeight="1" x14ac:dyDescent="0.35">
      <c r="E19" s="235"/>
      <c r="F19" s="235"/>
      <c r="G19" s="235"/>
      <c r="O19" s="1470" t="s">
        <v>178</v>
      </c>
      <c r="P19" s="1471"/>
    </row>
    <row r="20" spans="5:16" ht="30" customHeight="1" x14ac:dyDescent="0.35">
      <c r="E20" s="235"/>
      <c r="F20" s="235"/>
      <c r="G20" s="235"/>
      <c r="O20" s="1396" t="s">
        <v>140</v>
      </c>
      <c r="P20" s="1398" t="s">
        <v>141</v>
      </c>
    </row>
    <row r="21" spans="5:16" ht="30" customHeight="1" x14ac:dyDescent="0.35">
      <c r="E21" s="235"/>
      <c r="F21" s="235"/>
      <c r="G21" s="235"/>
      <c r="O21" s="1369" t="s">
        <v>179</v>
      </c>
      <c r="P21" s="1372">
        <f>L52+J52</f>
        <v>30</v>
      </c>
    </row>
    <row r="22" spans="5:16" ht="30" customHeight="1" x14ac:dyDescent="0.35">
      <c r="E22" s="235"/>
      <c r="F22" s="235"/>
      <c r="G22" s="235"/>
      <c r="O22" s="935" t="s">
        <v>180</v>
      </c>
      <c r="P22" s="1372">
        <f>J53</f>
        <v>21</v>
      </c>
    </row>
    <row r="23" spans="5:16" ht="30" customHeight="1" x14ac:dyDescent="0.35">
      <c r="E23" s="235"/>
      <c r="F23" s="235"/>
      <c r="G23" s="235"/>
      <c r="O23" s="1369" t="s">
        <v>181</v>
      </c>
      <c r="P23" s="1372">
        <f>J54+L55</f>
        <v>13</v>
      </c>
    </row>
    <row r="24" spans="5:16" ht="30" customHeight="1" x14ac:dyDescent="0.35">
      <c r="E24" s="235"/>
      <c r="F24" s="235"/>
      <c r="G24" s="235"/>
      <c r="O24" s="1369" t="s">
        <v>182</v>
      </c>
      <c r="P24" s="1372">
        <f>J55+L58</f>
        <v>13</v>
      </c>
    </row>
    <row r="25" spans="5:16" ht="30" customHeight="1" x14ac:dyDescent="0.35">
      <c r="E25" s="235"/>
      <c r="F25" s="235"/>
      <c r="G25" s="235"/>
      <c r="O25" s="1369" t="s">
        <v>183</v>
      </c>
      <c r="P25" s="1372">
        <f>L53</f>
        <v>3</v>
      </c>
    </row>
    <row r="26" spans="5:16" ht="30" customHeight="1" x14ac:dyDescent="0.35">
      <c r="E26" s="235"/>
      <c r="F26" s="235"/>
      <c r="G26" s="235"/>
      <c r="O26" s="1369" t="s">
        <v>184</v>
      </c>
      <c r="P26" s="1372">
        <f>L54</f>
        <v>3</v>
      </c>
    </row>
    <row r="27" spans="5:16" ht="30" customHeight="1" x14ac:dyDescent="0.35">
      <c r="E27" s="235"/>
      <c r="F27" s="235"/>
      <c r="G27" s="235"/>
      <c r="O27" s="1369" t="s">
        <v>185</v>
      </c>
      <c r="P27" s="1372">
        <v>2</v>
      </c>
    </row>
    <row r="28" spans="5:16" ht="30" customHeight="1" thickBot="1" x14ac:dyDescent="0.4">
      <c r="E28" s="235"/>
      <c r="F28" s="235"/>
      <c r="G28" s="235"/>
      <c r="O28" s="1383" t="s">
        <v>186</v>
      </c>
      <c r="P28" s="1384">
        <v>7</v>
      </c>
    </row>
    <row r="29" spans="5:16" ht="30" customHeight="1" x14ac:dyDescent="0.35">
      <c r="E29" s="235"/>
      <c r="F29" s="235"/>
      <c r="G29" s="235"/>
    </row>
    <row r="30" spans="5:16" x14ac:dyDescent="0.35">
      <c r="E30" s="235"/>
      <c r="F30" s="235"/>
      <c r="G30" s="235"/>
    </row>
    <row r="31" spans="5:16" x14ac:dyDescent="0.35">
      <c r="E31" s="235"/>
      <c r="F31" s="235"/>
      <c r="G31" s="235"/>
    </row>
    <row r="32" spans="5:16" x14ac:dyDescent="0.35">
      <c r="E32" s="235"/>
      <c r="F32" s="235"/>
      <c r="G32" s="235"/>
    </row>
    <row r="33" spans="5:7" x14ac:dyDescent="0.35">
      <c r="E33" s="235"/>
      <c r="F33" s="235"/>
      <c r="G33" s="235"/>
    </row>
    <row r="34" spans="5:7" x14ac:dyDescent="0.35">
      <c r="E34" s="235"/>
      <c r="F34" s="235"/>
      <c r="G34" s="235"/>
    </row>
    <row r="35" spans="5:7" x14ac:dyDescent="0.35">
      <c r="E35" s="235"/>
      <c r="F35" s="235"/>
      <c r="G35" s="235"/>
    </row>
    <row r="36" spans="5:7" ht="19.75" customHeight="1" x14ac:dyDescent="0.35"/>
    <row r="42" spans="5:7" x14ac:dyDescent="0.35">
      <c r="E42" s="235"/>
      <c r="F42" s="235"/>
      <c r="G42" s="235"/>
    </row>
    <row r="43" spans="5:7" x14ac:dyDescent="0.35">
      <c r="E43" s="235"/>
      <c r="F43" s="235"/>
      <c r="G43" s="235"/>
    </row>
    <row r="44" spans="5:7" x14ac:dyDescent="0.35">
      <c r="E44" s="235"/>
      <c r="F44" s="235"/>
      <c r="G44" s="235"/>
    </row>
    <row r="45" spans="5:7" x14ac:dyDescent="0.35">
      <c r="E45" s="235"/>
      <c r="F45" s="235"/>
      <c r="G45" s="235"/>
    </row>
    <row r="48" spans="5:7" hidden="1" x14ac:dyDescent="0.35"/>
    <row r="49" spans="9:14" hidden="1" x14ac:dyDescent="0.35"/>
    <row r="50" spans="9:14" ht="15" hidden="1" thickBot="1" x14ac:dyDescent="0.4">
      <c r="J50" t="s">
        <v>187</v>
      </c>
      <c r="L50" t="s">
        <v>188</v>
      </c>
    </row>
    <row r="51" spans="9:14" ht="15" hidden="1" thickBot="1" x14ac:dyDescent="0.4">
      <c r="I51" s="1352" t="s">
        <v>140</v>
      </c>
      <c r="J51" s="1352" t="s">
        <v>141</v>
      </c>
      <c r="K51" s="1352" t="s">
        <v>140</v>
      </c>
      <c r="L51" s="1352" t="s">
        <v>141</v>
      </c>
    </row>
    <row r="52" spans="9:14" ht="39.5" hidden="1" thickBot="1" x14ac:dyDescent="0.4">
      <c r="I52" s="1352" t="s">
        <v>189</v>
      </c>
      <c r="J52" s="1352">
        <f>(J57-J56)/3</f>
        <v>21</v>
      </c>
      <c r="K52" s="1352" t="s">
        <v>190</v>
      </c>
      <c r="L52" s="1352">
        <v>9</v>
      </c>
    </row>
    <row r="53" spans="9:14" ht="26.5" hidden="1" thickBot="1" x14ac:dyDescent="0.4">
      <c r="I53" s="1354" t="s">
        <v>191</v>
      </c>
      <c r="J53" s="1352">
        <f>(J57-J56)/3</f>
        <v>21</v>
      </c>
      <c r="K53" s="1354" t="s">
        <v>183</v>
      </c>
      <c r="L53" s="1353">
        <v>3</v>
      </c>
    </row>
    <row r="54" spans="9:14" ht="26.5" hidden="1" thickBot="1" x14ac:dyDescent="0.4">
      <c r="I54" s="1355" t="s">
        <v>192</v>
      </c>
      <c r="J54" s="1353">
        <v>10</v>
      </c>
      <c r="K54" s="1355" t="s">
        <v>184</v>
      </c>
      <c r="L54" s="1353">
        <v>3</v>
      </c>
    </row>
    <row r="55" spans="9:14" ht="39.5" hidden="1" thickBot="1" x14ac:dyDescent="0.4">
      <c r="I55" s="1355" t="s">
        <v>193</v>
      </c>
      <c r="J55" s="1353">
        <v>10</v>
      </c>
      <c r="K55" s="1355" t="s">
        <v>194</v>
      </c>
      <c r="L55" s="1353">
        <v>3</v>
      </c>
    </row>
    <row r="56" spans="9:14" ht="39.5" hidden="1" thickBot="1" x14ac:dyDescent="0.4">
      <c r="I56" s="1355" t="s">
        <v>185</v>
      </c>
      <c r="J56" s="1353">
        <v>2</v>
      </c>
      <c r="K56" s="1355" t="s">
        <v>195</v>
      </c>
      <c r="L56" s="1353">
        <v>4</v>
      </c>
    </row>
    <row r="57" spans="9:14" ht="15" hidden="1" thickBot="1" x14ac:dyDescent="0.4">
      <c r="J57" s="1356">
        <v>65</v>
      </c>
      <c r="L57" s="1353">
        <v>5</v>
      </c>
    </row>
    <row r="58" spans="9:14" ht="15" hidden="1" thickBot="1" x14ac:dyDescent="0.4">
      <c r="J58">
        <f>SUM(J52:J56)</f>
        <v>64</v>
      </c>
      <c r="L58" s="1353">
        <v>3</v>
      </c>
    </row>
    <row r="59" spans="9:14" hidden="1" x14ac:dyDescent="0.35">
      <c r="L59">
        <f>SUM(L52:L58)</f>
        <v>30</v>
      </c>
    </row>
    <row r="60" spans="9:14" hidden="1" x14ac:dyDescent="0.35">
      <c r="L60">
        <f>L59+J58</f>
        <v>94</v>
      </c>
      <c r="N60">
        <f>SUM(P21:P28)</f>
        <v>92</v>
      </c>
    </row>
    <row r="61" spans="9:14" hidden="1" x14ac:dyDescent="0.35"/>
  </sheetData>
  <sheetProtection algorithmName="SHA-512" hashValue="hqBpRmcwC36vqVaPcafLF+hn9fUkLibgr9fqU4cUeEiB0ta7VRsAPRjxrKkHMfNpPlnLvc+BAAN/zB/PXprP3A==" saltValue="16b4Qy9DRmP34Pk6yJJDgQ==" spinCount="100000" sheet="1" objects="1" scenarios="1"/>
  <mergeCells count="7">
    <mergeCell ref="B2:C2"/>
    <mergeCell ref="O11:Q11"/>
    <mergeCell ref="O19:P19"/>
    <mergeCell ref="O2:R2"/>
    <mergeCell ref="P3:P4"/>
    <mergeCell ref="Q3:R3"/>
    <mergeCell ref="O3:O4"/>
  </mergeCells>
  <conditionalFormatting sqref="R5 R8">
    <cfRule type="cellIs" dxfId="3" priority="3" operator="lessThan">
      <formula>0</formula>
    </cfRule>
    <cfRule type="cellIs" dxfId="2" priority="4" operator="greaterThan">
      <formula>0</formula>
    </cfRule>
  </conditionalFormatting>
  <conditionalFormatting sqref="R6:R7">
    <cfRule type="cellIs" dxfId="1" priority="1" operator="lessThan">
      <formula>0</formula>
    </cfRule>
    <cfRule type="cellIs" dxfId="0" priority="2" operator="greaterThan">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C501E-123B-4B00-9148-AC3348115CF1}">
  <dimension ref="A1:BT309"/>
  <sheetViews>
    <sheetView workbookViewId="0"/>
  </sheetViews>
  <sheetFormatPr defaultColWidth="8.81640625" defaultRowHeight="10.5" x14ac:dyDescent="0.25"/>
  <cols>
    <col min="1" max="1" width="2.54296875" style="235" customWidth="1"/>
    <col min="2" max="2" width="3.54296875" style="2" customWidth="1"/>
    <col min="3" max="3" width="37.453125" style="2" customWidth="1"/>
    <col min="4" max="4" width="8.81640625" style="2"/>
    <col min="5" max="6" width="10.54296875" style="2" customWidth="1"/>
    <col min="7" max="8" width="9.81640625" style="2" customWidth="1"/>
    <col min="9" max="9" width="10.81640625" style="2" customWidth="1"/>
    <col min="10" max="20" width="10.453125" style="2" customWidth="1"/>
    <col min="21" max="22" width="8.81640625" style="2"/>
    <col min="23" max="24" width="0" style="2" hidden="1" customWidth="1"/>
    <col min="25" max="25" width="8.81640625" style="235"/>
    <col min="26" max="26" width="3.54296875" style="2" customWidth="1"/>
    <col min="27" max="27" width="35.81640625" style="2" customWidth="1"/>
    <col min="28" max="34" width="8.81640625" style="2"/>
    <col min="35" max="44" width="10.453125" style="2" customWidth="1"/>
    <col min="45" max="46" width="8.81640625" style="2"/>
    <col min="47" max="47" width="8.81640625" style="345"/>
    <col min="48" max="48" width="16.26953125" style="267" bestFit="1" customWidth="1"/>
    <col min="49" max="49" width="8.81640625" style="2"/>
    <col min="50" max="50" width="16.26953125" style="2" bestFit="1" customWidth="1"/>
    <col min="51" max="16384" width="8.81640625" style="2"/>
  </cols>
  <sheetData>
    <row r="1" spans="1:60" s="235" customFormat="1" ht="11" thickBot="1" x14ac:dyDescent="0.3">
      <c r="AU1" s="345"/>
      <c r="AV1" s="267"/>
      <c r="AW1" s="2"/>
      <c r="AX1" s="2"/>
      <c r="AY1" s="2"/>
      <c r="AZ1" s="2"/>
      <c r="BA1" s="2"/>
      <c r="BB1" s="2"/>
      <c r="BC1" s="2"/>
      <c r="BD1" s="2"/>
      <c r="BE1" s="2"/>
      <c r="BF1" s="2"/>
      <c r="BG1" s="2"/>
      <c r="BH1" s="2"/>
    </row>
    <row r="2" spans="1:60" s="175" customFormat="1" ht="19.75" customHeight="1" thickBot="1" x14ac:dyDescent="0.4">
      <c r="A2" s="339"/>
      <c r="B2" s="1473" t="s">
        <v>196</v>
      </c>
      <c r="C2" s="1474"/>
      <c r="D2" s="1474"/>
      <c r="E2" s="1474"/>
      <c r="F2" s="1474"/>
      <c r="G2" s="1474"/>
      <c r="H2" s="1474"/>
      <c r="I2" s="1474"/>
      <c r="J2" s="1474"/>
      <c r="K2" s="1474"/>
      <c r="L2" s="1474"/>
      <c r="M2" s="1474"/>
      <c r="N2" s="1474"/>
      <c r="O2" s="1474"/>
      <c r="P2" s="1474"/>
      <c r="Q2" s="1474"/>
      <c r="R2" s="1474"/>
      <c r="S2" s="1474"/>
      <c r="T2" s="1474"/>
      <c r="U2" s="1474"/>
      <c r="V2" s="1475"/>
      <c r="Y2" s="339"/>
      <c r="Z2" s="1473" t="s">
        <v>74</v>
      </c>
      <c r="AA2" s="1474"/>
      <c r="AB2" s="1474"/>
      <c r="AC2" s="1474"/>
      <c r="AD2" s="1474"/>
      <c r="AE2" s="1474"/>
      <c r="AF2" s="1474"/>
      <c r="AG2" s="1474"/>
      <c r="AH2" s="1474"/>
      <c r="AI2" s="1474"/>
      <c r="AJ2" s="1474"/>
      <c r="AK2" s="1474"/>
      <c r="AL2" s="1474"/>
      <c r="AM2" s="1474"/>
      <c r="AN2" s="1474"/>
      <c r="AO2" s="1474"/>
      <c r="AP2" s="1474"/>
      <c r="AQ2" s="1474"/>
      <c r="AR2" s="1474"/>
      <c r="AS2" s="1474"/>
      <c r="AT2" s="1475"/>
      <c r="AU2" s="346"/>
      <c r="AV2" s="348" t="s">
        <v>69</v>
      </c>
    </row>
    <row r="3" spans="1:60" ht="32" thickBot="1" x14ac:dyDescent="0.3">
      <c r="B3" s="311" t="s">
        <v>197</v>
      </c>
      <c r="C3" s="312"/>
      <c r="D3" s="313" t="s">
        <v>198</v>
      </c>
      <c r="E3" s="313" t="s">
        <v>199</v>
      </c>
      <c r="F3" s="313" t="s">
        <v>200</v>
      </c>
      <c r="G3" s="313" t="s">
        <v>201</v>
      </c>
      <c r="H3" s="313" t="s">
        <v>202</v>
      </c>
      <c r="I3" s="313" t="s">
        <v>203</v>
      </c>
      <c r="J3" s="313" t="s">
        <v>204</v>
      </c>
      <c r="K3" s="1166" t="s">
        <v>205</v>
      </c>
      <c r="L3" s="1166" t="s">
        <v>206</v>
      </c>
      <c r="M3" s="1166" t="s">
        <v>207</v>
      </c>
      <c r="N3" s="1166" t="s">
        <v>208</v>
      </c>
      <c r="O3" s="1166" t="s">
        <v>209</v>
      </c>
      <c r="P3" s="1166" t="s">
        <v>210</v>
      </c>
      <c r="Q3" s="1166" t="s">
        <v>211</v>
      </c>
      <c r="R3" s="1166" t="s">
        <v>212</v>
      </c>
      <c r="S3" s="1166" t="s">
        <v>213</v>
      </c>
      <c r="T3" s="1166" t="s">
        <v>214</v>
      </c>
      <c r="U3" s="313" t="s">
        <v>215</v>
      </c>
      <c r="V3" s="314" t="s">
        <v>216</v>
      </c>
      <c r="W3" s="1"/>
      <c r="X3" s="1"/>
      <c r="Z3" s="311" t="s">
        <v>197</v>
      </c>
      <c r="AA3" s="312"/>
      <c r="AB3" s="313" t="s">
        <v>198</v>
      </c>
      <c r="AC3" s="313" t="s">
        <v>199</v>
      </c>
      <c r="AD3" s="313" t="s">
        <v>200</v>
      </c>
      <c r="AE3" s="313" t="s">
        <v>201</v>
      </c>
      <c r="AF3" s="313" t="s">
        <v>202</v>
      </c>
      <c r="AG3" s="313" t="s">
        <v>203</v>
      </c>
      <c r="AH3" s="313" t="s">
        <v>204</v>
      </c>
      <c r="AI3" s="1166" t="s">
        <v>205</v>
      </c>
      <c r="AJ3" s="1166" t="s">
        <v>206</v>
      </c>
      <c r="AK3" s="1166" t="s">
        <v>207</v>
      </c>
      <c r="AL3" s="1166" t="s">
        <v>208</v>
      </c>
      <c r="AM3" s="1166" t="s">
        <v>209</v>
      </c>
      <c r="AN3" s="1166" t="s">
        <v>210</v>
      </c>
      <c r="AO3" s="1166" t="s">
        <v>211</v>
      </c>
      <c r="AP3" s="1166" t="s">
        <v>212</v>
      </c>
      <c r="AQ3" s="1166" t="s">
        <v>213</v>
      </c>
      <c r="AR3" s="1166" t="s">
        <v>214</v>
      </c>
      <c r="AS3" s="313" t="s">
        <v>215</v>
      </c>
      <c r="AT3" s="314" t="s">
        <v>216</v>
      </c>
    </row>
    <row r="4" spans="1:60" x14ac:dyDescent="0.25">
      <c r="B4" s="5" t="s">
        <v>217</v>
      </c>
      <c r="C4" s="300" t="s">
        <v>218</v>
      </c>
      <c r="D4" s="624">
        <v>0.10786317084893138</v>
      </c>
      <c r="E4" s="301">
        <f>'Livestock GM'!Z$50</f>
        <v>400.71546428571412</v>
      </c>
      <c r="F4" s="301">
        <f>'Livestock GM'!Z$49</f>
        <v>242.85785714285706</v>
      </c>
      <c r="G4" s="301">
        <f>'Livestock GM'!Z$38</f>
        <v>746.03571428571411</v>
      </c>
      <c r="H4" s="301">
        <f>'Livestock GM'!Z$37</f>
        <v>452.14285714285705</v>
      </c>
      <c r="I4" s="301">
        <f>'Livestock GM'!Z$47</f>
        <v>345.32024999999999</v>
      </c>
      <c r="J4" s="301">
        <f>'Livestock GM'!Z$46</f>
        <v>209.285</v>
      </c>
      <c r="K4" s="301">
        <f>L4*$U4</f>
        <v>85.74018749999999</v>
      </c>
      <c r="L4" s="301">
        <f>'Livestock GM - baseline'!Z41</f>
        <v>69.284999999999997</v>
      </c>
      <c r="M4" s="301">
        <f>N4*$U4</f>
        <v>27.224999999999994</v>
      </c>
      <c r="N4" s="301">
        <f>'Livestock GM - baseline'!Z42</f>
        <v>22</v>
      </c>
      <c r="O4" s="301">
        <f>P4*$U4</f>
        <v>43.312499999999993</v>
      </c>
      <c r="P4" s="301">
        <f>'Livestock GM - baseline'!Z43</f>
        <v>35</v>
      </c>
      <c r="Q4" s="301">
        <f>R4*$U4</f>
        <v>64.349999999999994</v>
      </c>
      <c r="R4" s="301">
        <f>'Livestock GM - baseline'!Z44</f>
        <v>52</v>
      </c>
      <c r="S4" s="301">
        <f>T4*$U4</f>
        <v>38.362499999999997</v>
      </c>
      <c r="T4" s="301">
        <f>'Livestock GM - baseline'!Z45</f>
        <v>31</v>
      </c>
      <c r="U4" s="302">
        <f>'Livestock GM'!Z$10*'Livestock GM'!Z$11</f>
        <v>1.2374999999999998</v>
      </c>
      <c r="V4" s="303">
        <f>'Livestock GM'!Z$9</f>
        <v>70.985699999999994</v>
      </c>
      <c r="W4" s="91" t="s">
        <v>219</v>
      </c>
      <c r="X4" s="1"/>
      <c r="Z4" s="122" t="s">
        <v>217</v>
      </c>
      <c r="AA4" s="316" t="s">
        <v>218</v>
      </c>
      <c r="AB4" s="625">
        <v>0</v>
      </c>
      <c r="AC4" s="317">
        <f t="shared" ref="AC4:AH4" si="0">E4</f>
        <v>400.71546428571412</v>
      </c>
      <c r="AD4" s="317">
        <f t="shared" si="0"/>
        <v>242.85785714285706</v>
      </c>
      <c r="AE4" s="317">
        <f t="shared" si="0"/>
        <v>746.03571428571411</v>
      </c>
      <c r="AF4" s="317">
        <f t="shared" si="0"/>
        <v>452.14285714285705</v>
      </c>
      <c r="AG4" s="317">
        <f t="shared" si="0"/>
        <v>345.32024999999999</v>
      </c>
      <c r="AH4" s="317">
        <f t="shared" si="0"/>
        <v>209.285</v>
      </c>
      <c r="AI4" s="301">
        <f>AJ4*$U4</f>
        <v>85.74018749999999</v>
      </c>
      <c r="AJ4" s="301">
        <f>L4</f>
        <v>69.284999999999997</v>
      </c>
      <c r="AK4" s="301">
        <f>AL4*$U4</f>
        <v>27.224999999999994</v>
      </c>
      <c r="AL4" s="301">
        <f>N4</f>
        <v>22</v>
      </c>
      <c r="AM4" s="301">
        <f>AN4*$U4</f>
        <v>43.312499999999993</v>
      </c>
      <c r="AN4" s="301">
        <f>P4</f>
        <v>35</v>
      </c>
      <c r="AO4" s="301">
        <f>AP4*$U4</f>
        <v>64.349999999999994</v>
      </c>
      <c r="AP4" s="301">
        <f>R4</f>
        <v>52</v>
      </c>
      <c r="AQ4" s="301">
        <f>AR4*$U4</f>
        <v>38.362499999999997</v>
      </c>
      <c r="AR4" s="301">
        <f>T4</f>
        <v>31</v>
      </c>
      <c r="AS4" s="318">
        <f>U4</f>
        <v>1.2374999999999998</v>
      </c>
      <c r="AT4" s="330">
        <f>V4</f>
        <v>70.985699999999994</v>
      </c>
    </row>
    <row r="5" spans="1:60" x14ac:dyDescent="0.25">
      <c r="B5" s="5" t="s">
        <v>220</v>
      </c>
      <c r="C5" s="300" t="s">
        <v>221</v>
      </c>
      <c r="D5" s="624">
        <v>9.8874573278187078E-2</v>
      </c>
      <c r="E5" s="301">
        <f>'Livestock GM'!K$50</f>
        <v>300.43200000000002</v>
      </c>
      <c r="F5" s="301">
        <f>'Livestock GM'!K$49</f>
        <v>166.90666666666667</v>
      </c>
      <c r="G5" s="301">
        <f>'Livestock GM'!K$38</f>
        <v>590.16000000000008</v>
      </c>
      <c r="H5" s="301">
        <f>'Livestock GM'!K$37</f>
        <v>327.86666666666667</v>
      </c>
      <c r="I5" s="301">
        <f>'Livestock GM'!K$47</f>
        <v>289.72800000000001</v>
      </c>
      <c r="J5" s="301">
        <f>'Livestock GM'!K$46</f>
        <v>160.96</v>
      </c>
      <c r="K5" s="301">
        <f t="shared" ref="K5:M15" si="1">L5*$U5</f>
        <v>53.946000000000005</v>
      </c>
      <c r="L5" s="301">
        <f>'Livestock GM'!K$41</f>
        <v>39.96</v>
      </c>
      <c r="M5" s="301">
        <f t="shared" si="1"/>
        <v>18.900000000000002</v>
      </c>
      <c r="N5" s="301">
        <f>'Livestock GM'!K$42</f>
        <v>14</v>
      </c>
      <c r="O5" s="301">
        <f t="shared" ref="O5" si="2">P5*$U5</f>
        <v>44.550000000000004</v>
      </c>
      <c r="P5" s="301">
        <f>'Livestock GM'!K$43</f>
        <v>33</v>
      </c>
      <c r="Q5" s="301">
        <f t="shared" ref="Q5" si="3">R5*$U5</f>
        <v>62.1</v>
      </c>
      <c r="R5" s="301">
        <f>'Livestock GM'!K$44</f>
        <v>46</v>
      </c>
      <c r="S5" s="301">
        <f t="shared" ref="S5" si="4">T5*$U5</f>
        <v>37.800000000000004</v>
      </c>
      <c r="T5" s="301">
        <f>'Livestock GM'!K$45</f>
        <v>28</v>
      </c>
      <c r="U5" s="302">
        <f>'Livestock GM'!K$10*'Livestock GM'!K$11</f>
        <v>1.35</v>
      </c>
      <c r="V5" s="303">
        <f>'Livestock GM'!K$9</f>
        <v>70.019199999999998</v>
      </c>
      <c r="W5" s="1" t="s">
        <v>222</v>
      </c>
      <c r="X5" s="90">
        <v>0.3108741862429385</v>
      </c>
      <c r="Z5" s="5" t="s">
        <v>220</v>
      </c>
      <c r="AA5" s="300" t="s">
        <v>221</v>
      </c>
      <c r="AB5" s="624">
        <v>0</v>
      </c>
      <c r="AC5" s="301">
        <f t="shared" ref="AC5:AC16" si="5">E5</f>
        <v>300.43200000000002</v>
      </c>
      <c r="AD5" s="301">
        <f t="shared" ref="AD5:AD16" si="6">F5</f>
        <v>166.90666666666667</v>
      </c>
      <c r="AE5" s="301">
        <f t="shared" ref="AE5:AE16" si="7">G5</f>
        <v>590.16000000000008</v>
      </c>
      <c r="AF5" s="301">
        <f t="shared" ref="AF5:AF16" si="8">H5</f>
        <v>327.86666666666667</v>
      </c>
      <c r="AG5" s="301">
        <f t="shared" ref="AG5:AG16" si="9">I5</f>
        <v>289.72800000000001</v>
      </c>
      <c r="AH5" s="301">
        <f t="shared" ref="AH5:AH16" si="10">J5</f>
        <v>160.96</v>
      </c>
      <c r="AI5" s="301">
        <f t="shared" ref="AI5" si="11">AJ5*$U5</f>
        <v>53.946000000000005</v>
      </c>
      <c r="AJ5" s="301">
        <f t="shared" ref="AJ5:AR16" si="12">L5</f>
        <v>39.96</v>
      </c>
      <c r="AK5" s="301">
        <f t="shared" ref="AK5" si="13">AL5*$U5</f>
        <v>18.900000000000002</v>
      </c>
      <c r="AL5" s="301">
        <f t="shared" si="12"/>
        <v>14</v>
      </c>
      <c r="AM5" s="301">
        <f t="shared" ref="AM5:AM15" si="14">AN5*$U5</f>
        <v>44.550000000000004</v>
      </c>
      <c r="AN5" s="301">
        <f t="shared" si="12"/>
        <v>33</v>
      </c>
      <c r="AO5" s="301">
        <f t="shared" ref="AO5:AO7" si="15">AP5*$U5</f>
        <v>62.1</v>
      </c>
      <c r="AP5" s="301">
        <f t="shared" si="12"/>
        <v>46</v>
      </c>
      <c r="AQ5" s="301">
        <f t="shared" ref="AQ5:AQ8" si="16">AR5*$U5</f>
        <v>37.800000000000004</v>
      </c>
      <c r="AR5" s="301">
        <f t="shared" si="12"/>
        <v>28</v>
      </c>
      <c r="AS5" s="321">
        <f t="shared" ref="AS5:AS16" si="17">U5</f>
        <v>1.35</v>
      </c>
      <c r="AT5" s="329">
        <f t="shared" ref="AT5:AT16" si="18">V5</f>
        <v>70.019199999999998</v>
      </c>
    </row>
    <row r="6" spans="1:60" x14ac:dyDescent="0.25">
      <c r="B6" s="5" t="s">
        <v>223</v>
      </c>
      <c r="C6" s="300" t="s">
        <v>224</v>
      </c>
      <c r="D6" s="624">
        <v>4.6515992428601653E-2</v>
      </c>
      <c r="E6" s="301">
        <f>'Livestock GM'!AE$50</f>
        <v>259.43207091055569</v>
      </c>
      <c r="F6" s="301">
        <f>'Livestock GM'!AE$49</f>
        <v>63.879999999999939</v>
      </c>
      <c r="G6" s="301">
        <f>'Livestock GM'!AE$38</f>
        <v>1251.5932312651084</v>
      </c>
      <c r="H6" s="301">
        <f>'Livestock GM'!AE$37</f>
        <v>308.17999999999995</v>
      </c>
      <c r="I6" s="301">
        <f>'Livestock GM'!AE$47</f>
        <v>992.16116035455263</v>
      </c>
      <c r="J6" s="301">
        <f>'Livestock GM'!AE$46</f>
        <v>244.3</v>
      </c>
      <c r="K6" s="301">
        <f t="shared" si="1"/>
        <v>265.96457695406929</v>
      </c>
      <c r="L6" s="301">
        <f>'Livestock GM'!AE$41</f>
        <v>132.30000000000001</v>
      </c>
      <c r="M6" s="301">
        <f t="shared" si="1"/>
        <v>0</v>
      </c>
      <c r="N6" s="301">
        <f>'Livestock GM'!AE$42</f>
        <v>0</v>
      </c>
      <c r="O6" s="301">
        <f t="shared" ref="O6" si="19">P6*$U6</f>
        <v>42.216599516518933</v>
      </c>
      <c r="P6" s="301">
        <f>'Livestock GM'!AE$43</f>
        <v>21</v>
      </c>
      <c r="Q6" s="301">
        <f t="shared" ref="Q6" si="20">R6*$U6</f>
        <v>102.52602739726026</v>
      </c>
      <c r="R6" s="301">
        <f>'Livestock GM'!AE$44</f>
        <v>51</v>
      </c>
      <c r="S6" s="301">
        <f t="shared" ref="S6" si="21">T6*$U6</f>
        <v>80.412570507655104</v>
      </c>
      <c r="T6" s="301">
        <f>'Livestock GM'!AE$45</f>
        <v>40</v>
      </c>
      <c r="U6" s="302">
        <f>'Livestock GM'!AE$10*'Livestock GM'!AE$11</f>
        <v>2.0103142626913777</v>
      </c>
      <c r="V6" s="303">
        <f>'Livestock GM'!AE$9</f>
        <v>34.526000000000003</v>
      </c>
      <c r="W6" s="1" t="s">
        <v>225</v>
      </c>
      <c r="X6" s="90">
        <v>0.68912581375706161</v>
      </c>
      <c r="Z6" s="5" t="s">
        <v>223</v>
      </c>
      <c r="AA6" s="300" t="s">
        <v>224</v>
      </c>
      <c r="AB6" s="624">
        <v>0</v>
      </c>
      <c r="AC6" s="301">
        <f t="shared" si="5"/>
        <v>259.43207091055569</v>
      </c>
      <c r="AD6" s="301">
        <f t="shared" si="6"/>
        <v>63.879999999999939</v>
      </c>
      <c r="AE6" s="301">
        <f t="shared" si="7"/>
        <v>1251.5932312651084</v>
      </c>
      <c r="AF6" s="301">
        <f t="shared" si="8"/>
        <v>308.17999999999995</v>
      </c>
      <c r="AG6" s="301">
        <f t="shared" si="9"/>
        <v>992.16116035455263</v>
      </c>
      <c r="AH6" s="301">
        <f t="shared" si="10"/>
        <v>244.3</v>
      </c>
      <c r="AI6" s="301">
        <f t="shared" ref="AI6" si="22">AJ6*$U6</f>
        <v>265.96457695406929</v>
      </c>
      <c r="AJ6" s="301">
        <f t="shared" si="12"/>
        <v>132.30000000000001</v>
      </c>
      <c r="AK6" s="301">
        <f t="shared" ref="AK6" si="23">AL6*$U6</f>
        <v>0</v>
      </c>
      <c r="AL6" s="301">
        <f t="shared" si="12"/>
        <v>0</v>
      </c>
      <c r="AM6" s="301">
        <f t="shared" si="14"/>
        <v>42.216599516518933</v>
      </c>
      <c r="AN6" s="301">
        <f t="shared" si="12"/>
        <v>21</v>
      </c>
      <c r="AO6" s="301">
        <f t="shared" si="15"/>
        <v>102.52602739726026</v>
      </c>
      <c r="AP6" s="301">
        <f t="shared" si="12"/>
        <v>51</v>
      </c>
      <c r="AQ6" s="301">
        <f t="shared" si="16"/>
        <v>80.412570507655104</v>
      </c>
      <c r="AR6" s="301">
        <f t="shared" si="12"/>
        <v>40</v>
      </c>
      <c r="AS6" s="321">
        <f t="shared" si="17"/>
        <v>2.0103142626913777</v>
      </c>
      <c r="AT6" s="329">
        <f t="shared" si="18"/>
        <v>34.526000000000003</v>
      </c>
    </row>
    <row r="7" spans="1:60" x14ac:dyDescent="0.25">
      <c r="B7" s="5" t="s">
        <v>226</v>
      </c>
      <c r="C7" s="300" t="s">
        <v>227</v>
      </c>
      <c r="D7" s="624">
        <v>5.6852879634957589E-2</v>
      </c>
      <c r="E7" s="301">
        <f>'Livestock GM'!U$50</f>
        <v>612.14999999999986</v>
      </c>
      <c r="F7" s="301">
        <f>'Livestock GM'!U$49</f>
        <v>204.04999999999995</v>
      </c>
      <c r="G7" s="301">
        <f>'Livestock GM'!U$38</f>
        <v>809.39999999999986</v>
      </c>
      <c r="H7" s="301">
        <f>'Livestock GM'!U$37</f>
        <v>269.79999999999995</v>
      </c>
      <c r="I7" s="301">
        <f>'Livestock GM'!U$47</f>
        <v>197.25</v>
      </c>
      <c r="J7" s="301">
        <f>'Livestock GM'!U$46</f>
        <v>65.75</v>
      </c>
      <c r="K7" s="301">
        <f t="shared" si="1"/>
        <v>30.712500000000002</v>
      </c>
      <c r="L7" s="301">
        <f>'Livestock GM'!U$41</f>
        <v>15.75</v>
      </c>
      <c r="M7" s="301">
        <f t="shared" si="1"/>
        <v>0</v>
      </c>
      <c r="N7" s="301">
        <f>'Livestock GM'!U$42</f>
        <v>0</v>
      </c>
      <c r="O7" s="301">
        <f t="shared" ref="O7" si="24">P7*$U7</f>
        <v>27.300000000000004</v>
      </c>
      <c r="P7" s="301">
        <f>'Livestock GM'!U$43</f>
        <v>14</v>
      </c>
      <c r="Q7" s="301">
        <f t="shared" ref="Q7" si="25">R7*$U7</f>
        <v>0</v>
      </c>
      <c r="R7" s="301">
        <f>'Livestock GM'!U$44</f>
        <v>0</v>
      </c>
      <c r="S7" s="301">
        <f t="shared" ref="S7" si="26">T7*$U7</f>
        <v>70.2</v>
      </c>
      <c r="T7" s="301">
        <f>'Livestock GM'!U$45</f>
        <v>36</v>
      </c>
      <c r="U7" s="302">
        <f>'Livestock GM'!U$10*'Livestock GM'!U$11</f>
        <v>1.9500000000000002</v>
      </c>
      <c r="V7" s="303">
        <f>'Livestock GM'!U$9</f>
        <v>31.715</v>
      </c>
      <c r="W7" s="89"/>
      <c r="X7" s="1"/>
      <c r="Z7" s="5" t="s">
        <v>226</v>
      </c>
      <c r="AA7" s="300" t="s">
        <v>227</v>
      </c>
      <c r="AB7" s="624">
        <v>0</v>
      </c>
      <c r="AC7" s="301">
        <f t="shared" si="5"/>
        <v>612.14999999999986</v>
      </c>
      <c r="AD7" s="301">
        <f t="shared" si="6"/>
        <v>204.04999999999995</v>
      </c>
      <c r="AE7" s="301">
        <f t="shared" si="7"/>
        <v>809.39999999999986</v>
      </c>
      <c r="AF7" s="301">
        <f t="shared" si="8"/>
        <v>269.79999999999995</v>
      </c>
      <c r="AG7" s="301">
        <f t="shared" si="9"/>
        <v>197.25</v>
      </c>
      <c r="AH7" s="301">
        <f t="shared" si="10"/>
        <v>65.75</v>
      </c>
      <c r="AI7" s="301">
        <f t="shared" ref="AI7" si="27">AJ7*$U7</f>
        <v>30.712500000000002</v>
      </c>
      <c r="AJ7" s="301">
        <f t="shared" si="12"/>
        <v>15.75</v>
      </c>
      <c r="AK7" s="301">
        <f t="shared" ref="AK7" si="28">AL7*$U7</f>
        <v>0</v>
      </c>
      <c r="AL7" s="301">
        <f t="shared" si="12"/>
        <v>0</v>
      </c>
      <c r="AM7" s="301">
        <f t="shared" si="14"/>
        <v>27.300000000000004</v>
      </c>
      <c r="AN7" s="301">
        <f t="shared" si="12"/>
        <v>14</v>
      </c>
      <c r="AO7" s="301">
        <f t="shared" si="15"/>
        <v>0</v>
      </c>
      <c r="AP7" s="301">
        <f t="shared" si="12"/>
        <v>0</v>
      </c>
      <c r="AQ7" s="301">
        <f t="shared" si="16"/>
        <v>70.2</v>
      </c>
      <c r="AR7" s="301">
        <f t="shared" si="12"/>
        <v>36</v>
      </c>
      <c r="AS7" s="321">
        <f t="shared" si="17"/>
        <v>1.9500000000000002</v>
      </c>
      <c r="AT7" s="329">
        <f t="shared" si="18"/>
        <v>31.715</v>
      </c>
    </row>
    <row r="8" spans="1:60" x14ac:dyDescent="0.25">
      <c r="B8" s="5" t="s">
        <v>228</v>
      </c>
      <c r="C8" s="300" t="s">
        <v>229</v>
      </c>
      <c r="D8" s="624">
        <v>3.4456290687853081E-2</v>
      </c>
      <c r="E8" s="301">
        <f>'Livestock GM'!AT$50</f>
        <v>605.5350000000002</v>
      </c>
      <c r="F8" s="301">
        <f>'Livestock GM'!AT$49</f>
        <v>201.84500000000006</v>
      </c>
      <c r="G8" s="301">
        <f>'Livestock GM'!AT$38</f>
        <v>835.33500000000015</v>
      </c>
      <c r="H8" s="301">
        <f>'Livestock GM'!AT$37</f>
        <v>278.44500000000005</v>
      </c>
      <c r="I8" s="301">
        <f>'Livestock GM'!AT$47</f>
        <v>229.79999999999998</v>
      </c>
      <c r="J8" s="301">
        <f>'Livestock GM'!AT$46</f>
        <v>76.599999999999994</v>
      </c>
      <c r="K8" s="301">
        <f t="shared" si="1"/>
        <v>65.52000000000001</v>
      </c>
      <c r="L8" s="301">
        <f>'Livestock GM'!AT$41</f>
        <v>33.6</v>
      </c>
      <c r="M8" s="301">
        <f>N8*$U8</f>
        <v>0</v>
      </c>
      <c r="N8" s="301">
        <f>'Livestock GM'!AT$42</f>
        <v>0</v>
      </c>
      <c r="O8" s="301">
        <f t="shared" ref="O8" si="29">P8*$U8</f>
        <v>29.250000000000004</v>
      </c>
      <c r="P8" s="301">
        <f>'Livestock GM'!AT$43</f>
        <v>15</v>
      </c>
      <c r="Q8" s="301">
        <f>R8*$U8</f>
        <v>0</v>
      </c>
      <c r="R8" s="301">
        <f>'Livestock GM'!AT$44</f>
        <v>0</v>
      </c>
      <c r="S8" s="301">
        <f t="shared" ref="S8" si="30">T8*$U8</f>
        <v>54.600000000000009</v>
      </c>
      <c r="T8" s="301">
        <f>'Livestock GM'!AT$45</f>
        <v>28</v>
      </c>
      <c r="U8" s="302">
        <f>'Livestock GM'!AT$10*'Livestock GM'!AT$11</f>
        <v>1.9500000000000002</v>
      </c>
      <c r="V8" s="303">
        <f>'Livestock GM'!AT$9</f>
        <v>28.014199999999995</v>
      </c>
      <c r="W8" s="1"/>
      <c r="X8" s="1"/>
      <c r="Z8" s="5" t="s">
        <v>228</v>
      </c>
      <c r="AA8" s="300" t="s">
        <v>229</v>
      </c>
      <c r="AB8" s="624">
        <v>0</v>
      </c>
      <c r="AC8" s="301">
        <f t="shared" si="5"/>
        <v>605.5350000000002</v>
      </c>
      <c r="AD8" s="301">
        <f t="shared" si="6"/>
        <v>201.84500000000006</v>
      </c>
      <c r="AE8" s="301">
        <f t="shared" si="7"/>
        <v>835.33500000000015</v>
      </c>
      <c r="AF8" s="301">
        <f t="shared" si="8"/>
        <v>278.44500000000005</v>
      </c>
      <c r="AG8" s="301">
        <f t="shared" si="9"/>
        <v>229.79999999999998</v>
      </c>
      <c r="AH8" s="301">
        <f t="shared" si="10"/>
        <v>76.599999999999994</v>
      </c>
      <c r="AI8" s="301">
        <f t="shared" ref="AI8" si="31">AJ8*$U8</f>
        <v>65.52000000000001</v>
      </c>
      <c r="AJ8" s="301">
        <f t="shared" si="12"/>
        <v>33.6</v>
      </c>
      <c r="AK8" s="301">
        <f>AL8*$U8</f>
        <v>0</v>
      </c>
      <c r="AL8" s="301">
        <f t="shared" si="12"/>
        <v>0</v>
      </c>
      <c r="AM8" s="301">
        <f t="shared" si="14"/>
        <v>29.250000000000004</v>
      </c>
      <c r="AN8" s="301">
        <f t="shared" si="12"/>
        <v>15</v>
      </c>
      <c r="AO8" s="301">
        <f>AP8*$U8</f>
        <v>0</v>
      </c>
      <c r="AP8" s="301">
        <f t="shared" si="12"/>
        <v>0</v>
      </c>
      <c r="AQ8" s="301">
        <f t="shared" si="16"/>
        <v>54.600000000000009</v>
      </c>
      <c r="AR8" s="301">
        <f t="shared" si="12"/>
        <v>28</v>
      </c>
      <c r="AS8" s="321">
        <f t="shared" si="17"/>
        <v>1.9500000000000002</v>
      </c>
      <c r="AT8" s="329">
        <f t="shared" si="18"/>
        <v>28.014199999999995</v>
      </c>
    </row>
    <row r="9" spans="1:60" x14ac:dyDescent="0.25">
      <c r="B9" s="5" t="s">
        <v>230</v>
      </c>
      <c r="C9" s="300" t="s">
        <v>231</v>
      </c>
      <c r="D9" s="624">
        <v>3.4456290687853081E-2</v>
      </c>
      <c r="E9" s="301">
        <f>'Livestock GM'!AY$50</f>
        <v>470.27139403706616</v>
      </c>
      <c r="F9" s="301">
        <f>'Livestock GM'!AY$49</f>
        <v>115.79499999999985</v>
      </c>
      <c r="G9" s="301">
        <f>'Livestock GM'!AY$38</f>
        <v>1523.5948428686536</v>
      </c>
      <c r="H9" s="301">
        <f>'Livestock GM'!AY$37</f>
        <v>375.15499999999986</v>
      </c>
      <c r="I9" s="301">
        <f>'Livestock GM'!AY$47</f>
        <v>1053.3234488315873</v>
      </c>
      <c r="J9" s="301">
        <f>'Livestock GM'!AY$46</f>
        <v>259.36</v>
      </c>
      <c r="K9" s="301">
        <f t="shared" si="1"/>
        <v>415.76954069298949</v>
      </c>
      <c r="L9" s="301">
        <f>'Livestock GM'!AY$41</f>
        <v>157.5</v>
      </c>
      <c r="M9" s="301">
        <f t="shared" si="1"/>
        <v>0</v>
      </c>
      <c r="N9" s="301">
        <f>'Livestock GM'!AY$42</f>
        <v>0</v>
      </c>
      <c r="O9" s="301">
        <f t="shared" ref="O9" si="32">P9*$U9</f>
        <v>36.587719580983077</v>
      </c>
      <c r="P9" s="301">
        <f>'Livestock GM'!AY$43</f>
        <v>13.86</v>
      </c>
      <c r="Q9" s="301">
        <f t="shared" ref="Q9" si="33">R9*$U9</f>
        <v>147.82917002417406</v>
      </c>
      <c r="R9" s="301">
        <f>'Livestock GM'!AY$44</f>
        <v>56</v>
      </c>
      <c r="S9" s="301">
        <f>T9*$U9</f>
        <v>84.47381144238517</v>
      </c>
      <c r="T9" s="301">
        <f>'Livestock GM'!AY$45</f>
        <v>32</v>
      </c>
      <c r="U9" s="302">
        <f>'Livestock GM'!AY$10*'Livestock GM'!AY$11</f>
        <v>2.6398066075745366</v>
      </c>
      <c r="V9" s="303">
        <f>'Livestock GM'!AY$9</f>
        <v>32.436999999999998</v>
      </c>
      <c r="W9" s="1"/>
      <c r="X9" s="1"/>
      <c r="Z9" s="5" t="s">
        <v>230</v>
      </c>
      <c r="AA9" s="300" t="s">
        <v>231</v>
      </c>
      <c r="AB9" s="624">
        <v>0</v>
      </c>
      <c r="AC9" s="301">
        <f t="shared" si="5"/>
        <v>470.27139403706616</v>
      </c>
      <c r="AD9" s="301">
        <f t="shared" si="6"/>
        <v>115.79499999999985</v>
      </c>
      <c r="AE9" s="301">
        <f t="shared" si="7"/>
        <v>1523.5948428686536</v>
      </c>
      <c r="AF9" s="301">
        <f t="shared" si="8"/>
        <v>375.15499999999986</v>
      </c>
      <c r="AG9" s="301">
        <f t="shared" si="9"/>
        <v>1053.3234488315873</v>
      </c>
      <c r="AH9" s="301">
        <f t="shared" si="10"/>
        <v>259.36</v>
      </c>
      <c r="AI9" s="301">
        <f t="shared" ref="AI9" si="34">AJ9*$U9</f>
        <v>415.76954069298949</v>
      </c>
      <c r="AJ9" s="301">
        <f t="shared" si="12"/>
        <v>157.5</v>
      </c>
      <c r="AK9" s="301">
        <f t="shared" ref="AK9" si="35">AL9*$U9</f>
        <v>0</v>
      </c>
      <c r="AL9" s="301">
        <f t="shared" si="12"/>
        <v>0</v>
      </c>
      <c r="AM9" s="301">
        <f t="shared" si="14"/>
        <v>36.587719580983077</v>
      </c>
      <c r="AN9" s="301">
        <f t="shared" si="12"/>
        <v>13.86</v>
      </c>
      <c r="AO9" s="301">
        <f t="shared" ref="AO9:AO15" si="36">AP9*$U9</f>
        <v>147.82917002417406</v>
      </c>
      <c r="AP9" s="301">
        <f t="shared" si="12"/>
        <v>56</v>
      </c>
      <c r="AQ9" s="301">
        <f>AR9*$U9</f>
        <v>84.47381144238517</v>
      </c>
      <c r="AR9" s="301">
        <f t="shared" si="12"/>
        <v>32</v>
      </c>
      <c r="AS9" s="321">
        <f t="shared" si="17"/>
        <v>2.6398066075745366</v>
      </c>
      <c r="AT9" s="329">
        <f t="shared" si="18"/>
        <v>32.436999999999998</v>
      </c>
    </row>
    <row r="10" spans="1:60" x14ac:dyDescent="0.25">
      <c r="B10" s="5" t="s">
        <v>232</v>
      </c>
      <c r="C10" s="300" t="s">
        <v>233</v>
      </c>
      <c r="D10" s="624">
        <v>0.31010661619067775</v>
      </c>
      <c r="E10" s="301">
        <f>'Livestock GM'!P$50</f>
        <v>687.31499999999994</v>
      </c>
      <c r="F10" s="301">
        <f>'Livestock GM'!P$49</f>
        <v>229.10499999999999</v>
      </c>
      <c r="G10" s="301">
        <f>'Livestock GM'!P$38</f>
        <v>1002.765</v>
      </c>
      <c r="H10" s="301">
        <f>'Livestock GM'!P$37</f>
        <v>334.255</v>
      </c>
      <c r="I10" s="301">
        <f>'Livestock GM'!P$47</f>
        <v>315.45000000000005</v>
      </c>
      <c r="J10" s="301">
        <f>'Livestock GM'!P$46</f>
        <v>105.15</v>
      </c>
      <c r="K10" s="301">
        <f t="shared" si="1"/>
        <v>128.99250000000004</v>
      </c>
      <c r="L10" s="301">
        <f>'Livestock GM'!P$41</f>
        <v>66.150000000000006</v>
      </c>
      <c r="M10" s="301">
        <f t="shared" si="1"/>
        <v>0</v>
      </c>
      <c r="N10" s="301">
        <f>'Livestock GM'!P$42</f>
        <v>0</v>
      </c>
      <c r="O10" s="301">
        <f t="shared" ref="O10" si="37">P10*$U10</f>
        <v>29.250000000000004</v>
      </c>
      <c r="P10" s="301">
        <f>'Livestock GM'!P$43</f>
        <v>15</v>
      </c>
      <c r="Q10" s="301">
        <f t="shared" ref="Q10" si="38">R10*$U10</f>
        <v>0</v>
      </c>
      <c r="R10" s="301">
        <f>'Livestock GM'!P$44</f>
        <v>0</v>
      </c>
      <c r="S10" s="301">
        <f t="shared" ref="S10" si="39">T10*$U10</f>
        <v>46.800000000000004</v>
      </c>
      <c r="T10" s="301">
        <f>'Livestock GM'!P$45</f>
        <v>24</v>
      </c>
      <c r="U10" s="302">
        <f>'Livestock GM'!P$10*'Livestock GM'!P$11</f>
        <v>1.9500000000000002</v>
      </c>
      <c r="V10" s="303">
        <f>'Livestock GM'!P$9</f>
        <v>32.343000000000004</v>
      </c>
      <c r="W10" s="1"/>
      <c r="X10" s="1"/>
      <c r="Z10" s="5" t="s">
        <v>232</v>
      </c>
      <c r="AA10" s="300" t="s">
        <v>233</v>
      </c>
      <c r="AB10" s="624">
        <v>0</v>
      </c>
      <c r="AC10" s="301">
        <f t="shared" si="5"/>
        <v>687.31499999999994</v>
      </c>
      <c r="AD10" s="301">
        <f t="shared" si="6"/>
        <v>229.10499999999999</v>
      </c>
      <c r="AE10" s="301">
        <f t="shared" si="7"/>
        <v>1002.765</v>
      </c>
      <c r="AF10" s="301">
        <f t="shared" si="8"/>
        <v>334.255</v>
      </c>
      <c r="AG10" s="301">
        <f t="shared" si="9"/>
        <v>315.45000000000005</v>
      </c>
      <c r="AH10" s="301">
        <f t="shared" si="10"/>
        <v>105.15</v>
      </c>
      <c r="AI10" s="301">
        <f t="shared" ref="AI10" si="40">AJ10*$U10</f>
        <v>128.99250000000004</v>
      </c>
      <c r="AJ10" s="301">
        <f t="shared" si="12"/>
        <v>66.150000000000006</v>
      </c>
      <c r="AK10" s="301">
        <f t="shared" ref="AK10" si="41">AL10*$U10</f>
        <v>0</v>
      </c>
      <c r="AL10" s="301">
        <f t="shared" si="12"/>
        <v>0</v>
      </c>
      <c r="AM10" s="301">
        <f t="shared" si="14"/>
        <v>29.250000000000004</v>
      </c>
      <c r="AN10" s="301">
        <f t="shared" si="12"/>
        <v>15</v>
      </c>
      <c r="AO10" s="301">
        <f t="shared" si="36"/>
        <v>0</v>
      </c>
      <c r="AP10" s="301">
        <f t="shared" si="12"/>
        <v>0</v>
      </c>
      <c r="AQ10" s="301">
        <f t="shared" ref="AQ10:AQ15" si="42">AR10*$U10</f>
        <v>46.800000000000004</v>
      </c>
      <c r="AR10" s="301">
        <f t="shared" si="12"/>
        <v>24</v>
      </c>
      <c r="AS10" s="321">
        <f t="shared" si="17"/>
        <v>1.9500000000000002</v>
      </c>
      <c r="AT10" s="329">
        <f t="shared" si="18"/>
        <v>32.343000000000004</v>
      </c>
      <c r="AV10" s="1265"/>
      <c r="AW10" s="1266"/>
    </row>
    <row r="11" spans="1:60" x14ac:dyDescent="0.25">
      <c r="B11" s="5" t="s">
        <v>234</v>
      </c>
      <c r="C11" s="300" t="s">
        <v>235</v>
      </c>
      <c r="D11" s="624">
        <v>0</v>
      </c>
      <c r="E11" s="301">
        <f>'Livestock GM - baseline'!DF$50</f>
        <v>319.23742690058475</v>
      </c>
      <c r="F11" s="301">
        <f>'Livestock GM - baseline'!DF$49</f>
        <v>147.34035087719298</v>
      </c>
      <c r="G11" s="301">
        <f>'Livestock GM - baseline'!DF$38</f>
        <v>710.37777777777774</v>
      </c>
      <c r="H11" s="301">
        <f>'Livestock GM - baseline'!DF$37</f>
        <v>327.86666666666667</v>
      </c>
      <c r="I11" s="301">
        <f>'Livestock GM - baseline'!DF$47</f>
        <v>391.14035087719299</v>
      </c>
      <c r="J11" s="301">
        <f>'Livestock GM - baseline'!DF$46</f>
        <v>180.5263157894737</v>
      </c>
      <c r="K11" s="301">
        <f t="shared" si="1"/>
        <v>22.569444444444446</v>
      </c>
      <c r="L11" s="301">
        <f>'Livestock GM - baseline'!DF$41</f>
        <v>13.888888888888889</v>
      </c>
      <c r="M11" s="301">
        <f t="shared" si="1"/>
        <v>18.055555555555554</v>
      </c>
      <c r="N11" s="301">
        <f>'Livestock GM - baseline'!DF$42</f>
        <v>11.111111111111111</v>
      </c>
      <c r="O11" s="301">
        <f t="shared" ref="O11" si="43">P11*$U11</f>
        <v>40.625</v>
      </c>
      <c r="P11" s="301">
        <f>'Livestock GM - baseline'!DF$43</f>
        <v>25</v>
      </c>
      <c r="Q11" s="301">
        <f t="shared" ref="Q11" si="44">R11*$U11</f>
        <v>98.35526315789474</v>
      </c>
      <c r="R11" s="301">
        <f>'Livestock GM - baseline'!DF$44</f>
        <v>60.526315789473685</v>
      </c>
      <c r="S11" s="301">
        <f t="shared" ref="S11" si="45">T11*$U11</f>
        <v>113.75</v>
      </c>
      <c r="T11" s="301">
        <f>'Livestock GM - baseline'!DF$45</f>
        <v>70</v>
      </c>
      <c r="U11" s="302">
        <f>'Livestock GM - baseline'!DF$10*'Livestock GM - baseline'!DF$11</f>
        <v>1.625</v>
      </c>
      <c r="V11" s="303">
        <f>'Livestock GM - baseline'!DF$9</f>
        <v>68.650526315789477</v>
      </c>
      <c r="W11" s="1"/>
      <c r="X11" s="1"/>
      <c r="Z11" s="5" t="str">
        <f>B11</f>
        <v>DF</v>
      </c>
      <c r="AA11" s="300" t="s">
        <v>235</v>
      </c>
      <c r="AB11" s="624">
        <v>0.21</v>
      </c>
      <c r="AC11" s="301">
        <f>E11</f>
        <v>319.23742690058475</v>
      </c>
      <c r="AD11" s="301">
        <f t="shared" si="6"/>
        <v>147.34035087719298</v>
      </c>
      <c r="AE11" s="301">
        <f t="shared" si="7"/>
        <v>710.37777777777774</v>
      </c>
      <c r="AF11" s="301">
        <f t="shared" si="8"/>
        <v>327.86666666666667</v>
      </c>
      <c r="AG11" s="301">
        <f t="shared" si="9"/>
        <v>391.14035087719299</v>
      </c>
      <c r="AH11" s="301">
        <f t="shared" si="10"/>
        <v>180.5263157894737</v>
      </c>
      <c r="AI11" s="301">
        <f t="shared" ref="AI11" si="46">AJ11*$U11</f>
        <v>22.569444444444446</v>
      </c>
      <c r="AJ11" s="301">
        <f t="shared" si="12"/>
        <v>13.888888888888889</v>
      </c>
      <c r="AK11" s="301">
        <f t="shared" ref="AK11" si="47">AL11*$U11</f>
        <v>18.055555555555554</v>
      </c>
      <c r="AL11" s="301">
        <f t="shared" si="12"/>
        <v>11.111111111111111</v>
      </c>
      <c r="AM11" s="301">
        <f t="shared" si="14"/>
        <v>40.625</v>
      </c>
      <c r="AN11" s="301">
        <f t="shared" si="12"/>
        <v>25</v>
      </c>
      <c r="AO11" s="301">
        <f t="shared" si="36"/>
        <v>98.35526315789474</v>
      </c>
      <c r="AP11" s="301">
        <f t="shared" si="12"/>
        <v>60.526315789473685</v>
      </c>
      <c r="AQ11" s="301">
        <f t="shared" si="42"/>
        <v>113.75</v>
      </c>
      <c r="AR11" s="301">
        <f t="shared" si="12"/>
        <v>70</v>
      </c>
      <c r="AS11" s="321">
        <f t="shared" si="17"/>
        <v>1.625</v>
      </c>
      <c r="AT11" s="329">
        <f t="shared" si="18"/>
        <v>68.650526315789477</v>
      </c>
      <c r="AV11" s="1265"/>
      <c r="AW11" s="1266"/>
    </row>
    <row r="12" spans="1:60" x14ac:dyDescent="0.25">
      <c r="B12" s="5" t="s">
        <v>236</v>
      </c>
      <c r="C12" s="300" t="s">
        <v>237</v>
      </c>
      <c r="D12" s="624">
        <v>0</v>
      </c>
      <c r="E12" s="301">
        <f>'Livestock GM - baseline'!DL$50</f>
        <v>337.88560000000012</v>
      </c>
      <c r="F12" s="301">
        <f>'Livestock GM - baseline'!DL$49</f>
        <v>162.44500000000005</v>
      </c>
      <c r="G12" s="301">
        <f>'Livestock GM - baseline'!DL$38</f>
        <v>579.16560000000015</v>
      </c>
      <c r="H12" s="301">
        <f>'Livestock GM - baseline'!DL$37</f>
        <v>278.44500000000005</v>
      </c>
      <c r="I12" s="301">
        <f>'Livestock GM - baseline'!DL$47</f>
        <v>241.28</v>
      </c>
      <c r="J12" s="301">
        <f>'Livestock GM - baseline'!DL$46</f>
        <v>116</v>
      </c>
      <c r="K12" s="301">
        <f t="shared" si="1"/>
        <v>0</v>
      </c>
      <c r="L12" s="301">
        <f>'Livestock GM - baseline'!DL$41</f>
        <v>0</v>
      </c>
      <c r="M12" s="301">
        <f t="shared" si="1"/>
        <v>0</v>
      </c>
      <c r="N12" s="301">
        <f>'Livestock GM - baseline'!DL$42</f>
        <v>0</v>
      </c>
      <c r="O12" s="301">
        <f t="shared" ref="O12" si="48">P12*$U12</f>
        <v>23.400000000000002</v>
      </c>
      <c r="P12" s="301">
        <f>'Livestock GM - baseline'!DL$43</f>
        <v>15</v>
      </c>
      <c r="Q12" s="301">
        <f t="shared" ref="Q12" si="49">R12*$U12</f>
        <v>17.16</v>
      </c>
      <c r="R12" s="301">
        <f>'Livestock GM - baseline'!DL$44</f>
        <v>11</v>
      </c>
      <c r="S12" s="301">
        <f t="shared" ref="S12" si="50">T12*$U12</f>
        <v>140.4</v>
      </c>
      <c r="T12" s="301">
        <f>'Livestock GM - baseline'!DL$45</f>
        <v>90</v>
      </c>
      <c r="U12" s="302">
        <f>'Livestock GM - baseline'!DL$10*'Livestock GM - baseline'!DL$11</f>
        <v>1.56</v>
      </c>
      <c r="V12" s="303">
        <f>'Livestock GM - baseline'!DL$9</f>
        <v>27.502894736842105</v>
      </c>
      <c r="W12" s="1"/>
      <c r="X12" s="1"/>
      <c r="Z12" s="5" t="str">
        <f>B12</f>
        <v>DL</v>
      </c>
      <c r="AA12" s="300" t="str">
        <f>C12</f>
        <v>Agroecological beef finishers</v>
      </c>
      <c r="AB12" s="624">
        <v>0.48</v>
      </c>
      <c r="AC12" s="301">
        <f t="shared" si="5"/>
        <v>337.88560000000012</v>
      </c>
      <c r="AD12" s="301">
        <f>F12</f>
        <v>162.44500000000005</v>
      </c>
      <c r="AE12" s="301">
        <f t="shared" si="7"/>
        <v>579.16560000000015</v>
      </c>
      <c r="AF12" s="301">
        <f t="shared" si="8"/>
        <v>278.44500000000005</v>
      </c>
      <c r="AG12" s="301">
        <f t="shared" si="9"/>
        <v>241.28</v>
      </c>
      <c r="AH12" s="1267">
        <f t="shared" si="10"/>
        <v>116</v>
      </c>
      <c r="AI12" s="301">
        <f t="shared" ref="AI12" si="51">AJ12*$U12</f>
        <v>0</v>
      </c>
      <c r="AJ12" s="301">
        <f t="shared" si="12"/>
        <v>0</v>
      </c>
      <c r="AK12" s="301">
        <f t="shared" ref="AK12" si="52">AL12*$U12</f>
        <v>0</v>
      </c>
      <c r="AL12" s="301">
        <f t="shared" si="12"/>
        <v>0</v>
      </c>
      <c r="AM12" s="301">
        <f t="shared" si="14"/>
        <v>23.400000000000002</v>
      </c>
      <c r="AN12" s="301">
        <f t="shared" si="12"/>
        <v>15</v>
      </c>
      <c r="AO12" s="301">
        <f t="shared" si="36"/>
        <v>17.16</v>
      </c>
      <c r="AP12" s="301">
        <f t="shared" si="12"/>
        <v>11</v>
      </c>
      <c r="AQ12" s="301">
        <f t="shared" si="42"/>
        <v>140.4</v>
      </c>
      <c r="AR12" s="301">
        <f t="shared" si="12"/>
        <v>90</v>
      </c>
      <c r="AS12" s="321">
        <f t="shared" si="17"/>
        <v>1.56</v>
      </c>
      <c r="AT12" s="329">
        <f t="shared" si="18"/>
        <v>27.502894736842105</v>
      </c>
      <c r="AX12" s="1268">
        <f>AB11/SUM(AB11:AB12)</f>
        <v>0.30434782608695654</v>
      </c>
      <c r="AY12" s="1266">
        <f>AC11</f>
        <v>319.23742690058475</v>
      </c>
    </row>
    <row r="13" spans="1:60" x14ac:dyDescent="0.25">
      <c r="B13" s="5" t="s">
        <v>238</v>
      </c>
      <c r="C13" s="300" t="s">
        <v>239</v>
      </c>
      <c r="D13" s="624">
        <v>0.18652451174576309</v>
      </c>
      <c r="E13" s="301">
        <f>'Livestock GM - baseline'!BO$50</f>
        <v>642.71350000000007</v>
      </c>
      <c r="F13" s="301">
        <f>'Livestock GM - baseline'!BO$49</f>
        <v>64.271350000000012</v>
      </c>
      <c r="G13" s="301">
        <f>'Livestock GM - baseline'!BO$38</f>
        <v>1026.6800000000003</v>
      </c>
      <c r="H13" s="301">
        <f>'Livestock GM - baseline'!BO$37</f>
        <v>102.66800000000002</v>
      </c>
      <c r="I13" s="301">
        <f>'Livestock GM - baseline'!BO$47</f>
        <v>383.9665</v>
      </c>
      <c r="J13" s="301">
        <f>'Livestock GM - baseline'!BO$46</f>
        <v>38.396650000000001</v>
      </c>
      <c r="K13" s="301">
        <f t="shared" si="1"/>
        <v>14.736315000000001</v>
      </c>
      <c r="L13" s="301">
        <f>'Livestock GM - baseline'!BO$41</f>
        <v>13.396649999999999</v>
      </c>
      <c r="M13" s="301">
        <f t="shared" si="1"/>
        <v>0</v>
      </c>
      <c r="N13" s="301">
        <f>'Livestock GM - baseline'!BO$42</f>
        <v>0</v>
      </c>
      <c r="O13" s="301">
        <f t="shared" ref="O13" si="53">P13*$U13</f>
        <v>9.9</v>
      </c>
      <c r="P13" s="301">
        <f>'Livestock GM - baseline'!BO$43</f>
        <v>9</v>
      </c>
      <c r="Q13" s="301">
        <f t="shared" ref="Q13" si="54">R13*$U13</f>
        <v>0</v>
      </c>
      <c r="R13" s="301">
        <f>'Livestock GM - baseline'!BO$44</f>
        <v>0</v>
      </c>
      <c r="S13" s="301">
        <f t="shared" ref="S13" si="55">T13*$U13</f>
        <v>17.600000000000001</v>
      </c>
      <c r="T13" s="301">
        <f>'Livestock GM - baseline'!BO$45</f>
        <v>16</v>
      </c>
      <c r="U13" s="302">
        <f>'Livestock GM - baseline'!BO$10*'Livestock GM - baseline'!BO$11</f>
        <v>1.1000000000000001</v>
      </c>
      <c r="V13" s="303">
        <f>'Livestock GM - baseline'!BO$9</f>
        <v>6.5679330000000009</v>
      </c>
      <c r="W13" s="1"/>
      <c r="X13" s="1"/>
      <c r="Z13" s="5" t="s">
        <v>238</v>
      </c>
      <c r="AA13" s="300" t="str">
        <f t="shared" ref="AA13:AA16" si="56">C13</f>
        <v>Lowland Spring Lamb Production</v>
      </c>
      <c r="AB13" s="624">
        <v>0</v>
      </c>
      <c r="AC13" s="301">
        <f t="shared" si="5"/>
        <v>642.71350000000007</v>
      </c>
      <c r="AD13" s="301">
        <f t="shared" si="6"/>
        <v>64.271350000000012</v>
      </c>
      <c r="AE13" s="301">
        <f t="shared" si="7"/>
        <v>1026.6800000000003</v>
      </c>
      <c r="AF13" s="301">
        <f t="shared" si="8"/>
        <v>102.66800000000002</v>
      </c>
      <c r="AG13" s="301">
        <f t="shared" si="9"/>
        <v>383.9665</v>
      </c>
      <c r="AH13" s="301">
        <f t="shared" si="10"/>
        <v>38.396650000000001</v>
      </c>
      <c r="AI13" s="301">
        <f t="shared" ref="AI13" si="57">AJ13*$U13</f>
        <v>14.736315000000001</v>
      </c>
      <c r="AJ13" s="301">
        <f t="shared" si="12"/>
        <v>13.396649999999999</v>
      </c>
      <c r="AK13" s="301">
        <f t="shared" ref="AK13" si="58">AL13*$U13</f>
        <v>0</v>
      </c>
      <c r="AL13" s="301">
        <f t="shared" si="12"/>
        <v>0</v>
      </c>
      <c r="AM13" s="301">
        <f t="shared" si="14"/>
        <v>9.9</v>
      </c>
      <c r="AN13" s="301">
        <f t="shared" si="12"/>
        <v>9</v>
      </c>
      <c r="AO13" s="301">
        <f t="shared" si="36"/>
        <v>0</v>
      </c>
      <c r="AP13" s="301">
        <f t="shared" si="12"/>
        <v>0</v>
      </c>
      <c r="AQ13" s="301">
        <f t="shared" si="42"/>
        <v>17.600000000000001</v>
      </c>
      <c r="AR13" s="301">
        <f t="shared" si="12"/>
        <v>16</v>
      </c>
      <c r="AS13" s="321">
        <f t="shared" si="17"/>
        <v>1.1000000000000001</v>
      </c>
      <c r="AT13" s="329">
        <f t="shared" si="18"/>
        <v>6.5679330000000009</v>
      </c>
      <c r="AX13" s="1268">
        <f>AB12/SUM(AB11:AB12)</f>
        <v>0.69565217391304346</v>
      </c>
      <c r="AY13" s="1266">
        <f>AC12</f>
        <v>337.88560000000012</v>
      </c>
    </row>
    <row r="14" spans="1:60" x14ac:dyDescent="0.25">
      <c r="B14" s="5" t="s">
        <v>240</v>
      </c>
      <c r="C14" s="300" t="s">
        <v>241</v>
      </c>
      <c r="D14" s="624">
        <v>2.4869934899435082E-2</v>
      </c>
      <c r="E14" s="301">
        <f>'Livestock GM - baseline'!BJ$50</f>
        <v>517.89</v>
      </c>
      <c r="F14" s="301">
        <f>'Livestock GM - baseline'!BJ$49</f>
        <v>34.525999999999996</v>
      </c>
      <c r="G14" s="301">
        <f>'Livestock GM - baseline'!BJ$38</f>
        <v>800.94</v>
      </c>
      <c r="H14" s="301">
        <f>'Livestock GM - baseline'!BJ$37</f>
        <v>53.396000000000001</v>
      </c>
      <c r="I14" s="301">
        <f>'Livestock GM - baseline'!BJ$47</f>
        <v>283.05</v>
      </c>
      <c r="J14" s="301">
        <f>'Livestock GM - baseline'!BJ$46</f>
        <v>18.87</v>
      </c>
      <c r="K14" s="301">
        <f t="shared" si="1"/>
        <v>4.851</v>
      </c>
      <c r="L14" s="301">
        <f>'Livestock GM - baseline'!BJ$41</f>
        <v>2.94</v>
      </c>
      <c r="M14" s="301">
        <f t="shared" si="1"/>
        <v>0</v>
      </c>
      <c r="N14" s="301">
        <f>'Livestock GM - baseline'!BJ$42</f>
        <v>0</v>
      </c>
      <c r="O14" s="301">
        <f t="shared" ref="O14" si="59">P14*$U14</f>
        <v>11.071499999999999</v>
      </c>
      <c r="P14" s="301">
        <f>'Livestock GM - baseline'!BJ$43</f>
        <v>6.71</v>
      </c>
      <c r="Q14" s="301">
        <f t="shared" ref="Q14" si="60">R14*$U14</f>
        <v>0</v>
      </c>
      <c r="R14" s="301">
        <f>'Livestock GM - baseline'!BJ$44</f>
        <v>0</v>
      </c>
      <c r="S14" s="301">
        <f t="shared" ref="S14" si="61">T14*$U14</f>
        <v>15.213000000000001</v>
      </c>
      <c r="T14" s="301">
        <f>'Livestock GM - baseline'!BJ$45</f>
        <v>9.2200000000000006</v>
      </c>
      <c r="U14" s="302">
        <f>'Livestock GM - baseline'!BJ$10*'Livestock GM - baseline'!BJ$11</f>
        <v>1.65</v>
      </c>
      <c r="V14" s="303">
        <f>'Livestock GM - baseline'!BJ$9</f>
        <v>3.8214000000000001</v>
      </c>
      <c r="W14" s="1"/>
      <c r="X14" s="1"/>
      <c r="Z14" s="5" t="s">
        <v>240</v>
      </c>
      <c r="AA14" s="300" t="str">
        <f t="shared" si="56"/>
        <v>Lowland Rearing Ewe-lambs</v>
      </c>
      <c r="AB14" s="624">
        <v>0</v>
      </c>
      <c r="AC14" s="301">
        <f t="shared" si="5"/>
        <v>517.89</v>
      </c>
      <c r="AD14" s="301">
        <f t="shared" si="6"/>
        <v>34.525999999999996</v>
      </c>
      <c r="AE14" s="301">
        <f t="shared" si="7"/>
        <v>800.94</v>
      </c>
      <c r="AF14" s="301">
        <f t="shared" si="8"/>
        <v>53.396000000000001</v>
      </c>
      <c r="AG14" s="301">
        <f t="shared" si="9"/>
        <v>283.05</v>
      </c>
      <c r="AH14" s="301">
        <f t="shared" si="10"/>
        <v>18.87</v>
      </c>
      <c r="AI14" s="301">
        <f t="shared" ref="AI14" si="62">AJ14*$U14</f>
        <v>4.851</v>
      </c>
      <c r="AJ14" s="301">
        <f t="shared" si="12"/>
        <v>2.94</v>
      </c>
      <c r="AK14" s="301">
        <f t="shared" ref="AK14" si="63">AL14*$U14</f>
        <v>0</v>
      </c>
      <c r="AL14" s="301">
        <f t="shared" si="12"/>
        <v>0</v>
      </c>
      <c r="AM14" s="301">
        <f t="shared" si="14"/>
        <v>11.071499999999999</v>
      </c>
      <c r="AN14" s="301">
        <f t="shared" si="12"/>
        <v>6.71</v>
      </c>
      <c r="AO14" s="301">
        <f t="shared" si="36"/>
        <v>0</v>
      </c>
      <c r="AP14" s="301">
        <f t="shared" si="12"/>
        <v>0</v>
      </c>
      <c r="AQ14" s="301">
        <f t="shared" si="42"/>
        <v>15.213000000000001</v>
      </c>
      <c r="AR14" s="301">
        <f t="shared" si="12"/>
        <v>9.2200000000000006</v>
      </c>
      <c r="AS14" s="321">
        <f t="shared" si="17"/>
        <v>1.65</v>
      </c>
      <c r="AT14" s="329">
        <f t="shared" si="18"/>
        <v>3.8214000000000001</v>
      </c>
      <c r="AY14" s="2">
        <f>SUMPRODUCT(AX12:AX13,AY12:AY13)</f>
        <v>332.21006905669981</v>
      </c>
    </row>
    <row r="15" spans="1:60" x14ac:dyDescent="0.25">
      <c r="B15" s="5" t="s">
        <v>242</v>
      </c>
      <c r="C15" s="300" t="s">
        <v>243</v>
      </c>
      <c r="D15" s="624">
        <v>9.9479739597740327E-2</v>
      </c>
      <c r="E15" s="301">
        <f>'Livestock GM - baseline'!BT$50</f>
        <v>745.07999999999993</v>
      </c>
      <c r="F15" s="301">
        <f>'Livestock GM - baseline'!BT$49</f>
        <v>26.61</v>
      </c>
      <c r="G15" s="301">
        <f>'Livestock GM - baseline'!BT$38</f>
        <v>1107.3999999999999</v>
      </c>
      <c r="H15" s="301">
        <f>'Livestock GM - baseline'!BT$37</f>
        <v>39.549999999999997</v>
      </c>
      <c r="I15" s="301">
        <f>'Livestock GM - baseline'!BT$47</f>
        <v>362.32</v>
      </c>
      <c r="J15" s="301">
        <f>'Livestock GM - baseline'!BT$46</f>
        <v>12.94</v>
      </c>
      <c r="K15" s="301">
        <f t="shared" si="1"/>
        <v>3.2928000000000002</v>
      </c>
      <c r="L15" s="301">
        <f>'Livestock GM - baseline'!BT$41</f>
        <v>2.94</v>
      </c>
      <c r="M15" s="301">
        <f t="shared" si="1"/>
        <v>0</v>
      </c>
      <c r="N15" s="301">
        <f>'Livestock GM - baseline'!BT$42</f>
        <v>0</v>
      </c>
      <c r="O15" s="301">
        <f t="shared" ref="O15" si="64">P15*$U15</f>
        <v>3.3600000000000003</v>
      </c>
      <c r="P15" s="301">
        <f>'Livestock GM - baseline'!BT$43</f>
        <v>3</v>
      </c>
      <c r="Q15" s="301">
        <f t="shared" ref="Q15" si="65">R15*$U15</f>
        <v>0</v>
      </c>
      <c r="R15" s="301">
        <f>'Livestock GM - baseline'!BT$44</f>
        <v>0</v>
      </c>
      <c r="S15" s="301">
        <f t="shared" ref="S15" si="66">T15*$U15</f>
        <v>7.8400000000000007</v>
      </c>
      <c r="T15" s="301">
        <f>'Livestock GM - baseline'!BT$45</f>
        <v>7</v>
      </c>
      <c r="U15" s="302">
        <f>'Livestock GM - baseline'!BT$10*'Livestock GM - baseline'!BT$11</f>
        <v>1.1200000000000001</v>
      </c>
      <c r="V15" s="303">
        <f>'Livestock GM - baseline'!BT$9</f>
        <v>2.4588000000000001</v>
      </c>
      <c r="W15" s="1"/>
      <c r="X15" s="1"/>
      <c r="Z15" s="5" t="s">
        <v>242</v>
      </c>
      <c r="AA15" s="300" t="str">
        <f t="shared" si="56"/>
        <v>Store Lamb finishing in the lowlands</v>
      </c>
      <c r="AB15" s="624">
        <v>0</v>
      </c>
      <c r="AC15" s="301">
        <f t="shared" si="5"/>
        <v>745.07999999999993</v>
      </c>
      <c r="AD15" s="301">
        <f t="shared" si="6"/>
        <v>26.61</v>
      </c>
      <c r="AE15" s="301">
        <f t="shared" si="7"/>
        <v>1107.3999999999999</v>
      </c>
      <c r="AF15" s="301">
        <f t="shared" si="8"/>
        <v>39.549999999999997</v>
      </c>
      <c r="AG15" s="301">
        <f t="shared" si="9"/>
        <v>362.32</v>
      </c>
      <c r="AH15" s="301">
        <f t="shared" si="10"/>
        <v>12.94</v>
      </c>
      <c r="AI15" s="301">
        <f t="shared" ref="AI15" si="67">AJ15*$U15</f>
        <v>3.2928000000000002</v>
      </c>
      <c r="AJ15" s="301">
        <f t="shared" si="12"/>
        <v>2.94</v>
      </c>
      <c r="AK15" s="301">
        <f t="shared" ref="AK15" si="68">AL15*$U15</f>
        <v>0</v>
      </c>
      <c r="AL15" s="301">
        <f t="shared" si="12"/>
        <v>0</v>
      </c>
      <c r="AM15" s="301">
        <f t="shared" si="14"/>
        <v>3.3600000000000003</v>
      </c>
      <c r="AN15" s="301">
        <f t="shared" si="12"/>
        <v>3</v>
      </c>
      <c r="AO15" s="301">
        <f t="shared" si="36"/>
        <v>0</v>
      </c>
      <c r="AP15" s="301">
        <f t="shared" si="12"/>
        <v>0</v>
      </c>
      <c r="AQ15" s="301">
        <f t="shared" si="42"/>
        <v>7.8400000000000007</v>
      </c>
      <c r="AR15" s="301">
        <f t="shared" si="12"/>
        <v>7</v>
      </c>
      <c r="AS15" s="321">
        <f t="shared" si="17"/>
        <v>1.1200000000000001</v>
      </c>
      <c r="AT15" s="329">
        <f t="shared" si="18"/>
        <v>2.4588000000000001</v>
      </c>
    </row>
    <row r="16" spans="1:60" x14ac:dyDescent="0.25">
      <c r="B16" s="5" t="s">
        <v>244</v>
      </c>
      <c r="C16" s="300" t="s">
        <v>245</v>
      </c>
      <c r="D16" s="624">
        <v>0</v>
      </c>
      <c r="E16" s="301">
        <f>'Livestock GM - baseline'!DO$50</f>
        <v>569.42823888888904</v>
      </c>
      <c r="F16" s="301">
        <f>'Livestock GM - baseline'!DO$49</f>
        <v>74.556888888888906</v>
      </c>
      <c r="G16" s="301">
        <f>'Livestock GM - baseline'!DO$38</f>
        <v>784.12685000000022</v>
      </c>
      <c r="H16" s="301">
        <f>'Livestock GM - baseline'!DO$37</f>
        <v>102.66800000000002</v>
      </c>
      <c r="I16" s="301">
        <f>'Livestock GM - baseline'!DO$47</f>
        <v>214.69861111111112</v>
      </c>
      <c r="J16" s="301">
        <f>'Livestock GM - baseline'!DO$46</f>
        <v>28.111111111111111</v>
      </c>
      <c r="K16" s="301">
        <f>L16*$U16</f>
        <v>3.733888888888889</v>
      </c>
      <c r="L16" s="301">
        <f>'Livestock GM - baseline'!DO$41</f>
        <v>4.4444444444444446</v>
      </c>
      <c r="M16" s="301">
        <f>N16*$U16</f>
        <v>1.4002083333333333</v>
      </c>
      <c r="N16" s="301">
        <f>'Livestock GM - baseline'!DO$42</f>
        <v>1.6666666666666665</v>
      </c>
      <c r="O16" s="301">
        <f>P16*$U16</f>
        <v>7.5611250000000005</v>
      </c>
      <c r="P16" s="301">
        <f>'Livestock GM - baseline'!DO$43</f>
        <v>9</v>
      </c>
      <c r="Q16" s="301">
        <f>R16*$U16</f>
        <v>0</v>
      </c>
      <c r="R16" s="301">
        <f>'Livestock GM - baseline'!DO$44</f>
        <v>0</v>
      </c>
      <c r="S16" s="301">
        <f>T16*$U16</f>
        <v>10.921625000000001</v>
      </c>
      <c r="T16" s="301">
        <f>'Livestock GM - baseline'!DO$45</f>
        <v>13</v>
      </c>
      <c r="U16" s="302">
        <f>'Livestock GM - baseline'!DO$10*'Livestock GM - baseline'!DO$11</f>
        <v>0.84012500000000001</v>
      </c>
      <c r="V16" s="303">
        <f>'Livestock GM - baseline'!DO$9</f>
        <v>7.8568000000000007</v>
      </c>
      <c r="W16" s="1"/>
      <c r="X16" s="1"/>
      <c r="Z16" s="5"/>
      <c r="AA16" s="300" t="str">
        <f t="shared" si="56"/>
        <v>Agroecological lowland ewes - spring lamb production</v>
      </c>
      <c r="AB16" s="624">
        <v>0.31</v>
      </c>
      <c r="AC16" s="301">
        <f t="shared" si="5"/>
        <v>569.42823888888904</v>
      </c>
      <c r="AD16" s="301">
        <f t="shared" si="6"/>
        <v>74.556888888888906</v>
      </c>
      <c r="AE16" s="301">
        <f t="shared" si="7"/>
        <v>784.12685000000022</v>
      </c>
      <c r="AF16" s="301">
        <f t="shared" si="8"/>
        <v>102.66800000000002</v>
      </c>
      <c r="AG16" s="301">
        <f t="shared" si="9"/>
        <v>214.69861111111112</v>
      </c>
      <c r="AH16" s="301">
        <f t="shared" si="10"/>
        <v>28.111111111111111</v>
      </c>
      <c r="AI16" s="301">
        <f>AJ16*$U16</f>
        <v>3.733888888888889</v>
      </c>
      <c r="AJ16" s="301">
        <f t="shared" si="12"/>
        <v>4.4444444444444446</v>
      </c>
      <c r="AK16" s="301">
        <f>AL16*$U16</f>
        <v>1.4002083333333333</v>
      </c>
      <c r="AL16" s="301">
        <f t="shared" si="12"/>
        <v>1.6666666666666665</v>
      </c>
      <c r="AM16" s="301">
        <f>AN16*$U16</f>
        <v>7.5611250000000005</v>
      </c>
      <c r="AN16" s="301">
        <f>P16</f>
        <v>9</v>
      </c>
      <c r="AO16" s="301">
        <f>AP16*$U16</f>
        <v>0</v>
      </c>
      <c r="AP16" s="301">
        <f t="shared" si="12"/>
        <v>0</v>
      </c>
      <c r="AQ16" s="301">
        <f>AR16*$U16</f>
        <v>10.921625000000001</v>
      </c>
      <c r="AR16" s="301">
        <f t="shared" si="12"/>
        <v>13</v>
      </c>
      <c r="AS16" s="321">
        <f t="shared" si="17"/>
        <v>0.84012500000000001</v>
      </c>
      <c r="AT16" s="329">
        <f t="shared" si="18"/>
        <v>7.8568000000000007</v>
      </c>
    </row>
    <row r="17" spans="1:72" ht="11" thickBot="1" x14ac:dyDescent="0.3">
      <c r="B17" s="5"/>
      <c r="C17" s="89"/>
      <c r="D17" s="300"/>
      <c r="E17" s="304"/>
      <c r="F17" s="304"/>
      <c r="G17" s="304"/>
      <c r="H17" s="304"/>
      <c r="I17" s="304"/>
      <c r="J17" s="304"/>
      <c r="K17" s="304"/>
      <c r="L17" s="304"/>
      <c r="M17" s="304"/>
      <c r="N17" s="304"/>
      <c r="O17" s="304"/>
      <c r="P17" s="304"/>
      <c r="Q17" s="304"/>
      <c r="R17" s="304"/>
      <c r="S17" s="304"/>
      <c r="T17" s="304"/>
      <c r="U17" s="305"/>
      <c r="V17" s="44"/>
      <c r="W17" s="1"/>
      <c r="X17" s="1"/>
      <c r="Z17" s="5"/>
      <c r="AA17" s="89"/>
      <c r="AB17" s="300"/>
      <c r="AC17" s="304"/>
      <c r="AD17" s="304"/>
      <c r="AE17" s="304"/>
      <c r="AF17" s="304"/>
      <c r="AG17" s="304"/>
      <c r="AH17" s="304"/>
      <c r="AI17" s="304"/>
      <c r="AJ17" s="304"/>
      <c r="AK17" s="304"/>
      <c r="AL17" s="304"/>
      <c r="AM17" s="304"/>
      <c r="AN17" s="304"/>
      <c r="AO17" s="304"/>
      <c r="AP17" s="304"/>
      <c r="AQ17" s="304"/>
      <c r="AR17" s="304"/>
      <c r="AS17" s="305"/>
      <c r="AT17" s="47"/>
    </row>
    <row r="18" spans="1:72" ht="11" thickBot="1" x14ac:dyDescent="0.3">
      <c r="B18" s="306"/>
      <c r="C18" s="307" t="s">
        <v>246</v>
      </c>
      <c r="D18" s="308">
        <f>SUM(D4:D17)</f>
        <v>1</v>
      </c>
      <c r="E18" s="309">
        <f>SUMPRODUCT($D$4:$D$17,E4:E17)</f>
        <v>576.88906038827349</v>
      </c>
      <c r="F18" s="309"/>
      <c r="G18" s="309">
        <f>SUMPRODUCT($D$4:$D$17,G4:G17)</f>
        <v>956.88562629162107</v>
      </c>
      <c r="H18" s="309"/>
      <c r="I18" s="309">
        <f>SUMPRODUCT($D$4:$D$17,I4:I17)</f>
        <v>379.99656590334769</v>
      </c>
      <c r="J18" s="309"/>
      <c r="K18" s="309">
        <f>SUMPRODUCT($D$4:$D$17,K4:K17)</f>
        <v>88.481571445825665</v>
      </c>
      <c r="L18" s="309"/>
      <c r="M18" s="309">
        <f>SUMPRODUCT($D$4:$D$17,M4:M17)</f>
        <v>4.8053042613198924</v>
      </c>
      <c r="N18" s="309"/>
      <c r="O18" s="309">
        <f>SUMPRODUCT($D$4:$D$17,O4:O17)</f>
        <v>26.387850667699212</v>
      </c>
      <c r="P18" s="309"/>
      <c r="Q18" s="309">
        <f>SUMPRODUCT($D$4:$D$17,Q4:Q17)</f>
        <v>22.943850813346714</v>
      </c>
      <c r="R18" s="309"/>
      <c r="S18" s="309">
        <f>SUMPRODUCT($D$4:$D$17,S4:S17)</f>
        <v>39.352958629527144</v>
      </c>
      <c r="T18" s="309"/>
      <c r="U18" s="309">
        <f>SUMPRODUCT($D$4:$D$17,U4:U17)</f>
        <v>1.5918215022590498</v>
      </c>
      <c r="V18" s="310">
        <f>SUMPRODUCT($D$4:$D$17,V4:V17)</f>
        <v>31.66638309645975</v>
      </c>
      <c r="W18" s="1"/>
      <c r="X18" s="1"/>
      <c r="Z18" s="306"/>
      <c r="AA18" s="307" t="s">
        <v>246</v>
      </c>
      <c r="AB18" s="308">
        <f>SUM(AB4:AB17)</f>
        <v>1</v>
      </c>
      <c r="AC18" s="309">
        <f>SUMPRODUCT($AB$4:$AB$16,AC4:AC16)</f>
        <v>405.74770170467843</v>
      </c>
      <c r="AD18" s="309"/>
      <c r="AE18" s="309">
        <f>SUMPRODUCT($AB$4:$AB$16,AE4:AE16)</f>
        <v>670.2581448333334</v>
      </c>
      <c r="AF18" s="309"/>
      <c r="AG18" s="309">
        <f>SUMPRODUCT($AB$4:$AB$16,AG4:AG16)</f>
        <v>264.51044312865497</v>
      </c>
      <c r="AH18" s="309"/>
      <c r="AI18" s="1167">
        <f>SUMPRODUCT($AB$4:$AB$17,AI4:AI17)</f>
        <v>5.8970888888888897</v>
      </c>
      <c r="AJ18" s="309"/>
      <c r="AK18" s="1167">
        <f>SUMPRODUCT($AB$4:$AB$17,AK4:AK17)</f>
        <v>4.2257312499999991</v>
      </c>
      <c r="AL18" s="309"/>
      <c r="AM18" s="309">
        <f>SUMPRODUCT($AB$4:$AB$17,AM4:AM17)</f>
        <v>22.107198749999998</v>
      </c>
      <c r="AN18" s="309"/>
      <c r="AO18" s="309">
        <f>SUMPRODUCT($AB$4:$AB$17,AO4:AO17)</f>
        <v>28.891405263157893</v>
      </c>
      <c r="AP18" s="309"/>
      <c r="AQ18" s="309">
        <f>SUMPRODUCT($AB$4:$AB$17,AQ4:AQ17)</f>
        <v>94.665203750000003</v>
      </c>
      <c r="AR18" s="309"/>
      <c r="AS18" s="309">
        <f>SUMPRODUCT($AB$4:$AB$16,AS4:AS16)</f>
        <v>1.35048875</v>
      </c>
      <c r="AT18" s="310">
        <f>SUMPRODUCT($AB$4:$AB$16,AT4:AT16)</f>
        <v>30.053608000000004</v>
      </c>
      <c r="AV18" s="347" t="s">
        <v>247</v>
      </c>
    </row>
    <row r="19" spans="1:72" s="235" customFormat="1" x14ac:dyDescent="0.25">
      <c r="B19" s="290"/>
      <c r="C19" s="340"/>
      <c r="D19" s="92"/>
      <c r="E19" s="1262"/>
      <c r="F19" s="341"/>
      <c r="G19" s="341"/>
      <c r="H19" s="341"/>
      <c r="I19" s="341"/>
      <c r="J19" s="341"/>
      <c r="K19" s="341"/>
      <c r="L19" s="341"/>
      <c r="M19" s="341"/>
      <c r="N19" s="341"/>
      <c r="O19" s="341"/>
      <c r="P19" s="341"/>
      <c r="Q19" s="341"/>
      <c r="R19" s="341"/>
      <c r="S19" s="341"/>
      <c r="T19" s="341"/>
      <c r="U19" s="342"/>
      <c r="V19" s="342"/>
      <c r="W19" s="290"/>
      <c r="X19" s="290"/>
      <c r="Z19" s="290"/>
      <c r="AA19" s="340"/>
      <c r="AB19" s="92"/>
      <c r="AC19" s="341"/>
      <c r="AD19" s="341"/>
      <c r="AE19" s="341"/>
      <c r="AF19" s="341"/>
      <c r="AG19" s="341"/>
      <c r="AH19" s="341"/>
      <c r="AI19" s="341"/>
      <c r="AJ19" s="341"/>
      <c r="AK19" s="341"/>
      <c r="AL19" s="341"/>
      <c r="AM19" s="341"/>
      <c r="AN19" s="341"/>
      <c r="AO19" s="341"/>
      <c r="AP19" s="341"/>
      <c r="AQ19" s="341"/>
      <c r="AR19" s="341"/>
      <c r="AS19" s="342"/>
      <c r="AT19" s="342"/>
      <c r="AU19" s="345"/>
      <c r="AV19" s="267"/>
      <c r="AW19" s="2"/>
      <c r="AX19" s="2"/>
      <c r="AY19" s="2"/>
      <c r="AZ19" s="2"/>
      <c r="BA19" s="2"/>
      <c r="BB19" s="2"/>
      <c r="BC19" s="2"/>
      <c r="BD19" s="2"/>
      <c r="BE19" s="2"/>
      <c r="BF19" s="2"/>
      <c r="BG19" s="2"/>
      <c r="BH19" s="2"/>
      <c r="BI19" s="2"/>
      <c r="BJ19" s="2"/>
      <c r="BK19" s="2"/>
      <c r="BL19" s="2"/>
      <c r="BM19" s="2"/>
      <c r="BN19" s="2"/>
      <c r="BO19" s="2"/>
      <c r="BP19" s="2"/>
      <c r="BQ19" s="2"/>
      <c r="BR19" s="2"/>
      <c r="BS19" s="2"/>
      <c r="BT19" s="2"/>
    </row>
    <row r="20" spans="1:72" s="235" customFormat="1" x14ac:dyDescent="0.25">
      <c r="B20" s="290"/>
      <c r="C20" s="340"/>
      <c r="D20" s="92"/>
      <c r="E20" s="1262"/>
      <c r="F20" s="341"/>
      <c r="G20" s="341"/>
      <c r="H20" s="341"/>
      <c r="I20" s="341"/>
      <c r="J20" s="341"/>
      <c r="K20" s="341"/>
      <c r="L20" s="341"/>
      <c r="M20" s="341"/>
      <c r="N20" s="341"/>
      <c r="O20" s="341"/>
      <c r="P20" s="341"/>
      <c r="Q20" s="341"/>
      <c r="R20" s="341"/>
      <c r="S20" s="341"/>
      <c r="T20" s="341"/>
      <c r="U20" s="342"/>
      <c r="V20" s="342"/>
      <c r="W20" s="290"/>
      <c r="X20" s="290"/>
      <c r="Z20" s="290"/>
      <c r="AA20" s="340"/>
      <c r="AB20" s="92"/>
      <c r="AC20" s="341"/>
      <c r="AD20" s="341"/>
      <c r="AE20" s="341"/>
      <c r="AF20" s="341"/>
      <c r="AG20" s="341"/>
      <c r="AH20" s="341"/>
      <c r="AI20" s="341"/>
      <c r="AJ20" s="341"/>
      <c r="AK20" s="341"/>
      <c r="AL20" s="341"/>
      <c r="AM20" s="341"/>
      <c r="AN20" s="341"/>
      <c r="AO20" s="341"/>
      <c r="AP20" s="341"/>
      <c r="AQ20" s="341"/>
      <c r="AR20" s="341"/>
      <c r="AS20" s="342"/>
      <c r="AT20" s="342"/>
      <c r="AU20" s="345"/>
      <c r="AV20" s="267"/>
      <c r="AW20" s="2"/>
      <c r="AX20" s="2"/>
      <c r="AY20" s="2"/>
      <c r="AZ20" s="2"/>
      <c r="BA20" s="2"/>
      <c r="BB20" s="2"/>
      <c r="BC20" s="2"/>
      <c r="BD20" s="2"/>
      <c r="BE20" s="2"/>
      <c r="BF20" s="2"/>
      <c r="BG20" s="2"/>
      <c r="BH20" s="2"/>
      <c r="BI20" s="2"/>
      <c r="BJ20" s="2"/>
      <c r="BK20" s="2"/>
      <c r="BL20" s="2"/>
      <c r="BM20" s="2"/>
      <c r="BN20" s="2"/>
      <c r="BO20" s="2"/>
      <c r="BP20" s="2"/>
      <c r="BQ20" s="2"/>
      <c r="BR20" s="2"/>
      <c r="BS20" s="2"/>
      <c r="BT20" s="2"/>
    </row>
    <row r="21" spans="1:72" s="235" customFormat="1" ht="11" thickBot="1" x14ac:dyDescent="0.3">
      <c r="AU21" s="345"/>
      <c r="AV21" s="267"/>
      <c r="AW21" s="2"/>
      <c r="AX21" s="2"/>
      <c r="AY21" s="2"/>
      <c r="AZ21" s="2"/>
      <c r="BA21" s="2"/>
      <c r="BB21" s="2"/>
      <c r="BC21" s="2"/>
      <c r="BD21" s="2"/>
      <c r="BE21" s="2"/>
      <c r="BF21" s="2"/>
      <c r="BG21" s="2"/>
      <c r="BH21" s="2"/>
      <c r="BI21" s="2"/>
      <c r="BJ21" s="2"/>
      <c r="BK21" s="2"/>
      <c r="BL21" s="2"/>
      <c r="BM21" s="2"/>
      <c r="BN21" s="2"/>
      <c r="BO21" s="2"/>
      <c r="BP21" s="2"/>
      <c r="BQ21" s="2"/>
      <c r="BR21" s="2"/>
      <c r="BS21" s="2"/>
      <c r="BT21" s="2"/>
    </row>
    <row r="22" spans="1:72" ht="32" thickBot="1" x14ac:dyDescent="0.3">
      <c r="B22" s="311" t="s">
        <v>89</v>
      </c>
      <c r="C22" s="315"/>
      <c r="D22" s="313" t="s">
        <v>198</v>
      </c>
      <c r="E22" s="313" t="s">
        <v>199</v>
      </c>
      <c r="F22" s="313" t="s">
        <v>200</v>
      </c>
      <c r="G22" s="313" t="s">
        <v>201</v>
      </c>
      <c r="H22" s="313" t="s">
        <v>202</v>
      </c>
      <c r="I22" s="313" t="s">
        <v>203</v>
      </c>
      <c r="J22" s="313" t="s">
        <v>204</v>
      </c>
      <c r="K22" s="1166" t="s">
        <v>205</v>
      </c>
      <c r="L22" s="1166" t="s">
        <v>206</v>
      </c>
      <c r="M22" s="1166" t="s">
        <v>207</v>
      </c>
      <c r="N22" s="1166" t="s">
        <v>208</v>
      </c>
      <c r="O22" s="1166" t="s">
        <v>209</v>
      </c>
      <c r="P22" s="1166" t="s">
        <v>210</v>
      </c>
      <c r="Q22" s="1166" t="s">
        <v>211</v>
      </c>
      <c r="R22" s="1166" t="s">
        <v>212</v>
      </c>
      <c r="S22" s="1166" t="s">
        <v>213</v>
      </c>
      <c r="T22" s="1166" t="s">
        <v>214</v>
      </c>
      <c r="U22" s="313" t="s">
        <v>215</v>
      </c>
      <c r="V22" s="314" t="s">
        <v>216</v>
      </c>
      <c r="W22" s="91" t="s">
        <v>248</v>
      </c>
      <c r="X22" s="1"/>
      <c r="Z22" s="311" t="s">
        <v>89</v>
      </c>
      <c r="AA22" s="315"/>
      <c r="AB22" s="313" t="s">
        <v>198</v>
      </c>
      <c r="AC22" s="313" t="s">
        <v>199</v>
      </c>
      <c r="AD22" s="313" t="s">
        <v>200</v>
      </c>
      <c r="AE22" s="313" t="s">
        <v>201</v>
      </c>
      <c r="AF22" s="313" t="s">
        <v>202</v>
      </c>
      <c r="AG22" s="313" t="s">
        <v>203</v>
      </c>
      <c r="AH22" s="313" t="s">
        <v>204</v>
      </c>
      <c r="AI22" s="1166" t="s">
        <v>205</v>
      </c>
      <c r="AJ22" s="1166" t="s">
        <v>206</v>
      </c>
      <c r="AK22" s="1166" t="s">
        <v>207</v>
      </c>
      <c r="AL22" s="1166" t="s">
        <v>208</v>
      </c>
      <c r="AM22" s="1166" t="s">
        <v>209</v>
      </c>
      <c r="AN22" s="1166" t="s">
        <v>210</v>
      </c>
      <c r="AO22" s="1166" t="s">
        <v>211</v>
      </c>
      <c r="AP22" s="1166" t="s">
        <v>212</v>
      </c>
      <c r="AQ22" s="1166" t="s">
        <v>213</v>
      </c>
      <c r="AR22" s="1166" t="s">
        <v>214</v>
      </c>
      <c r="AS22" s="313" t="s">
        <v>215</v>
      </c>
      <c r="AT22" s="314" t="s">
        <v>216</v>
      </c>
    </row>
    <row r="23" spans="1:72" x14ac:dyDescent="0.25">
      <c r="B23" s="241" t="s">
        <v>249</v>
      </c>
      <c r="C23" s="316" t="s">
        <v>250</v>
      </c>
      <c r="D23" s="1244">
        <v>0.41178392957453003</v>
      </c>
      <c r="E23" s="1245">
        <f>'Livestock GM'!BY$50</f>
        <v>338.31907499999994</v>
      </c>
      <c r="F23" s="1245">
        <f>'Livestock GM'!BY$49</f>
        <v>45.10920999999999</v>
      </c>
      <c r="G23" s="1245">
        <f>'Livestock GM'!BY$38</f>
        <v>552.06907499999988</v>
      </c>
      <c r="H23" s="1245">
        <f>'Livestock GM'!BY$37</f>
        <v>73.60920999999999</v>
      </c>
      <c r="I23" s="1245">
        <f>'Livestock GM'!BY$47</f>
        <v>213.75</v>
      </c>
      <c r="J23" s="1245">
        <f>'Livestock GM'!BY$46</f>
        <v>28.5</v>
      </c>
      <c r="K23" s="323">
        <f t="shared" ref="K23:K30" si="69">L23*$U23</f>
        <v>6.75</v>
      </c>
      <c r="L23" s="1245">
        <f>'Livestock GM - baseline'!BY41</f>
        <v>11.25</v>
      </c>
      <c r="M23" s="323">
        <f t="shared" ref="M23:M30" si="70">N23*$U23</f>
        <v>0</v>
      </c>
      <c r="N23" s="1245">
        <f>'Livestock GM - baseline'!BY42</f>
        <v>0</v>
      </c>
      <c r="O23" s="323">
        <f t="shared" ref="O23:O30" si="71">P23*$U23</f>
        <v>4.3499999999999996</v>
      </c>
      <c r="P23" s="1245">
        <f>'Livestock GM - baseline'!BY43</f>
        <v>7.25</v>
      </c>
      <c r="Q23" s="323">
        <f t="shared" ref="Q23:Q30" si="72">R23*$U23</f>
        <v>0</v>
      </c>
      <c r="R23" s="1245">
        <f>'Livestock GM - baseline'!BY44</f>
        <v>0</v>
      </c>
      <c r="S23" s="323">
        <f t="shared" ref="S23:S30" si="73">T23*$U23</f>
        <v>6</v>
      </c>
      <c r="T23" s="1245">
        <f>'Livestock GM - baseline'!BY45</f>
        <v>10</v>
      </c>
      <c r="U23" s="1246">
        <f>'Livestock GM'!BY$10*'Livestock GM'!BY$11</f>
        <v>0.6</v>
      </c>
      <c r="V23" s="1247">
        <f>'Livestock GM'!BY$9</f>
        <v>5.97</v>
      </c>
      <c r="W23" s="1" t="s">
        <v>222</v>
      </c>
      <c r="X23" s="90">
        <v>0.51472991196816253</v>
      </c>
      <c r="Z23" s="241" t="s">
        <v>249</v>
      </c>
      <c r="AA23" s="316" t="str">
        <f>C23</f>
        <v>Upland breeding ewe</v>
      </c>
      <c r="AB23" s="625">
        <v>0</v>
      </c>
      <c r="AC23" s="317">
        <f t="shared" ref="AC23:AH23" si="74">E23</f>
        <v>338.31907499999994</v>
      </c>
      <c r="AD23" s="317">
        <f t="shared" si="74"/>
        <v>45.10920999999999</v>
      </c>
      <c r="AE23" s="317">
        <f t="shared" si="74"/>
        <v>552.06907499999988</v>
      </c>
      <c r="AF23" s="317">
        <f t="shared" si="74"/>
        <v>73.60920999999999</v>
      </c>
      <c r="AG23" s="317">
        <f t="shared" si="74"/>
        <v>213.75</v>
      </c>
      <c r="AH23" s="317">
        <f t="shared" si="74"/>
        <v>28.5</v>
      </c>
      <c r="AI23" s="317">
        <f t="shared" ref="AI23:AR30" si="75">K23</f>
        <v>6.75</v>
      </c>
      <c r="AJ23" s="317">
        <f t="shared" si="75"/>
        <v>11.25</v>
      </c>
      <c r="AK23" s="317">
        <f t="shared" si="75"/>
        <v>0</v>
      </c>
      <c r="AL23" s="317">
        <f t="shared" si="75"/>
        <v>0</v>
      </c>
      <c r="AM23" s="317">
        <f t="shared" si="75"/>
        <v>4.3499999999999996</v>
      </c>
      <c r="AN23" s="317">
        <f t="shared" si="75"/>
        <v>7.25</v>
      </c>
      <c r="AO23" s="317">
        <f t="shared" si="75"/>
        <v>0</v>
      </c>
      <c r="AP23" s="317">
        <f t="shared" si="75"/>
        <v>0</v>
      </c>
      <c r="AQ23" s="317">
        <f t="shared" si="75"/>
        <v>6</v>
      </c>
      <c r="AR23" s="317">
        <f t="shared" si="75"/>
        <v>10</v>
      </c>
      <c r="AS23" s="318">
        <f t="shared" ref="AS23:AT30" si="76">U23</f>
        <v>0.6</v>
      </c>
      <c r="AT23" s="330">
        <f t="shared" si="76"/>
        <v>5.97</v>
      </c>
    </row>
    <row r="24" spans="1:72" x14ac:dyDescent="0.25">
      <c r="B24" s="320" t="s">
        <v>251</v>
      </c>
      <c r="C24" s="300" t="s">
        <v>252</v>
      </c>
      <c r="D24" s="626">
        <v>0.10294598239363251</v>
      </c>
      <c r="E24" s="323">
        <f>'Livestock GM'!CD$50</f>
        <v>345.15</v>
      </c>
      <c r="F24" s="323">
        <f>'Livestock GM'!CD$49</f>
        <v>23.009999999999998</v>
      </c>
      <c r="G24" s="323">
        <f>'Livestock GM'!CD$38</f>
        <v>671.85</v>
      </c>
      <c r="H24" s="323">
        <f>'Livestock GM'!CD$37</f>
        <v>44.79</v>
      </c>
      <c r="I24" s="323">
        <f>'Livestock GM'!CD$47</f>
        <v>326.70000000000005</v>
      </c>
      <c r="J24" s="323">
        <f>'Livestock GM'!CD$46</f>
        <v>21.78</v>
      </c>
      <c r="K24" s="323">
        <f t="shared" si="69"/>
        <v>4.8599999999999994</v>
      </c>
      <c r="L24" s="323">
        <f>'Livestock GM - baseline'!CD41</f>
        <v>5.4</v>
      </c>
      <c r="M24" s="323">
        <f t="shared" si="70"/>
        <v>0</v>
      </c>
      <c r="N24" s="323">
        <f>'Livestock GM - baseline'!CD42</f>
        <v>0</v>
      </c>
      <c r="O24" s="323">
        <f t="shared" si="71"/>
        <v>4.05</v>
      </c>
      <c r="P24" s="323">
        <f>'Livestock GM - baseline'!CD43</f>
        <v>4.5</v>
      </c>
      <c r="Q24" s="323">
        <f t="shared" si="72"/>
        <v>0</v>
      </c>
      <c r="R24" s="323">
        <f>'Livestock GM - baseline'!CD44</f>
        <v>0</v>
      </c>
      <c r="S24" s="323">
        <f t="shared" si="73"/>
        <v>10.692</v>
      </c>
      <c r="T24" s="323">
        <f>'Livestock GM - baseline'!CD45</f>
        <v>11.88</v>
      </c>
      <c r="U24" s="324">
        <f>'Livestock GM'!CD$10*'Livestock GM'!CD$11</f>
        <v>0.89999999999999991</v>
      </c>
      <c r="V24" s="325">
        <f>'Livestock GM'!CD$9</f>
        <v>0.44560000000000005</v>
      </c>
      <c r="W24" s="1" t="s">
        <v>225</v>
      </c>
      <c r="X24" s="90">
        <v>0.48527008803183747</v>
      </c>
      <c r="Z24" s="320" t="s">
        <v>251</v>
      </c>
      <c r="AA24" s="300" t="str">
        <f t="shared" ref="AA24:AA30" si="77">C24</f>
        <v>Hill store lamb production from self-contained flock</v>
      </c>
      <c r="AB24" s="624">
        <v>0</v>
      </c>
      <c r="AC24" s="301">
        <f t="shared" ref="AC24:AC30" si="78">E24</f>
        <v>345.15</v>
      </c>
      <c r="AD24" s="301">
        <f t="shared" ref="AD24:AH30" si="79">F24</f>
        <v>23.009999999999998</v>
      </c>
      <c r="AE24" s="301">
        <f t="shared" si="79"/>
        <v>671.85</v>
      </c>
      <c r="AF24" s="301">
        <f t="shared" si="79"/>
        <v>44.79</v>
      </c>
      <c r="AG24" s="301">
        <f t="shared" si="79"/>
        <v>326.70000000000005</v>
      </c>
      <c r="AH24" s="301">
        <f t="shared" si="79"/>
        <v>21.78</v>
      </c>
      <c r="AI24" s="301">
        <f t="shared" si="75"/>
        <v>4.8599999999999994</v>
      </c>
      <c r="AJ24" s="301">
        <f t="shared" si="75"/>
        <v>5.4</v>
      </c>
      <c r="AK24" s="301">
        <f t="shared" si="75"/>
        <v>0</v>
      </c>
      <c r="AL24" s="301">
        <f t="shared" si="75"/>
        <v>0</v>
      </c>
      <c r="AM24" s="301">
        <f t="shared" si="75"/>
        <v>4.05</v>
      </c>
      <c r="AN24" s="301">
        <f t="shared" si="75"/>
        <v>4.5</v>
      </c>
      <c r="AO24" s="301">
        <f t="shared" si="75"/>
        <v>0</v>
      </c>
      <c r="AP24" s="301">
        <f t="shared" si="75"/>
        <v>0</v>
      </c>
      <c r="AQ24" s="301">
        <f t="shared" si="75"/>
        <v>10.692</v>
      </c>
      <c r="AR24" s="301">
        <f t="shared" si="75"/>
        <v>11.88</v>
      </c>
      <c r="AS24" s="321">
        <f t="shared" si="76"/>
        <v>0.89999999999999991</v>
      </c>
      <c r="AT24" s="329">
        <f t="shared" si="76"/>
        <v>0.44560000000000005</v>
      </c>
    </row>
    <row r="25" spans="1:72" x14ac:dyDescent="0.25">
      <c r="B25" s="320" t="s">
        <v>253</v>
      </c>
      <c r="C25" s="300" t="s">
        <v>254</v>
      </c>
      <c r="D25" s="626">
        <v>0.18559452489638695</v>
      </c>
      <c r="E25" s="323">
        <f>'Livestock GM'!AO$50</f>
        <v>261.30905059523803</v>
      </c>
      <c r="F25" s="323">
        <f>'Livestock GM'!AO$49</f>
        <v>209.04724047619044</v>
      </c>
      <c r="G25" s="323">
        <f>'Livestock GM'!AO$38</f>
        <v>531.74523809523805</v>
      </c>
      <c r="H25" s="323">
        <f>'Livestock GM'!AO$37</f>
        <v>425.39619047619044</v>
      </c>
      <c r="I25" s="323">
        <f>'Livestock GM'!AO$47</f>
        <v>270.43618750000002</v>
      </c>
      <c r="J25" s="323">
        <f>'Livestock GM'!AO$46</f>
        <v>216.34895</v>
      </c>
      <c r="K25" s="323">
        <f t="shared" si="69"/>
        <v>65.952140624999998</v>
      </c>
      <c r="L25" s="323">
        <f>'Livestock GM - baseline'!AO41</f>
        <v>70.348950000000002</v>
      </c>
      <c r="M25" s="323">
        <f t="shared" si="70"/>
        <v>20.625</v>
      </c>
      <c r="N25" s="323">
        <f>'Livestock GM - baseline'!AO42</f>
        <v>22</v>
      </c>
      <c r="O25" s="323">
        <f t="shared" si="71"/>
        <v>33.75</v>
      </c>
      <c r="P25" s="323">
        <f>'Livestock GM - baseline'!AO43</f>
        <v>36</v>
      </c>
      <c r="Q25" s="323">
        <f t="shared" si="72"/>
        <v>53.4375</v>
      </c>
      <c r="R25" s="323">
        <f>'Livestock GM - baseline'!AO44</f>
        <v>57</v>
      </c>
      <c r="S25" s="323">
        <f t="shared" si="73"/>
        <v>29.0625</v>
      </c>
      <c r="T25" s="323">
        <f>'Livestock GM - baseline'!AO45</f>
        <v>31</v>
      </c>
      <c r="U25" s="324">
        <f>'Livestock GM'!AO$10*'Livestock GM'!AO$11</f>
        <v>0.9375</v>
      </c>
      <c r="V25" s="325">
        <f>'Livestock GM'!AO$9</f>
        <v>71.126979000000006</v>
      </c>
      <c r="W25" s="1"/>
      <c r="X25" s="89"/>
      <c r="Y25" s="290"/>
      <c r="Z25" s="320" t="s">
        <v>253</v>
      </c>
      <c r="AA25" s="300" t="str">
        <f t="shared" si="77"/>
        <v>LFA Autumn Calving Suckler Cows</v>
      </c>
      <c r="AB25" s="624">
        <v>0</v>
      </c>
      <c r="AC25" s="301">
        <f t="shared" si="78"/>
        <v>261.30905059523803</v>
      </c>
      <c r="AD25" s="301">
        <f t="shared" si="79"/>
        <v>209.04724047619044</v>
      </c>
      <c r="AE25" s="301">
        <f t="shared" si="79"/>
        <v>531.74523809523805</v>
      </c>
      <c r="AF25" s="301">
        <f t="shared" si="79"/>
        <v>425.39619047619044</v>
      </c>
      <c r="AG25" s="301">
        <f t="shared" si="79"/>
        <v>270.43618750000002</v>
      </c>
      <c r="AH25" s="301">
        <f t="shared" si="79"/>
        <v>216.34895</v>
      </c>
      <c r="AI25" s="301">
        <f t="shared" si="75"/>
        <v>65.952140624999998</v>
      </c>
      <c r="AJ25" s="301">
        <f t="shared" si="75"/>
        <v>70.348950000000002</v>
      </c>
      <c r="AK25" s="301">
        <f t="shared" si="75"/>
        <v>20.625</v>
      </c>
      <c r="AL25" s="301">
        <f t="shared" si="75"/>
        <v>22</v>
      </c>
      <c r="AM25" s="301">
        <f t="shared" si="75"/>
        <v>33.75</v>
      </c>
      <c r="AN25" s="301">
        <f t="shared" si="75"/>
        <v>36</v>
      </c>
      <c r="AO25" s="301">
        <f t="shared" si="75"/>
        <v>53.4375</v>
      </c>
      <c r="AP25" s="301">
        <f t="shared" si="75"/>
        <v>57</v>
      </c>
      <c r="AQ25" s="301">
        <f t="shared" si="75"/>
        <v>29.0625</v>
      </c>
      <c r="AR25" s="301">
        <f t="shared" si="75"/>
        <v>31</v>
      </c>
      <c r="AS25" s="321">
        <f t="shared" si="76"/>
        <v>0.9375</v>
      </c>
      <c r="AT25" s="329">
        <f t="shared" si="76"/>
        <v>71.126979000000006</v>
      </c>
    </row>
    <row r="26" spans="1:72" x14ac:dyDescent="0.25">
      <c r="B26" s="320" t="s">
        <v>255</v>
      </c>
      <c r="C26" s="300" t="s">
        <v>256</v>
      </c>
      <c r="D26" s="626">
        <v>0.29967556313545052</v>
      </c>
      <c r="E26" s="323">
        <f>'Livestock GM'!AJ$50</f>
        <v>216.00533333333334</v>
      </c>
      <c r="F26" s="323">
        <f>'Livestock GM'!AJ$49</f>
        <v>135.00333333333333</v>
      </c>
      <c r="G26" s="323">
        <f>'Livestock GM'!AJ$38</f>
        <v>484.78933333333339</v>
      </c>
      <c r="H26" s="323">
        <f>'Livestock GM'!AJ$37</f>
        <v>302.99333333333334</v>
      </c>
      <c r="I26" s="323">
        <f>'Livestock GM'!AJ$47</f>
        <v>268.78400000000005</v>
      </c>
      <c r="J26" s="323">
        <f>'Livestock GM'!AJ$46</f>
        <v>167.99</v>
      </c>
      <c r="K26" s="323">
        <f t="shared" si="69"/>
        <v>50.388000000000012</v>
      </c>
      <c r="L26" s="323">
        <f>'Livestock GM - baseline'!AJ41</f>
        <v>41.99</v>
      </c>
      <c r="M26" s="323">
        <f t="shared" si="70"/>
        <v>16.800000000000004</v>
      </c>
      <c r="N26" s="323">
        <f>'Livestock GM - baseline'!AJ42</f>
        <v>14</v>
      </c>
      <c r="O26" s="323">
        <f t="shared" si="71"/>
        <v>40.800000000000004</v>
      </c>
      <c r="P26" s="323">
        <f>'Livestock GM - baseline'!AJ43</f>
        <v>34</v>
      </c>
      <c r="Q26" s="323">
        <f t="shared" si="72"/>
        <v>60.000000000000007</v>
      </c>
      <c r="R26" s="323">
        <f>'Livestock GM - baseline'!AJ44</f>
        <v>50</v>
      </c>
      <c r="S26" s="323">
        <f t="shared" si="73"/>
        <v>33.600000000000009</v>
      </c>
      <c r="T26" s="323">
        <f>'Livestock GM - baseline'!AJ45</f>
        <v>28</v>
      </c>
      <c r="U26" s="324">
        <f>'Livestock GM'!AJ$10*'Livestock GM'!AJ$11</f>
        <v>1.2000000000000002</v>
      </c>
      <c r="V26" s="325">
        <f>'Livestock GM'!AJ$9</f>
        <v>70.159800000000004</v>
      </c>
      <c r="W26" s="1"/>
      <c r="X26" s="1"/>
      <c r="Y26" s="290"/>
      <c r="Z26" s="320" t="s">
        <v>255</v>
      </c>
      <c r="AA26" s="300" t="str">
        <f t="shared" si="77"/>
        <v>LFA Spring Calving Suckler Cows</v>
      </c>
      <c r="AB26" s="624">
        <v>0</v>
      </c>
      <c r="AC26" s="301">
        <f t="shared" si="78"/>
        <v>216.00533333333334</v>
      </c>
      <c r="AD26" s="301">
        <f t="shared" si="79"/>
        <v>135.00333333333333</v>
      </c>
      <c r="AE26" s="301">
        <f t="shared" si="79"/>
        <v>484.78933333333339</v>
      </c>
      <c r="AF26" s="301">
        <f t="shared" si="79"/>
        <v>302.99333333333334</v>
      </c>
      <c r="AG26" s="301">
        <f t="shared" si="79"/>
        <v>268.78400000000005</v>
      </c>
      <c r="AH26" s="301">
        <f t="shared" si="79"/>
        <v>167.99</v>
      </c>
      <c r="AI26" s="301">
        <f t="shared" si="75"/>
        <v>50.388000000000012</v>
      </c>
      <c r="AJ26" s="301">
        <f t="shared" si="75"/>
        <v>41.99</v>
      </c>
      <c r="AK26" s="301">
        <f t="shared" si="75"/>
        <v>16.800000000000004</v>
      </c>
      <c r="AL26" s="301">
        <f t="shared" si="75"/>
        <v>14</v>
      </c>
      <c r="AM26" s="301">
        <f t="shared" si="75"/>
        <v>40.800000000000004</v>
      </c>
      <c r="AN26" s="301">
        <f t="shared" si="75"/>
        <v>34</v>
      </c>
      <c r="AO26" s="301">
        <f t="shared" si="75"/>
        <v>60.000000000000007</v>
      </c>
      <c r="AP26" s="301">
        <f t="shared" si="75"/>
        <v>50</v>
      </c>
      <c r="AQ26" s="301">
        <f t="shared" si="75"/>
        <v>33.600000000000009</v>
      </c>
      <c r="AR26" s="301">
        <f t="shared" si="75"/>
        <v>28</v>
      </c>
      <c r="AS26" s="321">
        <f t="shared" si="76"/>
        <v>1.2000000000000002</v>
      </c>
      <c r="AT26" s="329">
        <f t="shared" si="76"/>
        <v>70.159800000000004</v>
      </c>
    </row>
    <row r="27" spans="1:72" s="175" customFormat="1" ht="35.15" customHeight="1" x14ac:dyDescent="0.25">
      <c r="A27" s="339"/>
      <c r="B27" s="320" t="s">
        <v>257</v>
      </c>
      <c r="C27" s="322" t="s">
        <v>258</v>
      </c>
      <c r="D27" s="626">
        <v>0</v>
      </c>
      <c r="E27" s="323">
        <f>'Livestock GM'!BC$50</f>
        <v>118.99666666666661</v>
      </c>
      <c r="F27" s="323">
        <f>'Livestock GM'!BC$49</f>
        <v>118.99666666666661</v>
      </c>
      <c r="G27" s="323">
        <f>'Livestock GM'!BC$38</f>
        <v>284.35666666666663</v>
      </c>
      <c r="H27" s="323">
        <f>'Livestock GM'!BC$37</f>
        <v>284.35666666666663</v>
      </c>
      <c r="I27" s="323">
        <f>'Livestock GM'!BC$47</f>
        <v>165.36</v>
      </c>
      <c r="J27" s="323">
        <f>'Livestock GM'!BC$46</f>
        <v>165.36</v>
      </c>
      <c r="K27" s="323">
        <f t="shared" si="69"/>
        <v>28.288</v>
      </c>
      <c r="L27" s="323">
        <f>'Livestock GM - baseline'!BC41</f>
        <v>35.36</v>
      </c>
      <c r="M27" s="323">
        <f t="shared" si="70"/>
        <v>20</v>
      </c>
      <c r="N27" s="323">
        <f>'Livestock GM - baseline'!BC42</f>
        <v>25</v>
      </c>
      <c r="O27" s="323">
        <f t="shared" si="71"/>
        <v>24</v>
      </c>
      <c r="P27" s="323">
        <f>'Livestock GM - baseline'!BC43</f>
        <v>30</v>
      </c>
      <c r="Q27" s="323">
        <f t="shared" si="72"/>
        <v>48</v>
      </c>
      <c r="R27" s="323">
        <f>'Livestock GM - baseline'!BC44</f>
        <v>60</v>
      </c>
      <c r="S27" s="323">
        <f t="shared" si="73"/>
        <v>12</v>
      </c>
      <c r="T27" s="323">
        <f>'Livestock GM - baseline'!BC45</f>
        <v>15</v>
      </c>
      <c r="U27" s="324">
        <f>'Livestock GM'!BC$10*'Livestock GM'!BC$11</f>
        <v>0.8</v>
      </c>
      <c r="V27" s="325">
        <f>'Livestock GM'!BC$9</f>
        <v>57.307200000000002</v>
      </c>
      <c r="W27" s="130"/>
      <c r="X27" s="130"/>
      <c r="Y27" s="273"/>
      <c r="Z27" s="320" t="s">
        <v>257</v>
      </c>
      <c r="AA27" s="322" t="str">
        <f t="shared" si="77"/>
        <v>Hardy native breeds on the hill producing stores. Spring calving. Long horn, Shorthorn, Highland cattle.</v>
      </c>
      <c r="AB27" s="626">
        <v>0.25</v>
      </c>
      <c r="AC27" s="301">
        <f t="shared" si="78"/>
        <v>118.99666666666661</v>
      </c>
      <c r="AD27" s="301">
        <f t="shared" si="79"/>
        <v>118.99666666666661</v>
      </c>
      <c r="AE27" s="301">
        <f t="shared" si="79"/>
        <v>284.35666666666663</v>
      </c>
      <c r="AF27" s="301">
        <f t="shared" si="79"/>
        <v>284.35666666666663</v>
      </c>
      <c r="AG27" s="301">
        <f t="shared" si="79"/>
        <v>165.36</v>
      </c>
      <c r="AH27" s="301">
        <f t="shared" si="79"/>
        <v>165.36</v>
      </c>
      <c r="AI27" s="301">
        <f t="shared" si="75"/>
        <v>28.288</v>
      </c>
      <c r="AJ27" s="301">
        <f t="shared" si="75"/>
        <v>35.36</v>
      </c>
      <c r="AK27" s="301">
        <f t="shared" si="75"/>
        <v>20</v>
      </c>
      <c r="AL27" s="301">
        <f t="shared" si="75"/>
        <v>25</v>
      </c>
      <c r="AM27" s="301">
        <f t="shared" si="75"/>
        <v>24</v>
      </c>
      <c r="AN27" s="301">
        <f t="shared" si="75"/>
        <v>30</v>
      </c>
      <c r="AO27" s="301">
        <f t="shared" si="75"/>
        <v>48</v>
      </c>
      <c r="AP27" s="301">
        <f t="shared" si="75"/>
        <v>60</v>
      </c>
      <c r="AQ27" s="301">
        <f t="shared" si="75"/>
        <v>12</v>
      </c>
      <c r="AR27" s="301">
        <f t="shared" si="75"/>
        <v>15</v>
      </c>
      <c r="AS27" s="321">
        <f t="shared" si="76"/>
        <v>0.8</v>
      </c>
      <c r="AT27" s="329">
        <f t="shared" si="76"/>
        <v>57.307200000000002</v>
      </c>
      <c r="AU27" s="346"/>
      <c r="AV27" s="349"/>
    </row>
    <row r="28" spans="1:72" x14ac:dyDescent="0.25">
      <c r="B28" s="320" t="s">
        <v>259</v>
      </c>
      <c r="C28" s="300" t="s">
        <v>260</v>
      </c>
      <c r="D28" s="626">
        <v>0</v>
      </c>
      <c r="E28" s="323">
        <f>'Livestock GM'!BF$50</f>
        <v>378.77499999999998</v>
      </c>
      <c r="F28" s="323">
        <f>'Livestock GM'!BF$49</f>
        <v>303.02</v>
      </c>
      <c r="G28" s="323">
        <f>'Livestock GM'!BF$38</f>
        <v>595.77499999999998</v>
      </c>
      <c r="H28" s="323">
        <f>'Livestock GM'!BF$37</f>
        <v>476.62</v>
      </c>
      <c r="I28" s="323">
        <f>'Livestock GM'!BF$47</f>
        <v>217</v>
      </c>
      <c r="J28" s="323">
        <f>'Livestock GM'!BF$46</f>
        <v>173.6</v>
      </c>
      <c r="K28" s="323">
        <f t="shared" si="69"/>
        <v>75.599999999999994</v>
      </c>
      <c r="L28" s="323">
        <f>'Livestock GM - baseline'!BF41</f>
        <v>75.599999999999994</v>
      </c>
      <c r="M28" s="323">
        <f t="shared" si="70"/>
        <v>0</v>
      </c>
      <c r="N28" s="323">
        <f>'Livestock GM - baseline'!BF42</f>
        <v>0</v>
      </c>
      <c r="O28" s="323">
        <f t="shared" si="71"/>
        <v>14</v>
      </c>
      <c r="P28" s="323">
        <f>'Livestock GM - baseline'!BF43</f>
        <v>14</v>
      </c>
      <c r="Q28" s="323">
        <f t="shared" si="72"/>
        <v>48</v>
      </c>
      <c r="R28" s="323">
        <f>'Livestock GM - baseline'!BF44</f>
        <v>48</v>
      </c>
      <c r="S28" s="323">
        <f t="shared" si="73"/>
        <v>36</v>
      </c>
      <c r="T28" s="323">
        <f>'Livestock GM - baseline'!BF45</f>
        <v>36</v>
      </c>
      <c r="U28" s="324">
        <f>'Livestock GM'!BF$10*'Livestock GM'!BF$11</f>
        <v>1</v>
      </c>
      <c r="V28" s="325">
        <f>'Livestock GM'!BF$9</f>
        <v>23.231999999999999</v>
      </c>
      <c r="W28" s="1"/>
      <c r="X28" s="1"/>
      <c r="Y28" s="290"/>
      <c r="Z28" s="320" t="str">
        <f>B28</f>
        <v>BE</v>
      </c>
      <c r="AA28" s="300" t="str">
        <f t="shared" si="77"/>
        <v>Finishing progeny (stores) from hardy native breeds</v>
      </c>
      <c r="AB28" s="624">
        <v>0.25</v>
      </c>
      <c r="AC28" s="301">
        <f>E28</f>
        <v>378.77499999999998</v>
      </c>
      <c r="AD28" s="301">
        <f t="shared" si="79"/>
        <v>303.02</v>
      </c>
      <c r="AE28" s="301">
        <f t="shared" si="79"/>
        <v>595.77499999999998</v>
      </c>
      <c r="AF28" s="301">
        <f t="shared" si="79"/>
        <v>476.62</v>
      </c>
      <c r="AG28" s="301">
        <f t="shared" si="79"/>
        <v>217</v>
      </c>
      <c r="AH28" s="301">
        <f t="shared" si="79"/>
        <v>173.6</v>
      </c>
      <c r="AI28" s="301">
        <f t="shared" si="75"/>
        <v>75.599999999999994</v>
      </c>
      <c r="AJ28" s="301">
        <f t="shared" si="75"/>
        <v>75.599999999999994</v>
      </c>
      <c r="AK28" s="301">
        <f t="shared" si="75"/>
        <v>0</v>
      </c>
      <c r="AL28" s="301">
        <f t="shared" si="75"/>
        <v>0</v>
      </c>
      <c r="AM28" s="301">
        <f t="shared" si="75"/>
        <v>14</v>
      </c>
      <c r="AN28" s="301">
        <f t="shared" si="75"/>
        <v>14</v>
      </c>
      <c r="AO28" s="301">
        <f t="shared" si="75"/>
        <v>48</v>
      </c>
      <c r="AP28" s="301">
        <f t="shared" si="75"/>
        <v>48</v>
      </c>
      <c r="AQ28" s="301">
        <f t="shared" si="75"/>
        <v>36</v>
      </c>
      <c r="AR28" s="301">
        <f t="shared" si="75"/>
        <v>36</v>
      </c>
      <c r="AS28" s="321">
        <f t="shared" si="76"/>
        <v>1</v>
      </c>
      <c r="AT28" s="329">
        <f t="shared" si="76"/>
        <v>23.231999999999999</v>
      </c>
    </row>
    <row r="29" spans="1:72" x14ac:dyDescent="0.25">
      <c r="B29" s="320" t="s">
        <v>261</v>
      </c>
      <c r="C29" s="300" t="s">
        <v>262</v>
      </c>
      <c r="D29" s="626">
        <v>0</v>
      </c>
      <c r="E29" s="323">
        <f>'Livestock GM - baseline'!DI$50</f>
        <v>89.865614035087702</v>
      </c>
      <c r="F29" s="323">
        <f>'Livestock GM - baseline'!DI$49</f>
        <v>119.82081871345028</v>
      </c>
      <c r="G29" s="323">
        <f>'Livestock GM - baseline'!DI$38</f>
        <v>227.245</v>
      </c>
      <c r="H29" s="323">
        <f>'Livestock GM - baseline'!DI$37</f>
        <v>302.99333333333334</v>
      </c>
      <c r="I29" s="323">
        <f>'Livestock GM - baseline'!DI$47</f>
        <v>137.3793859649123</v>
      </c>
      <c r="J29" s="323">
        <f>'Livestock GM - baseline'!DI$46</f>
        <v>183.17251461988306</v>
      </c>
      <c r="K29" s="323">
        <f t="shared" si="69"/>
        <v>7.8125</v>
      </c>
      <c r="L29" s="323">
        <f>'Livestock GM - baseline'!DI42</f>
        <v>13.888888888888889</v>
      </c>
      <c r="M29" s="323">
        <f t="shared" si="70"/>
        <v>7.8125</v>
      </c>
      <c r="N29" s="323">
        <f>'Livestock GM - baseline'!DI42</f>
        <v>13.888888888888889</v>
      </c>
      <c r="O29" s="323">
        <f t="shared" si="71"/>
        <v>7.8125</v>
      </c>
      <c r="P29" s="323">
        <f>'Livestock GM - baseline'!DI42</f>
        <v>13.888888888888889</v>
      </c>
      <c r="Q29" s="323">
        <f t="shared" si="72"/>
        <v>7.8125</v>
      </c>
      <c r="R29" s="323">
        <f>'Livestock GM - baseline'!DI42</f>
        <v>13.888888888888889</v>
      </c>
      <c r="S29" s="323">
        <f t="shared" si="73"/>
        <v>7.8125</v>
      </c>
      <c r="T29" s="323">
        <f>'Livestock GM - baseline'!DI42</f>
        <v>13.888888888888889</v>
      </c>
      <c r="U29" s="324">
        <f>'Livestock GM - baseline'!DI$10*'Livestock GM - baseline'!DI$11</f>
        <v>0.5625</v>
      </c>
      <c r="V29" s="325">
        <f>'Livestock GM - baseline'!DI$9</f>
        <v>68.90789473684211</v>
      </c>
      <c r="W29" s="1"/>
      <c r="X29" s="1"/>
      <c r="Y29" s="290"/>
      <c r="Z29" s="320" t="str">
        <f t="shared" ref="Z29:Z30" si="80">B29</f>
        <v>DI</v>
      </c>
      <c r="AA29" s="300" t="str">
        <f t="shared" si="77"/>
        <v>Agroecological LFA suckler cows</v>
      </c>
      <c r="AB29" s="624">
        <v>0.25</v>
      </c>
      <c r="AC29" s="301">
        <f>E29</f>
        <v>89.865614035087702</v>
      </c>
      <c r="AD29" s="301">
        <f t="shared" si="79"/>
        <v>119.82081871345028</v>
      </c>
      <c r="AE29" s="301">
        <f t="shared" si="79"/>
        <v>227.245</v>
      </c>
      <c r="AF29" s="301">
        <f t="shared" si="79"/>
        <v>302.99333333333334</v>
      </c>
      <c r="AG29" s="301">
        <f t="shared" si="79"/>
        <v>137.3793859649123</v>
      </c>
      <c r="AH29" s="301">
        <f t="shared" si="79"/>
        <v>183.17251461988306</v>
      </c>
      <c r="AI29" s="301">
        <f t="shared" si="75"/>
        <v>7.8125</v>
      </c>
      <c r="AJ29" s="301">
        <f t="shared" si="75"/>
        <v>13.888888888888889</v>
      </c>
      <c r="AK29" s="301">
        <f t="shared" si="75"/>
        <v>7.8125</v>
      </c>
      <c r="AL29" s="301">
        <f t="shared" si="75"/>
        <v>13.888888888888889</v>
      </c>
      <c r="AM29" s="301">
        <f t="shared" si="75"/>
        <v>7.8125</v>
      </c>
      <c r="AN29" s="301">
        <f t="shared" si="75"/>
        <v>13.888888888888889</v>
      </c>
      <c r="AO29" s="301">
        <f t="shared" si="75"/>
        <v>7.8125</v>
      </c>
      <c r="AP29" s="301">
        <f t="shared" si="75"/>
        <v>13.888888888888889</v>
      </c>
      <c r="AQ29" s="301">
        <f t="shared" si="75"/>
        <v>7.8125</v>
      </c>
      <c r="AR29" s="301">
        <f t="shared" si="75"/>
        <v>13.888888888888889</v>
      </c>
      <c r="AS29" s="321">
        <f t="shared" si="76"/>
        <v>0.5625</v>
      </c>
      <c r="AT29" s="329">
        <f t="shared" si="76"/>
        <v>68.90789473684211</v>
      </c>
    </row>
    <row r="30" spans="1:72" x14ac:dyDescent="0.25">
      <c r="B30" s="320" t="s">
        <v>263</v>
      </c>
      <c r="C30" s="300" t="s">
        <v>264</v>
      </c>
      <c r="D30" s="626">
        <v>0</v>
      </c>
      <c r="E30" s="323">
        <f>'Livestock GM - baseline'!DR$50</f>
        <v>71.148102322048601</v>
      </c>
      <c r="F30" s="323">
        <f>'Livestock GM - baseline'!DR$49</f>
        <v>14.22962046440972</v>
      </c>
      <c r="G30" s="323">
        <f>'Livestock GM - baseline'!DR$38</f>
        <v>223.95</v>
      </c>
      <c r="H30" s="323">
        <f>'Livestock GM - baseline'!DR$37</f>
        <v>44.79</v>
      </c>
      <c r="I30" s="323">
        <f>'Livestock GM - baseline'!DR$47</f>
        <v>152.80189767795139</v>
      </c>
      <c r="J30" s="323">
        <f>'Livestock GM - baseline'!DR$46</f>
        <v>30.560379535590279</v>
      </c>
      <c r="K30" s="323">
        <f t="shared" si="69"/>
        <v>3.6</v>
      </c>
      <c r="L30" s="323">
        <f>'Livestock GM - baseline'!DR43</f>
        <v>9</v>
      </c>
      <c r="M30" s="323">
        <f t="shared" si="70"/>
        <v>3.6</v>
      </c>
      <c r="N30" s="323">
        <f>'Livestock GM - baseline'!DR43</f>
        <v>9</v>
      </c>
      <c r="O30" s="323">
        <f t="shared" si="71"/>
        <v>3.6</v>
      </c>
      <c r="P30" s="323">
        <f>'Livestock GM - baseline'!DR43</f>
        <v>9</v>
      </c>
      <c r="Q30" s="323">
        <f t="shared" si="72"/>
        <v>3.6</v>
      </c>
      <c r="R30" s="323">
        <f>'Livestock GM - baseline'!DR43</f>
        <v>9</v>
      </c>
      <c r="S30" s="323">
        <f t="shared" si="73"/>
        <v>3.6</v>
      </c>
      <c r="T30" s="323">
        <f>'Livestock GM - baseline'!DR43</f>
        <v>9</v>
      </c>
      <c r="U30" s="324">
        <f>'Livestock GM - baseline'!DR$10*'Livestock GM - baseline'!DR$11</f>
        <v>0.4</v>
      </c>
      <c r="V30" s="325">
        <f>'Livestock GM - baseline'!DR$9</f>
        <v>6.5360000000000005</v>
      </c>
      <c r="W30" s="1"/>
      <c r="X30" s="1"/>
      <c r="Y30" s="290"/>
      <c r="Z30" s="320" t="str">
        <f t="shared" si="80"/>
        <v>DR</v>
      </c>
      <c r="AA30" s="300" t="str">
        <f t="shared" si="77"/>
        <v>Agroecological LFA ewes</v>
      </c>
      <c r="AB30" s="624">
        <v>0.25</v>
      </c>
      <c r="AC30" s="301">
        <f t="shared" si="78"/>
        <v>71.148102322048601</v>
      </c>
      <c r="AD30" s="301">
        <f t="shared" si="79"/>
        <v>14.22962046440972</v>
      </c>
      <c r="AE30" s="301">
        <f t="shared" si="79"/>
        <v>223.95</v>
      </c>
      <c r="AF30" s="301">
        <f t="shared" si="79"/>
        <v>44.79</v>
      </c>
      <c r="AG30" s="301">
        <f t="shared" si="79"/>
        <v>152.80189767795139</v>
      </c>
      <c r="AH30" s="301">
        <f t="shared" si="79"/>
        <v>30.560379535590279</v>
      </c>
      <c r="AI30" s="301">
        <f t="shared" si="75"/>
        <v>3.6</v>
      </c>
      <c r="AJ30" s="301">
        <f t="shared" si="75"/>
        <v>9</v>
      </c>
      <c r="AK30" s="301">
        <f t="shared" si="75"/>
        <v>3.6</v>
      </c>
      <c r="AL30" s="301">
        <f t="shared" si="75"/>
        <v>9</v>
      </c>
      <c r="AM30" s="301">
        <f t="shared" si="75"/>
        <v>3.6</v>
      </c>
      <c r="AN30" s="301">
        <f t="shared" si="75"/>
        <v>9</v>
      </c>
      <c r="AO30" s="301">
        <f t="shared" si="75"/>
        <v>3.6</v>
      </c>
      <c r="AP30" s="301">
        <f t="shared" si="75"/>
        <v>9</v>
      </c>
      <c r="AQ30" s="301">
        <f t="shared" si="75"/>
        <v>3.6</v>
      </c>
      <c r="AR30" s="301">
        <f t="shared" si="75"/>
        <v>9</v>
      </c>
      <c r="AS30" s="321">
        <f t="shared" si="76"/>
        <v>0.4</v>
      </c>
      <c r="AT30" s="329">
        <f t="shared" si="76"/>
        <v>6.5360000000000005</v>
      </c>
    </row>
    <row r="31" spans="1:72" ht="11" thickBot="1" x14ac:dyDescent="0.3">
      <c r="B31" s="326"/>
      <c r="C31" s="300"/>
      <c r="D31" s="1"/>
      <c r="E31" s="1"/>
      <c r="F31" s="1"/>
      <c r="G31" s="1"/>
      <c r="H31" s="1"/>
      <c r="I31" s="1"/>
      <c r="J31" s="1"/>
      <c r="K31" s="1"/>
      <c r="L31" s="1"/>
      <c r="M31" s="1"/>
      <c r="N31" s="1"/>
      <c r="O31" s="1"/>
      <c r="P31" s="1"/>
      <c r="Q31" s="1"/>
      <c r="R31" s="1"/>
      <c r="S31" s="1"/>
      <c r="T31" s="1"/>
      <c r="U31" s="1"/>
      <c r="V31" s="6"/>
      <c r="W31" s="1"/>
      <c r="X31" s="1"/>
      <c r="Y31" s="290"/>
      <c r="Z31" s="327"/>
      <c r="AA31" s="331"/>
      <c r="AB31" s="332"/>
      <c r="AC31" s="332"/>
      <c r="AD31" s="332"/>
      <c r="AE31" s="332"/>
      <c r="AF31" s="332"/>
      <c r="AG31" s="332"/>
      <c r="AH31" s="332"/>
      <c r="AI31" s="1"/>
      <c r="AJ31" s="1"/>
      <c r="AK31" s="1"/>
      <c r="AL31" s="1"/>
      <c r="AM31" s="1"/>
      <c r="AN31" s="1"/>
      <c r="AO31" s="1"/>
      <c r="AP31" s="1"/>
      <c r="AQ31" s="1"/>
      <c r="AR31" s="1"/>
      <c r="AS31" s="332"/>
      <c r="AT31" s="333"/>
    </row>
    <row r="32" spans="1:72" ht="11" thickBot="1" x14ac:dyDescent="0.3">
      <c r="B32" s="328"/>
      <c r="C32" s="307" t="s">
        <v>246</v>
      </c>
      <c r="D32" s="308">
        <f>SUM(D23:D31)</f>
        <v>1</v>
      </c>
      <c r="E32" s="309">
        <f>SUMPRODUCT($D$23:$D$31,E23:E31)</f>
        <v>288.07521297995885</v>
      </c>
      <c r="F32" s="309"/>
      <c r="G32" s="309">
        <f t="shared" ref="G32:V32" si="81">SUMPRODUCT($D$23:$D$31,G23:G31)</f>
        <v>540.46595267016608</v>
      </c>
      <c r="H32" s="309"/>
      <c r="I32" s="309">
        <f>SUMPRODUCT($D$23:$D$31,I23:I31)</f>
        <v>252.3907396902072</v>
      </c>
      <c r="J32" s="309"/>
      <c r="K32" s="309">
        <f>SUMPRODUCT($D$23:$D$31,K23:K31)</f>
        <v>30.620267479526788</v>
      </c>
      <c r="L32" s="309"/>
      <c r="M32" s="309">
        <f>SUMPRODUCT($D$23:$D$31,M23:M31)</f>
        <v>8.8624365366635516</v>
      </c>
      <c r="N32" s="309"/>
      <c r="O32" s="309">
        <f>SUMPRODUCT($D$23:$D$31,O23:O31)</f>
        <v>20.698769513522858</v>
      </c>
      <c r="P32" s="309"/>
      <c r="Q32" s="309">
        <f>SUMPRODUCT($D$23:$D$31,Q23:Q31)</f>
        <v>27.898241212277711</v>
      </c>
      <c r="R32" s="309"/>
      <c r="S32" s="309">
        <f>SUMPRODUCT($D$23:$D$31,S23:S31)</f>
        <v>19.034341822352282</v>
      </c>
      <c r="T32" s="309"/>
      <c r="U32" s="309">
        <f t="shared" si="81"/>
        <v>0.8733272847518907</v>
      </c>
      <c r="V32" s="310">
        <f t="shared" si="81"/>
        <v>36.730178238605419</v>
      </c>
      <c r="W32" s="1"/>
      <c r="X32" s="1"/>
      <c r="Y32" s="290"/>
      <c r="Z32" s="328"/>
      <c r="AA32" s="307" t="s">
        <v>246</v>
      </c>
      <c r="AB32" s="308">
        <f>SUM(AB23:AB31)</f>
        <v>1</v>
      </c>
      <c r="AC32" s="309">
        <f>SUMPRODUCT($AB$23:$AB$30,AC23:AC30)</f>
        <v>164.69634575595074</v>
      </c>
      <c r="AD32" s="309"/>
      <c r="AE32" s="309">
        <f t="shared" ref="AE32:AT32" si="82">SUMPRODUCT($AB$23:$AB$30,AE23:AE30)</f>
        <v>332.83166666666665</v>
      </c>
      <c r="AF32" s="309"/>
      <c r="AG32" s="309">
        <f>SUMPRODUCT($AB$23:$AB$30,AG23:AG30)</f>
        <v>168.13532091071593</v>
      </c>
      <c r="AH32" s="309"/>
      <c r="AI32" s="309">
        <f>SUMPRODUCT($AB$23:$AB$30,AI23:AI30)</f>
        <v>28.825124999999996</v>
      </c>
      <c r="AJ32" s="309"/>
      <c r="AK32" s="309">
        <f>SUMPRODUCT($AB$23:$AB$30,AK23:AK30)</f>
        <v>7.8531250000000004</v>
      </c>
      <c r="AL32" s="309"/>
      <c r="AM32" s="309">
        <f>SUMPRODUCT($AB$23:$AB$30,AM23:AM30)</f>
        <v>12.353125</v>
      </c>
      <c r="AN32" s="309"/>
      <c r="AO32" s="309">
        <f>SUMPRODUCT($AB$23:$AB$30,AO23:AO30)</f>
        <v>26.853124999999999</v>
      </c>
      <c r="AP32" s="309"/>
      <c r="AQ32" s="309">
        <f>SUMPRODUCT($AB$23:$AB$30,AQ23:AQ30)</f>
        <v>14.853125</v>
      </c>
      <c r="AR32" s="309"/>
      <c r="AS32" s="309">
        <f t="shared" si="82"/>
        <v>0.69062499999999993</v>
      </c>
      <c r="AT32" s="310">
        <f t="shared" si="82"/>
        <v>38.995773684210526</v>
      </c>
    </row>
    <row r="33" spans="2:72" s="235" customFormat="1" x14ac:dyDescent="0.25">
      <c r="B33" s="343"/>
      <c r="C33" s="340"/>
      <c r="D33" s="344"/>
      <c r="E33" s="341"/>
      <c r="F33" s="341"/>
      <c r="G33" s="341"/>
      <c r="H33" s="341"/>
      <c r="I33" s="341"/>
      <c r="J33" s="341"/>
      <c r="K33" s="341"/>
      <c r="L33" s="341"/>
      <c r="M33" s="341"/>
      <c r="N33" s="341"/>
      <c r="O33" s="341"/>
      <c r="P33" s="341"/>
      <c r="Q33" s="341"/>
      <c r="R33" s="341"/>
      <c r="S33" s="341"/>
      <c r="T33" s="341"/>
      <c r="U33" s="290"/>
      <c r="V33" s="290"/>
      <c r="W33" s="290"/>
      <c r="X33" s="290"/>
      <c r="Y33" s="290"/>
      <c r="Z33" s="343"/>
      <c r="AA33" s="340"/>
      <c r="AB33" s="344"/>
      <c r="AC33" s="341"/>
      <c r="AD33" s="341"/>
      <c r="AE33" s="341"/>
      <c r="AF33" s="341"/>
      <c r="AG33" s="341"/>
      <c r="AH33" s="341"/>
      <c r="AI33" s="341"/>
      <c r="AJ33" s="341"/>
      <c r="AK33" s="341"/>
      <c r="AL33" s="341"/>
      <c r="AM33" s="341"/>
      <c r="AN33" s="341"/>
      <c r="AO33" s="341"/>
      <c r="AP33" s="341"/>
      <c r="AQ33" s="341"/>
      <c r="AR33" s="341"/>
      <c r="AS33" s="290"/>
      <c r="AT33" s="290"/>
      <c r="AU33" s="345"/>
      <c r="AV33" s="267"/>
      <c r="AW33" s="2"/>
      <c r="AX33" s="2"/>
      <c r="AY33" s="2"/>
      <c r="AZ33" s="2"/>
      <c r="BA33" s="2"/>
      <c r="BB33" s="2"/>
      <c r="BC33" s="2"/>
      <c r="BD33" s="2"/>
      <c r="BE33" s="2"/>
      <c r="BF33" s="2"/>
      <c r="BG33" s="2"/>
      <c r="BH33" s="2"/>
      <c r="BI33" s="2"/>
      <c r="BJ33" s="2"/>
      <c r="BK33" s="2"/>
      <c r="BL33" s="2"/>
      <c r="BM33" s="2"/>
      <c r="BN33" s="2"/>
      <c r="BO33" s="2"/>
      <c r="BP33" s="2"/>
      <c r="BQ33" s="2"/>
      <c r="BR33" s="2"/>
      <c r="BS33" s="2"/>
      <c r="BT33" s="2"/>
    </row>
    <row r="34" spans="2:72" s="235" customFormat="1" x14ac:dyDescent="0.25">
      <c r="B34" s="343"/>
      <c r="C34" s="340"/>
      <c r="D34" s="92"/>
      <c r="E34" s="341"/>
      <c r="F34" s="341"/>
      <c r="G34" s="341"/>
      <c r="H34" s="341"/>
      <c r="I34" s="341"/>
      <c r="J34" s="341"/>
      <c r="K34" s="341"/>
      <c r="L34" s="341"/>
      <c r="M34" s="341"/>
      <c r="N34" s="341"/>
      <c r="O34" s="341"/>
      <c r="P34" s="341"/>
      <c r="Q34" s="341"/>
      <c r="R34" s="341"/>
      <c r="S34" s="341"/>
      <c r="T34" s="341"/>
      <c r="U34" s="290"/>
      <c r="V34" s="290"/>
      <c r="W34" s="290"/>
      <c r="X34" s="290"/>
      <c r="Y34" s="290"/>
      <c r="Z34" s="343"/>
      <c r="AA34" s="340"/>
      <c r="AB34" s="92"/>
      <c r="AC34" s="341"/>
      <c r="AD34" s="341"/>
      <c r="AE34" s="341"/>
      <c r="AF34" s="341"/>
      <c r="AG34" s="341"/>
      <c r="AH34" s="341"/>
      <c r="AI34" s="341"/>
      <c r="AJ34" s="341"/>
      <c r="AK34" s="341"/>
      <c r="AL34" s="341"/>
      <c r="AM34" s="341"/>
      <c r="AN34" s="341"/>
      <c r="AO34" s="341"/>
      <c r="AP34" s="341"/>
      <c r="AQ34" s="341"/>
      <c r="AR34" s="341"/>
      <c r="AS34" s="290"/>
      <c r="AT34" s="290"/>
      <c r="AU34" s="345"/>
      <c r="AV34" s="267"/>
      <c r="AW34" s="2"/>
      <c r="AX34" s="2"/>
      <c r="AY34" s="2"/>
      <c r="AZ34" s="2"/>
      <c r="BA34" s="2"/>
      <c r="BB34" s="2"/>
      <c r="BC34" s="2"/>
      <c r="BD34" s="2"/>
      <c r="BE34" s="2"/>
      <c r="BF34" s="2"/>
      <c r="BG34" s="2"/>
      <c r="BH34" s="2"/>
      <c r="BI34" s="2"/>
      <c r="BJ34" s="2"/>
      <c r="BK34" s="2"/>
      <c r="BL34" s="2"/>
      <c r="BM34" s="2"/>
      <c r="BN34" s="2"/>
      <c r="BO34" s="2"/>
      <c r="BP34" s="2"/>
      <c r="BQ34" s="2"/>
      <c r="BR34" s="2"/>
      <c r="BS34" s="2"/>
      <c r="BT34" s="2"/>
    </row>
    <row r="35" spans="2:72" s="235" customFormat="1" ht="11" thickBot="1" x14ac:dyDescent="0.3">
      <c r="AU35" s="345"/>
      <c r="AV35" s="267"/>
      <c r="AW35" s="2"/>
      <c r="AX35" s="2"/>
      <c r="AY35" s="2"/>
      <c r="AZ35" s="2"/>
      <c r="BA35" s="2"/>
      <c r="BB35" s="2"/>
      <c r="BC35" s="2"/>
      <c r="BD35" s="2"/>
      <c r="BE35" s="2"/>
      <c r="BF35" s="2"/>
      <c r="BG35" s="2"/>
      <c r="BH35" s="2"/>
      <c r="BI35" s="2"/>
      <c r="BJ35" s="2"/>
      <c r="BK35" s="2"/>
      <c r="BL35" s="2"/>
      <c r="BM35" s="2"/>
      <c r="BN35" s="2"/>
      <c r="BO35" s="2"/>
      <c r="BP35" s="2"/>
      <c r="BQ35" s="2"/>
      <c r="BR35" s="2"/>
      <c r="BS35" s="2"/>
      <c r="BT35" s="2"/>
    </row>
    <row r="36" spans="2:72" ht="32" thickBot="1" x14ac:dyDescent="0.3">
      <c r="B36" s="311" t="s">
        <v>265</v>
      </c>
      <c r="C36" s="315"/>
      <c r="D36" s="313" t="s">
        <v>198</v>
      </c>
      <c r="E36" s="313" t="s">
        <v>199</v>
      </c>
      <c r="F36" s="313" t="s">
        <v>200</v>
      </c>
      <c r="G36" s="313" t="s">
        <v>201</v>
      </c>
      <c r="H36" s="313" t="s">
        <v>202</v>
      </c>
      <c r="I36" s="313" t="s">
        <v>203</v>
      </c>
      <c r="J36" s="313" t="s">
        <v>204</v>
      </c>
      <c r="K36" s="1166" t="s">
        <v>205</v>
      </c>
      <c r="L36" s="1166" t="s">
        <v>206</v>
      </c>
      <c r="M36" s="1166" t="s">
        <v>207</v>
      </c>
      <c r="N36" s="1166" t="s">
        <v>208</v>
      </c>
      <c r="O36" s="1166" t="s">
        <v>209</v>
      </c>
      <c r="P36" s="1166" t="s">
        <v>210</v>
      </c>
      <c r="Q36" s="1166" t="s">
        <v>211</v>
      </c>
      <c r="R36" s="1166" t="s">
        <v>212</v>
      </c>
      <c r="S36" s="1166" t="s">
        <v>213</v>
      </c>
      <c r="T36" s="1166" t="s">
        <v>214</v>
      </c>
      <c r="U36" s="313" t="s">
        <v>215</v>
      </c>
      <c r="V36" s="314" t="s">
        <v>216</v>
      </c>
      <c r="W36" s="3" t="s">
        <v>266</v>
      </c>
      <c r="X36" s="1"/>
      <c r="Z36" s="311" t="s">
        <v>265</v>
      </c>
      <c r="AA36" s="315"/>
      <c r="AB36" s="313" t="s">
        <v>198</v>
      </c>
      <c r="AC36" s="313" t="s">
        <v>199</v>
      </c>
      <c r="AD36" s="313" t="s">
        <v>200</v>
      </c>
      <c r="AE36" s="313" t="s">
        <v>201</v>
      </c>
      <c r="AF36" s="313" t="s">
        <v>202</v>
      </c>
      <c r="AG36" s="313" t="s">
        <v>203</v>
      </c>
      <c r="AH36" s="313" t="s">
        <v>204</v>
      </c>
      <c r="AI36" s="1166" t="s">
        <v>205</v>
      </c>
      <c r="AJ36" s="1166" t="s">
        <v>206</v>
      </c>
      <c r="AK36" s="1166" t="s">
        <v>207</v>
      </c>
      <c r="AL36" s="1166" t="s">
        <v>208</v>
      </c>
      <c r="AM36" s="1166" t="s">
        <v>209</v>
      </c>
      <c r="AN36" s="1166" t="s">
        <v>210</v>
      </c>
      <c r="AO36" s="1166" t="s">
        <v>211</v>
      </c>
      <c r="AP36" s="1166" t="s">
        <v>212</v>
      </c>
      <c r="AQ36" s="1166" t="s">
        <v>213</v>
      </c>
      <c r="AR36" s="1166" t="s">
        <v>214</v>
      </c>
      <c r="AS36" s="313" t="s">
        <v>215</v>
      </c>
      <c r="AT36" s="314" t="s">
        <v>216</v>
      </c>
    </row>
    <row r="37" spans="2:72" ht="11.15" customHeight="1" x14ac:dyDescent="0.25">
      <c r="B37" s="320" t="s">
        <v>267</v>
      </c>
      <c r="C37" s="300" t="s">
        <v>268</v>
      </c>
      <c r="D37" s="624">
        <v>0.64124999999999999</v>
      </c>
      <c r="E37" s="301">
        <f>'Livestock GM'!DY41</f>
        <v>2561.6383333333329</v>
      </c>
      <c r="F37" s="301">
        <f>'Livestock GM'!DY40</f>
        <v>1219.8277777777776</v>
      </c>
      <c r="G37" s="301">
        <f>'Livestock GM'!DY24</f>
        <v>4487.3383333333331</v>
      </c>
      <c r="H37" s="301">
        <f>'Livestock GM'!DY23</f>
        <v>2136.8277777777776</v>
      </c>
      <c r="I37" s="301">
        <f>'Livestock GM'!DY38</f>
        <v>1925.7</v>
      </c>
      <c r="J37" s="323">
        <f>'Livestock GM'!$DY$37</f>
        <v>917</v>
      </c>
      <c r="K37" s="323">
        <f t="shared" ref="K37:K43" si="83">L37*$U37</f>
        <v>1283.1000000000001</v>
      </c>
      <c r="L37" s="323">
        <f>'Livestock GM'!$DY$31</f>
        <v>611</v>
      </c>
      <c r="M37" s="323">
        <f t="shared" ref="M37:M43" si="84">N37*$U37</f>
        <v>0</v>
      </c>
      <c r="N37" s="323"/>
      <c r="O37" s="323">
        <f t="shared" ref="O37:O43" si="85">P37*$U37</f>
        <v>168</v>
      </c>
      <c r="P37" s="323">
        <f>'Livestock GM'!$DY$33</f>
        <v>80</v>
      </c>
      <c r="Q37" s="323">
        <f t="shared" ref="Q37:Q43" si="86">R37*$U37</f>
        <v>134.4</v>
      </c>
      <c r="R37" s="323">
        <f>'Livestock GM'!$DY$34</f>
        <v>64</v>
      </c>
      <c r="S37" s="323">
        <f t="shared" ref="S37:S43" si="87">T37*$U37</f>
        <v>0</v>
      </c>
      <c r="T37" s="323"/>
      <c r="U37" s="321">
        <f>'Livestock GM'!DY45</f>
        <v>2.1</v>
      </c>
      <c r="V37" s="329">
        <f>'Livestock GM'!DY53</f>
        <v>37.056666666666665</v>
      </c>
      <c r="W37" s="1" t="s">
        <v>269</v>
      </c>
      <c r="X37" s="1"/>
      <c r="Z37" s="241" t="s">
        <v>267</v>
      </c>
      <c r="AA37" s="316" t="str">
        <f>C37</f>
        <v>Dairy Cows - Holstein</v>
      </c>
      <c r="AB37" s="625">
        <v>0</v>
      </c>
      <c r="AC37" s="317">
        <f t="shared" ref="AC37:AG37" si="88">E37</f>
        <v>2561.6383333333329</v>
      </c>
      <c r="AD37" s="317">
        <f t="shared" si="88"/>
        <v>1219.8277777777776</v>
      </c>
      <c r="AE37" s="317">
        <f t="shared" si="88"/>
        <v>4487.3383333333331</v>
      </c>
      <c r="AF37" s="317">
        <f t="shared" si="88"/>
        <v>2136.8277777777776</v>
      </c>
      <c r="AG37" s="317">
        <f t="shared" si="88"/>
        <v>1925.7</v>
      </c>
      <c r="AH37" s="317">
        <f t="shared" ref="AH37:AR37" si="89">J37</f>
        <v>917</v>
      </c>
      <c r="AI37" s="317">
        <f t="shared" si="89"/>
        <v>1283.1000000000001</v>
      </c>
      <c r="AJ37" s="317">
        <f t="shared" si="89"/>
        <v>611</v>
      </c>
      <c r="AK37" s="317">
        <f t="shared" si="89"/>
        <v>0</v>
      </c>
      <c r="AL37" s="317">
        <f t="shared" si="89"/>
        <v>0</v>
      </c>
      <c r="AM37" s="317">
        <f t="shared" si="89"/>
        <v>168</v>
      </c>
      <c r="AN37" s="317">
        <f t="shared" si="89"/>
        <v>80</v>
      </c>
      <c r="AO37" s="317">
        <f t="shared" si="89"/>
        <v>134.4</v>
      </c>
      <c r="AP37" s="317">
        <f t="shared" si="89"/>
        <v>64</v>
      </c>
      <c r="AQ37" s="317">
        <f t="shared" si="89"/>
        <v>0</v>
      </c>
      <c r="AR37" s="317">
        <f t="shared" si="89"/>
        <v>0</v>
      </c>
      <c r="AS37" s="318">
        <f t="shared" ref="AS37:AT43" si="90">U37</f>
        <v>2.1</v>
      </c>
      <c r="AT37" s="330">
        <f t="shared" si="90"/>
        <v>37.056666666666665</v>
      </c>
    </row>
    <row r="38" spans="2:72" x14ac:dyDescent="0.25">
      <c r="B38" s="320" t="s">
        <v>270</v>
      </c>
      <c r="C38" s="300" t="s">
        <v>271</v>
      </c>
      <c r="D38" s="627">
        <v>7.1249999999999994E-2</v>
      </c>
      <c r="E38" s="301">
        <f>'Livestock GM'!ED41</f>
        <v>3023.3791756854262</v>
      </c>
      <c r="F38" s="301">
        <f>'Livestock GM'!ED40</f>
        <v>1209.3516702741704</v>
      </c>
      <c r="G38" s="301">
        <f>'Livestock GM'!ED24</f>
        <v>4582.2791756854258</v>
      </c>
      <c r="H38" s="301">
        <f>'Livestock GM'!ED23</f>
        <v>1832.9116702741703</v>
      </c>
      <c r="I38" s="301">
        <f>'Livestock GM'!ED38</f>
        <v>1558.8999999999999</v>
      </c>
      <c r="J38" s="323">
        <f>'Livestock GM'!$ED$37</f>
        <v>623.55999999999995</v>
      </c>
      <c r="K38" s="323">
        <f t="shared" si="83"/>
        <v>910.36799999999994</v>
      </c>
      <c r="L38" s="323">
        <f>'Livestock GM'!$ED$31</f>
        <v>418.56</v>
      </c>
      <c r="M38" s="323">
        <f t="shared" si="84"/>
        <v>0</v>
      </c>
      <c r="N38" s="323"/>
      <c r="O38" s="323">
        <f t="shared" si="85"/>
        <v>91.35</v>
      </c>
      <c r="P38" s="323">
        <f>'Livestock GM'!$ED$33</f>
        <v>42</v>
      </c>
      <c r="Q38" s="323">
        <f t="shared" si="86"/>
        <v>95.699999999999989</v>
      </c>
      <c r="R38" s="323">
        <f>'Livestock GM'!$ED$34</f>
        <v>44</v>
      </c>
      <c r="S38" s="323">
        <f t="shared" si="87"/>
        <v>0</v>
      </c>
      <c r="T38" s="323"/>
      <c r="U38" s="321">
        <f>'Livestock GM'!ED45</f>
        <v>2.1749999999999998</v>
      </c>
      <c r="V38" s="329">
        <f>'Livestock GM'!ED53</f>
        <v>33.078533333333333</v>
      </c>
      <c r="W38" s="1" t="s">
        <v>272</v>
      </c>
      <c r="Z38" s="320" t="s">
        <v>270</v>
      </c>
      <c r="AA38" s="300" t="str">
        <f t="shared" ref="AA38:AA43" si="91">C38</f>
        <v>Dairy Cows - Channel Island</v>
      </c>
      <c r="AB38" s="627">
        <v>0</v>
      </c>
      <c r="AC38" s="301">
        <f t="shared" ref="AC38:AC43" si="92">E38</f>
        <v>3023.3791756854262</v>
      </c>
      <c r="AD38" s="301">
        <f t="shared" ref="AD38:AH43" si="93">F38</f>
        <v>1209.3516702741704</v>
      </c>
      <c r="AE38" s="301">
        <f t="shared" si="93"/>
        <v>4582.2791756854258</v>
      </c>
      <c r="AF38" s="301">
        <f t="shared" si="93"/>
        <v>1832.9116702741703</v>
      </c>
      <c r="AG38" s="301">
        <f t="shared" si="93"/>
        <v>1558.8999999999999</v>
      </c>
      <c r="AH38" s="301">
        <f t="shared" si="93"/>
        <v>623.55999999999995</v>
      </c>
      <c r="AI38" s="301">
        <f t="shared" ref="AI38:AR43" si="94">K38</f>
        <v>910.36799999999994</v>
      </c>
      <c r="AJ38" s="301">
        <f t="shared" si="94"/>
        <v>418.56</v>
      </c>
      <c r="AK38" s="301">
        <f t="shared" si="94"/>
        <v>0</v>
      </c>
      <c r="AL38" s="301">
        <f t="shared" si="94"/>
        <v>0</v>
      </c>
      <c r="AM38" s="301">
        <f t="shared" si="94"/>
        <v>91.35</v>
      </c>
      <c r="AN38" s="301">
        <f t="shared" si="94"/>
        <v>42</v>
      </c>
      <c r="AO38" s="301">
        <f t="shared" si="94"/>
        <v>95.699999999999989</v>
      </c>
      <c r="AP38" s="301">
        <f t="shared" si="94"/>
        <v>44</v>
      </c>
      <c r="AQ38" s="301">
        <f t="shared" si="94"/>
        <v>0</v>
      </c>
      <c r="AR38" s="301">
        <f t="shared" si="94"/>
        <v>0</v>
      </c>
      <c r="AS38" s="321">
        <f t="shared" si="90"/>
        <v>2.1749999999999998</v>
      </c>
      <c r="AT38" s="329">
        <f t="shared" si="90"/>
        <v>33.078533333333333</v>
      </c>
    </row>
    <row r="39" spans="2:72" ht="11.5" customHeight="1" x14ac:dyDescent="0.25">
      <c r="B39" s="320" t="s">
        <v>273</v>
      </c>
      <c r="C39" s="300" t="s">
        <v>274</v>
      </c>
      <c r="D39" s="627">
        <v>0.23749999999999999</v>
      </c>
      <c r="E39" s="301">
        <f>'Livestock GM'!F$50</f>
        <v>1117.4151519999998</v>
      </c>
      <c r="F39" s="301">
        <f>'Livestock GM'!F$49</f>
        <v>798.15367999999989</v>
      </c>
      <c r="G39" s="301">
        <f>'Livestock GM'!F$38</f>
        <v>1738.5899999999997</v>
      </c>
      <c r="H39" s="301">
        <f>'Livestock GM'!F$37</f>
        <v>1241.8499999999999</v>
      </c>
      <c r="I39" s="301">
        <f>'Livestock GM'!F$47</f>
        <v>621.174848</v>
      </c>
      <c r="J39" s="323">
        <f>'Livestock GM'!$F46</f>
        <v>443.69632000000001</v>
      </c>
      <c r="K39" s="323">
        <f t="shared" si="83"/>
        <v>257.27959263999998</v>
      </c>
      <c r="L39" s="323">
        <f>'Livestock GM'!$F41</f>
        <v>307.99632000000003</v>
      </c>
      <c r="M39" s="323">
        <f t="shared" si="84"/>
        <v>0</v>
      </c>
      <c r="N39" s="323">
        <f>'Livestock GM'!$F42</f>
        <v>0</v>
      </c>
      <c r="O39" s="323">
        <f t="shared" si="85"/>
        <v>23.389333333333333</v>
      </c>
      <c r="P39" s="323">
        <f>'Livestock GM'!$F43</f>
        <v>28</v>
      </c>
      <c r="Q39" s="323">
        <f t="shared" si="86"/>
        <v>74.929400000000001</v>
      </c>
      <c r="R39" s="323">
        <f>'Livestock GM'!$F44</f>
        <v>89.7</v>
      </c>
      <c r="S39" s="323">
        <f t="shared" si="87"/>
        <v>15.035999999999998</v>
      </c>
      <c r="T39" s="323">
        <f>'Livestock GM'!$F45</f>
        <v>18</v>
      </c>
      <c r="U39" s="321">
        <f>'Livestock GM'!F$10*'Livestock GM'!F$11</f>
        <v>0.83533333333333326</v>
      </c>
      <c r="V39" s="303">
        <f>'Livestock GM'!F$9</f>
        <v>15.673926400000001</v>
      </c>
      <c r="W39" s="93" t="s">
        <v>275</v>
      </c>
      <c r="Z39" s="320" t="s">
        <v>273</v>
      </c>
      <c r="AA39" s="300" t="str">
        <f t="shared" si="91"/>
        <v>Dairy replacements – Holstein</v>
      </c>
      <c r="AB39" s="627">
        <v>0</v>
      </c>
      <c r="AC39" s="301">
        <f t="shared" si="92"/>
        <v>1117.4151519999998</v>
      </c>
      <c r="AD39" s="301">
        <f t="shared" si="93"/>
        <v>798.15367999999989</v>
      </c>
      <c r="AE39" s="301">
        <f t="shared" si="93"/>
        <v>1738.5899999999997</v>
      </c>
      <c r="AF39" s="301">
        <f t="shared" si="93"/>
        <v>1241.8499999999999</v>
      </c>
      <c r="AG39" s="301">
        <f t="shared" si="93"/>
        <v>621.174848</v>
      </c>
      <c r="AH39" s="301">
        <f t="shared" si="93"/>
        <v>443.69632000000001</v>
      </c>
      <c r="AI39" s="301">
        <f t="shared" si="94"/>
        <v>257.27959263999998</v>
      </c>
      <c r="AJ39" s="301">
        <f t="shared" si="94"/>
        <v>307.99632000000003</v>
      </c>
      <c r="AK39" s="301">
        <f t="shared" si="94"/>
        <v>0</v>
      </c>
      <c r="AL39" s="301">
        <f t="shared" si="94"/>
        <v>0</v>
      </c>
      <c r="AM39" s="301">
        <f t="shared" si="94"/>
        <v>23.389333333333333</v>
      </c>
      <c r="AN39" s="301">
        <f t="shared" si="94"/>
        <v>28</v>
      </c>
      <c r="AO39" s="301">
        <f t="shared" si="94"/>
        <v>74.929400000000001</v>
      </c>
      <c r="AP39" s="301">
        <f t="shared" si="94"/>
        <v>89.7</v>
      </c>
      <c r="AQ39" s="301">
        <f t="shared" si="94"/>
        <v>15.035999999999998</v>
      </c>
      <c r="AR39" s="301">
        <f t="shared" si="94"/>
        <v>18</v>
      </c>
      <c r="AS39" s="321">
        <f t="shared" si="90"/>
        <v>0.83533333333333326</v>
      </c>
      <c r="AT39" s="329">
        <f t="shared" si="90"/>
        <v>15.673926400000001</v>
      </c>
    </row>
    <row r="40" spans="2:72" x14ac:dyDescent="0.25">
      <c r="B40" s="320" t="s">
        <v>232</v>
      </c>
      <c r="C40" s="300" t="s">
        <v>233</v>
      </c>
      <c r="D40" s="624">
        <v>0.05</v>
      </c>
      <c r="E40" s="301">
        <f>'Livestock GM'!P$50</f>
        <v>687.31499999999994</v>
      </c>
      <c r="F40" s="301">
        <f>'Livestock GM'!P$49</f>
        <v>229.10499999999999</v>
      </c>
      <c r="G40" s="301">
        <f>'Livestock GM'!P$38</f>
        <v>1002.765</v>
      </c>
      <c r="H40" s="301">
        <f>'Livestock GM'!P$37</f>
        <v>334.255</v>
      </c>
      <c r="I40" s="301">
        <f>'Livestock GM'!P$47</f>
        <v>315.45000000000005</v>
      </c>
      <c r="J40" s="323">
        <f>'Livestock GM'!$P$46</f>
        <v>105.15</v>
      </c>
      <c r="K40" s="323">
        <f t="shared" si="83"/>
        <v>128.99250000000004</v>
      </c>
      <c r="L40" s="323">
        <f>'Livestock GM'!$P$41</f>
        <v>66.150000000000006</v>
      </c>
      <c r="M40" s="323">
        <f t="shared" si="84"/>
        <v>0</v>
      </c>
      <c r="N40" s="323">
        <f>'Livestock GM'!$P$42</f>
        <v>0</v>
      </c>
      <c r="O40" s="323">
        <f t="shared" si="85"/>
        <v>29.250000000000004</v>
      </c>
      <c r="P40" s="323">
        <f>'Livestock GM'!$P$43</f>
        <v>15</v>
      </c>
      <c r="Q40" s="323">
        <f t="shared" si="86"/>
        <v>0</v>
      </c>
      <c r="R40" s="323">
        <f>'Livestock GM'!$P$44</f>
        <v>0</v>
      </c>
      <c r="S40" s="323">
        <f t="shared" si="87"/>
        <v>46.800000000000004</v>
      </c>
      <c r="T40" s="323">
        <f>'Livestock GM'!$P$45</f>
        <v>24</v>
      </c>
      <c r="U40" s="321">
        <f>'Livestock GM'!P$10*'Livestock GM'!P$11</f>
        <v>1.9500000000000002</v>
      </c>
      <c r="V40" s="303">
        <f>'Livestock GM'!P$9</f>
        <v>32.343000000000004</v>
      </c>
      <c r="W40" s="1"/>
      <c r="Z40" s="320" t="s">
        <v>232</v>
      </c>
      <c r="AA40" s="300" t="str">
        <f t="shared" si="91"/>
        <v>18 to 20 month beef from dairy bred calves</v>
      </c>
      <c r="AB40" s="624">
        <v>0</v>
      </c>
      <c r="AC40" s="301">
        <f t="shared" si="92"/>
        <v>687.31499999999994</v>
      </c>
      <c r="AD40" s="301">
        <f t="shared" si="93"/>
        <v>229.10499999999999</v>
      </c>
      <c r="AE40" s="301">
        <f t="shared" si="93"/>
        <v>1002.765</v>
      </c>
      <c r="AF40" s="301">
        <f t="shared" si="93"/>
        <v>334.255</v>
      </c>
      <c r="AG40" s="301">
        <f t="shared" si="93"/>
        <v>315.45000000000005</v>
      </c>
      <c r="AH40" s="301">
        <f t="shared" si="93"/>
        <v>105.15</v>
      </c>
      <c r="AI40" s="301">
        <f t="shared" si="94"/>
        <v>128.99250000000004</v>
      </c>
      <c r="AJ40" s="301">
        <f t="shared" si="94"/>
        <v>66.150000000000006</v>
      </c>
      <c r="AK40" s="301">
        <f t="shared" si="94"/>
        <v>0</v>
      </c>
      <c r="AL40" s="301">
        <f t="shared" si="94"/>
        <v>0</v>
      </c>
      <c r="AM40" s="301">
        <f t="shared" si="94"/>
        <v>29.250000000000004</v>
      </c>
      <c r="AN40" s="301">
        <f t="shared" si="94"/>
        <v>15</v>
      </c>
      <c r="AO40" s="301">
        <f t="shared" si="94"/>
        <v>0</v>
      </c>
      <c r="AP40" s="301">
        <f t="shared" si="94"/>
        <v>0</v>
      </c>
      <c r="AQ40" s="301">
        <f t="shared" si="94"/>
        <v>46.800000000000004</v>
      </c>
      <c r="AR40" s="301">
        <f t="shared" si="94"/>
        <v>24</v>
      </c>
      <c r="AS40" s="321">
        <f t="shared" si="90"/>
        <v>1.9500000000000002</v>
      </c>
      <c r="AT40" s="329">
        <f t="shared" si="90"/>
        <v>32.343000000000004</v>
      </c>
    </row>
    <row r="41" spans="2:72" x14ac:dyDescent="0.25">
      <c r="B41" s="320" t="s">
        <v>276</v>
      </c>
      <c r="C41" s="300" t="s">
        <v>277</v>
      </c>
      <c r="D41" s="624">
        <v>0</v>
      </c>
      <c r="E41" s="301">
        <f>'Livestock GM - baseline'!CZ$50</f>
        <v>1932.562947882185</v>
      </c>
      <c r="F41" s="301">
        <f>'Livestock GM - baseline'!CZ$49</f>
        <v>1189.2695063890369</v>
      </c>
      <c r="G41" s="301">
        <f>'Livestock GM - baseline'!CZ$38</f>
        <v>2656.875</v>
      </c>
      <c r="H41" s="301">
        <f>'Livestock GM - baseline'!CZ$37</f>
        <v>1635</v>
      </c>
      <c r="I41" s="301">
        <f>'Livestock GM - baseline'!CZ$47</f>
        <v>724.3120521178148</v>
      </c>
      <c r="J41" s="323">
        <f>'Livestock GM - baseline'!$CZ$46</f>
        <v>445.73049361096298</v>
      </c>
      <c r="K41" s="323">
        <f t="shared" si="83"/>
        <v>361.9370521178148</v>
      </c>
      <c r="L41" s="323">
        <f>'Livestock GM - baseline'!$CZ$41</f>
        <v>222.73049361096295</v>
      </c>
      <c r="M41" s="323">
        <f t="shared" si="84"/>
        <v>37.375</v>
      </c>
      <c r="N41" s="323">
        <f>'Livestock GM - baseline'!$CZ$42</f>
        <v>23</v>
      </c>
      <c r="O41" s="323">
        <f t="shared" si="85"/>
        <v>58.5</v>
      </c>
      <c r="P41" s="323">
        <f>'Livestock GM - baseline'!$CZ$43</f>
        <v>36</v>
      </c>
      <c r="Q41" s="323">
        <f t="shared" si="86"/>
        <v>121.875</v>
      </c>
      <c r="R41" s="323">
        <f>'Livestock GM - baseline'!$CZ$44</f>
        <v>75</v>
      </c>
      <c r="S41" s="323">
        <f t="shared" si="87"/>
        <v>144.625</v>
      </c>
      <c r="T41" s="323">
        <f>'Livestock GM - baseline'!$CZ$45</f>
        <v>89</v>
      </c>
      <c r="U41" s="321">
        <f>'Livestock GM - baseline'!CZ$10*'Livestock GM - baseline'!CZ$11</f>
        <v>1.625</v>
      </c>
      <c r="V41" s="303">
        <f>'Livestock GM - baseline'!CZ$9</f>
        <v>68.914609872219259</v>
      </c>
      <c r="W41" s="1"/>
      <c r="Z41" s="320" t="str">
        <f>B41</f>
        <v>CZ</v>
      </c>
      <c r="AA41" s="300" t="str">
        <f>C41</f>
        <v>Agroecological dairy cows</v>
      </c>
      <c r="AB41" s="624">
        <v>0.65</v>
      </c>
      <c r="AC41" s="301">
        <f t="shared" ref="AC41:AH41" si="95">E41</f>
        <v>1932.562947882185</v>
      </c>
      <c r="AD41" s="301">
        <f t="shared" si="95"/>
        <v>1189.2695063890369</v>
      </c>
      <c r="AE41" s="301">
        <f t="shared" si="95"/>
        <v>2656.875</v>
      </c>
      <c r="AF41" s="301">
        <f t="shared" si="95"/>
        <v>1635</v>
      </c>
      <c r="AG41" s="301">
        <f t="shared" si="95"/>
        <v>724.3120521178148</v>
      </c>
      <c r="AH41" s="301">
        <f t="shared" si="95"/>
        <v>445.73049361096298</v>
      </c>
      <c r="AI41" s="301">
        <f t="shared" si="94"/>
        <v>361.9370521178148</v>
      </c>
      <c r="AJ41" s="301">
        <f t="shared" si="94"/>
        <v>222.73049361096295</v>
      </c>
      <c r="AK41" s="301">
        <f t="shared" si="94"/>
        <v>37.375</v>
      </c>
      <c r="AL41" s="301">
        <f t="shared" si="94"/>
        <v>23</v>
      </c>
      <c r="AM41" s="301">
        <f t="shared" si="94"/>
        <v>58.5</v>
      </c>
      <c r="AN41" s="301">
        <f t="shared" si="94"/>
        <v>36</v>
      </c>
      <c r="AO41" s="301">
        <f t="shared" si="94"/>
        <v>121.875</v>
      </c>
      <c r="AP41" s="301">
        <f t="shared" si="94"/>
        <v>75</v>
      </c>
      <c r="AQ41" s="301">
        <f t="shared" si="94"/>
        <v>144.625</v>
      </c>
      <c r="AR41" s="301">
        <f t="shared" si="94"/>
        <v>89</v>
      </c>
      <c r="AS41" s="321">
        <f>U41</f>
        <v>1.625</v>
      </c>
      <c r="AT41" s="329">
        <f>V41</f>
        <v>68.914609872219259</v>
      </c>
    </row>
    <row r="42" spans="2:72" x14ac:dyDescent="0.25">
      <c r="B42" s="320" t="s">
        <v>278</v>
      </c>
      <c r="C42" s="300" t="s">
        <v>279</v>
      </c>
      <c r="D42" s="624">
        <v>0</v>
      </c>
      <c r="E42" s="301">
        <f>'Livestock GM - baseline'!DC$50</f>
        <v>1885.5711842904198</v>
      </c>
      <c r="F42" s="301">
        <f>'Livestock GM - baseline'!DC$49</f>
        <v>892.57807540374893</v>
      </c>
      <c r="G42" s="301">
        <f>'Livestock GM - baseline'!DC$38</f>
        <v>2623.4081249999999</v>
      </c>
      <c r="H42" s="301">
        <f>'Livestock GM - baseline'!DC$37</f>
        <v>1241.8499999999999</v>
      </c>
      <c r="I42" s="301">
        <f>'Livestock GM - baseline'!DC$47</f>
        <v>737.83694070958029</v>
      </c>
      <c r="J42" s="323">
        <f>'Livestock GM - baseline'!$DC$46</f>
        <v>349.27192459625098</v>
      </c>
      <c r="K42" s="323">
        <f t="shared" si="83"/>
        <v>77.477639852427686</v>
      </c>
      <c r="L42" s="323">
        <f>'Livestock GM - baseline'!$DC$41</f>
        <v>61.467831028999512</v>
      </c>
      <c r="M42" s="323">
        <f t="shared" si="84"/>
        <v>98.035648148148155</v>
      </c>
      <c r="N42" s="323">
        <f>'Livestock GM - baseline'!$DC$42</f>
        <v>77.777777777777771</v>
      </c>
      <c r="O42" s="323">
        <f t="shared" si="85"/>
        <v>25.209166666666668</v>
      </c>
      <c r="P42" s="323">
        <f>'Livestock GM - baseline'!$DC$43</f>
        <v>20</v>
      </c>
      <c r="Q42" s="323">
        <f t="shared" si="86"/>
        <v>148.76725328947373</v>
      </c>
      <c r="R42" s="323">
        <f>'Livestock GM - baseline'!$DC$44</f>
        <v>118.0263157894737</v>
      </c>
      <c r="S42" s="323">
        <f t="shared" si="87"/>
        <v>90.753000000000014</v>
      </c>
      <c r="T42" s="323">
        <f>'Livestock GM - baseline'!$DC$45</f>
        <v>72</v>
      </c>
      <c r="U42" s="321">
        <f>'Livestock GM - baseline'!DC$10*'Livestock GM - baseline'!DC$11</f>
        <v>1.2604583333333335</v>
      </c>
      <c r="V42" s="303">
        <f>'Livestock GM - baseline'!DC$9</f>
        <v>16.98543849192502</v>
      </c>
      <c r="W42" s="1"/>
      <c r="Z42" s="320" t="str">
        <f t="shared" ref="Z42:Z43" si="96">B42</f>
        <v>DC</v>
      </c>
      <c r="AA42" s="300" t="str">
        <f t="shared" si="91"/>
        <v>Agroecological dairy replacements</v>
      </c>
      <c r="AB42" s="624">
        <v>0.15</v>
      </c>
      <c r="AC42" s="301">
        <f t="shared" si="92"/>
        <v>1885.5711842904198</v>
      </c>
      <c r="AD42" s="301">
        <f t="shared" si="93"/>
        <v>892.57807540374893</v>
      </c>
      <c r="AE42" s="301">
        <f t="shared" si="93"/>
        <v>2623.4081249999999</v>
      </c>
      <c r="AF42" s="301">
        <f t="shared" si="93"/>
        <v>1241.8499999999999</v>
      </c>
      <c r="AG42" s="301">
        <f t="shared" si="93"/>
        <v>737.83694070958029</v>
      </c>
      <c r="AH42" s="301">
        <f t="shared" si="93"/>
        <v>349.27192459625098</v>
      </c>
      <c r="AI42" s="301">
        <f t="shared" si="94"/>
        <v>77.477639852427686</v>
      </c>
      <c r="AJ42" s="301">
        <f t="shared" si="94"/>
        <v>61.467831028999512</v>
      </c>
      <c r="AK42" s="301">
        <f t="shared" si="94"/>
        <v>98.035648148148155</v>
      </c>
      <c r="AL42" s="301">
        <f t="shared" si="94"/>
        <v>77.777777777777771</v>
      </c>
      <c r="AM42" s="301">
        <f t="shared" si="94"/>
        <v>25.209166666666668</v>
      </c>
      <c r="AN42" s="301">
        <f t="shared" si="94"/>
        <v>20</v>
      </c>
      <c r="AO42" s="301">
        <f t="shared" si="94"/>
        <v>148.76725328947373</v>
      </c>
      <c r="AP42" s="301">
        <f t="shared" si="94"/>
        <v>118.0263157894737</v>
      </c>
      <c r="AQ42" s="301">
        <f t="shared" si="94"/>
        <v>90.753000000000014</v>
      </c>
      <c r="AR42" s="301">
        <f t="shared" si="94"/>
        <v>72</v>
      </c>
      <c r="AS42" s="321">
        <f t="shared" si="90"/>
        <v>1.2604583333333335</v>
      </c>
      <c r="AT42" s="329">
        <f t="shared" si="90"/>
        <v>16.98543849192502</v>
      </c>
    </row>
    <row r="43" spans="2:72" x14ac:dyDescent="0.25">
      <c r="B43" s="320" t="s">
        <v>236</v>
      </c>
      <c r="C43" s="300" t="s">
        <v>237</v>
      </c>
      <c r="D43" s="624">
        <v>0</v>
      </c>
      <c r="E43" s="301">
        <f>E12</f>
        <v>337.88560000000012</v>
      </c>
      <c r="F43" s="301">
        <f t="shared" ref="F43:V43" si="97">F12</f>
        <v>162.44500000000005</v>
      </c>
      <c r="G43" s="301">
        <f t="shared" si="97"/>
        <v>579.16560000000015</v>
      </c>
      <c r="H43" s="301">
        <f t="shared" si="97"/>
        <v>278.44500000000005</v>
      </c>
      <c r="I43" s="301">
        <f t="shared" si="97"/>
        <v>241.28</v>
      </c>
      <c r="J43" s="323">
        <f>J12</f>
        <v>116</v>
      </c>
      <c r="K43" s="323">
        <f t="shared" si="83"/>
        <v>0</v>
      </c>
      <c r="L43" s="323">
        <f>L12</f>
        <v>0</v>
      </c>
      <c r="M43" s="323">
        <f t="shared" si="84"/>
        <v>0</v>
      </c>
      <c r="N43" s="323">
        <f>N12</f>
        <v>0</v>
      </c>
      <c r="O43" s="323">
        <f t="shared" si="85"/>
        <v>23.400000000000002</v>
      </c>
      <c r="P43" s="323">
        <f>P12</f>
        <v>15</v>
      </c>
      <c r="Q43" s="323">
        <f t="shared" si="86"/>
        <v>17.16</v>
      </c>
      <c r="R43" s="323">
        <f>R12</f>
        <v>11</v>
      </c>
      <c r="S43" s="323">
        <f t="shared" si="87"/>
        <v>140.4</v>
      </c>
      <c r="T43" s="323">
        <f>T12</f>
        <v>90</v>
      </c>
      <c r="U43" s="321">
        <f t="shared" si="97"/>
        <v>1.56</v>
      </c>
      <c r="V43" s="329">
        <f t="shared" si="97"/>
        <v>27.502894736842105</v>
      </c>
      <c r="W43" s="1"/>
      <c r="Z43" s="320" t="str">
        <f t="shared" si="96"/>
        <v>DL</v>
      </c>
      <c r="AA43" s="300" t="str">
        <f t="shared" si="91"/>
        <v>Agroecological beef finishers</v>
      </c>
      <c r="AB43" s="624">
        <v>0.2</v>
      </c>
      <c r="AC43" s="301">
        <f t="shared" si="92"/>
        <v>337.88560000000012</v>
      </c>
      <c r="AD43" s="301">
        <f>F43</f>
        <v>162.44500000000005</v>
      </c>
      <c r="AE43" s="301">
        <f t="shared" si="93"/>
        <v>579.16560000000015</v>
      </c>
      <c r="AF43" s="301">
        <f t="shared" si="93"/>
        <v>278.44500000000005</v>
      </c>
      <c r="AG43" s="301">
        <f t="shared" si="93"/>
        <v>241.28</v>
      </c>
      <c r="AH43" s="301">
        <f t="shared" si="93"/>
        <v>116</v>
      </c>
      <c r="AI43" s="301">
        <f t="shared" si="94"/>
        <v>0</v>
      </c>
      <c r="AJ43" s="301">
        <f t="shared" si="94"/>
        <v>0</v>
      </c>
      <c r="AK43" s="301">
        <f t="shared" si="94"/>
        <v>0</v>
      </c>
      <c r="AL43" s="301">
        <f t="shared" si="94"/>
        <v>0</v>
      </c>
      <c r="AM43" s="301">
        <f t="shared" si="94"/>
        <v>23.400000000000002</v>
      </c>
      <c r="AN43" s="301">
        <f t="shared" si="94"/>
        <v>15</v>
      </c>
      <c r="AO43" s="301">
        <f t="shared" si="94"/>
        <v>17.16</v>
      </c>
      <c r="AP43" s="301">
        <f t="shared" si="94"/>
        <v>11</v>
      </c>
      <c r="AQ43" s="301">
        <f t="shared" si="94"/>
        <v>140.4</v>
      </c>
      <c r="AR43" s="301">
        <f t="shared" si="94"/>
        <v>90</v>
      </c>
      <c r="AS43" s="321">
        <f t="shared" si="90"/>
        <v>1.56</v>
      </c>
      <c r="AT43" s="329">
        <f t="shared" si="90"/>
        <v>27.502894736842105</v>
      </c>
    </row>
    <row r="44" spans="2:72" ht="11" thickBot="1" x14ac:dyDescent="0.3">
      <c r="B44" s="320"/>
      <c r="C44" s="300"/>
      <c r="D44" s="72"/>
      <c r="E44" s="301"/>
      <c r="F44" s="301"/>
      <c r="G44" s="301"/>
      <c r="H44" s="301"/>
      <c r="I44" s="301"/>
      <c r="J44" s="301"/>
      <c r="K44" s="301"/>
      <c r="L44" s="301"/>
      <c r="M44" s="301"/>
      <c r="N44" s="301"/>
      <c r="O44" s="301"/>
      <c r="P44" s="301"/>
      <c r="Q44" s="301"/>
      <c r="R44" s="301"/>
      <c r="S44" s="301"/>
      <c r="T44" s="301"/>
      <c r="U44" s="321"/>
      <c r="V44" s="303"/>
      <c r="W44" s="1"/>
      <c r="Z44" s="334"/>
      <c r="AA44" s="331"/>
      <c r="AB44" s="335"/>
      <c r="AC44" s="336"/>
      <c r="AD44" s="336"/>
      <c r="AE44" s="336"/>
      <c r="AF44" s="336"/>
      <c r="AG44" s="336"/>
      <c r="AH44" s="336"/>
      <c r="AI44" s="301"/>
      <c r="AJ44" s="301"/>
      <c r="AK44" s="301"/>
      <c r="AL44" s="301"/>
      <c r="AM44" s="301"/>
      <c r="AN44" s="301"/>
      <c r="AO44" s="301"/>
      <c r="AP44" s="301"/>
      <c r="AQ44" s="301"/>
      <c r="AR44" s="301"/>
      <c r="AS44" s="336"/>
      <c r="AT44" s="337"/>
      <c r="AV44" s="347" t="s">
        <v>280</v>
      </c>
    </row>
    <row r="45" spans="2:72" ht="11" thickBot="1" x14ac:dyDescent="0.3">
      <c r="B45" s="328"/>
      <c r="C45" s="307" t="s">
        <v>246</v>
      </c>
      <c r="D45" s="308">
        <f>SUM(D37:D44)</f>
        <v>1</v>
      </c>
      <c r="E45" s="309">
        <f>SUMPRODUCT($D$37:$D$44,E37:E44)</f>
        <v>2157.818196117586</v>
      </c>
      <c r="F45" s="309"/>
      <c r="G45" s="309">
        <f t="shared" ref="G45:V45" si="98">SUMPRODUCT($D$37:$D$44,G37:G44)</f>
        <v>3667.0464725175866</v>
      </c>
      <c r="H45" s="309"/>
      <c r="I45" s="309">
        <f t="shared" si="98"/>
        <v>1509.2282764000001</v>
      </c>
      <c r="J45" s="309"/>
      <c r="K45" s="309">
        <f>SUMPRODUCT($D$37:$D$44,K37:K44)</f>
        <v>955.20512325200002</v>
      </c>
      <c r="L45" s="309"/>
      <c r="M45" s="309">
        <f>SUMPRODUCT($D$37:$D$44,M37:M44)</f>
        <v>0</v>
      </c>
      <c r="N45" s="309"/>
      <c r="O45" s="309">
        <f>SUMPRODUCT($D$37:$D$44,O37:O44)</f>
        <v>121.25615416666668</v>
      </c>
      <c r="P45" s="309"/>
      <c r="Q45" s="309">
        <f>SUMPRODUCT($D$37:$D$44,Q37:Q44)</f>
        <v>110.79835749999999</v>
      </c>
      <c r="R45" s="309"/>
      <c r="S45" s="309">
        <f>SUMPRODUCT($D$37:$D$44,S37:S44)</f>
        <v>5.9110499999999995</v>
      </c>
      <c r="T45" s="309"/>
      <c r="U45" s="309">
        <f t="shared" si="98"/>
        <v>1.7974854166666663</v>
      </c>
      <c r="V45" s="310">
        <f t="shared" si="98"/>
        <v>31.459140519999995</v>
      </c>
      <c r="W45" s="1"/>
      <c r="Z45" s="328"/>
      <c r="AA45" s="307" t="s">
        <v>246</v>
      </c>
      <c r="AB45" s="308">
        <f>SUM(AB37:AB44)</f>
        <v>1</v>
      </c>
      <c r="AC45" s="338">
        <f>SUMPRODUCT($AB$37:$AB$43,AC37:AC43)</f>
        <v>1606.5787137669831</v>
      </c>
      <c r="AD45" s="338"/>
      <c r="AE45" s="338">
        <f t="shared" ref="AE45:AT45" si="99">SUMPRODUCT($AB$37:$AB$43,AE37:AE43)</f>
        <v>2236.3130887500001</v>
      </c>
      <c r="AF45" s="338"/>
      <c r="AG45" s="338">
        <f t="shared" si="99"/>
        <v>629.73437498301666</v>
      </c>
      <c r="AH45" s="338"/>
      <c r="AI45" s="338">
        <f>SUMPRODUCT($AB$37:$AB$43,AI37:AI43)</f>
        <v>246.88072985444379</v>
      </c>
      <c r="AJ45" s="309"/>
      <c r="AK45" s="338">
        <f>SUMPRODUCT($AB$37:$AB$43,AK37:AK43)</f>
        <v>38.999097222222218</v>
      </c>
      <c r="AL45" s="309"/>
      <c r="AM45" s="338">
        <f>SUMPRODUCT($AB$37:$AB$43,AM37:AM43)</f>
        <v>46.486374999999995</v>
      </c>
      <c r="AN45" s="309"/>
      <c r="AO45" s="338">
        <f>SUMPRODUCT($AB$37:$AB$43,AO37:AO43)</f>
        <v>104.96583799342106</v>
      </c>
      <c r="AP45" s="309"/>
      <c r="AQ45" s="338">
        <f>SUMPRODUCT($AB$37:$AB$43,AQ37:AQ43)</f>
        <v>135.69920000000002</v>
      </c>
      <c r="AR45" s="309"/>
      <c r="AS45" s="309">
        <f>SUMPRODUCT($AB$37:$AB$43,AS37:AS43)</f>
        <v>1.5573187500000001</v>
      </c>
      <c r="AT45" s="310">
        <f t="shared" si="99"/>
        <v>52.842891138099702</v>
      </c>
      <c r="AV45" s="347" t="s">
        <v>281</v>
      </c>
    </row>
    <row r="46" spans="2:72" s="235" customFormat="1" x14ac:dyDescent="0.25">
      <c r="B46" s="343"/>
      <c r="C46" s="340"/>
      <c r="D46" s="92"/>
      <c r="E46" s="341"/>
      <c r="F46" s="341"/>
      <c r="G46" s="341"/>
      <c r="H46" s="341"/>
      <c r="I46" s="341"/>
      <c r="J46" s="341"/>
      <c r="K46" s="341"/>
      <c r="L46" s="341"/>
      <c r="M46" s="341"/>
      <c r="N46" s="341"/>
      <c r="O46" s="341"/>
      <c r="P46" s="341"/>
      <c r="Q46" s="341"/>
      <c r="R46" s="341"/>
      <c r="S46" s="341"/>
      <c r="T46" s="341"/>
      <c r="U46" s="290"/>
      <c r="V46" s="290"/>
      <c r="W46" s="290"/>
      <c r="AI46" s="341"/>
      <c r="AJ46" s="341"/>
      <c r="AK46" s="341"/>
      <c r="AL46" s="341"/>
      <c r="AM46" s="341"/>
      <c r="AN46" s="341"/>
      <c r="AO46" s="341"/>
      <c r="AP46" s="341"/>
      <c r="AQ46" s="341"/>
      <c r="AR46" s="341"/>
      <c r="AU46" s="345"/>
      <c r="AV46" s="267"/>
      <c r="AW46" s="2"/>
      <c r="AX46" s="2"/>
      <c r="AY46" s="2"/>
      <c r="AZ46" s="2"/>
      <c r="BA46" s="2"/>
      <c r="BB46" s="2"/>
      <c r="BC46" s="2"/>
      <c r="BD46" s="2"/>
      <c r="BE46" s="2"/>
      <c r="BF46" s="2"/>
      <c r="BG46" s="2"/>
      <c r="BH46" s="2"/>
      <c r="BI46" s="2"/>
      <c r="BJ46" s="2"/>
      <c r="BK46" s="2"/>
      <c r="BL46" s="2"/>
      <c r="BM46" s="2"/>
      <c r="BN46" s="2"/>
      <c r="BO46" s="2"/>
      <c r="BP46" s="2"/>
      <c r="BQ46" s="2"/>
      <c r="BR46" s="2"/>
      <c r="BS46" s="2"/>
      <c r="BT46" s="2"/>
    </row>
    <row r="47" spans="2:72" s="235" customFormat="1" x14ac:dyDescent="0.25">
      <c r="B47" s="343"/>
      <c r="C47" s="340"/>
      <c r="D47" s="92"/>
      <c r="E47" s="341"/>
      <c r="F47" s="341"/>
      <c r="G47" s="341"/>
      <c r="H47" s="341"/>
      <c r="I47" s="341"/>
      <c r="J47" s="341"/>
      <c r="K47" s="341"/>
      <c r="L47" s="341"/>
      <c r="M47" s="341"/>
      <c r="N47" s="341"/>
      <c r="O47" s="341"/>
      <c r="P47" s="341"/>
      <c r="Q47" s="341"/>
      <c r="R47" s="341"/>
      <c r="S47" s="341"/>
      <c r="T47" s="341"/>
      <c r="U47" s="290"/>
      <c r="V47" s="290"/>
      <c r="W47" s="290"/>
      <c r="AI47" s="341"/>
      <c r="AJ47" s="341"/>
      <c r="AK47" s="341"/>
      <c r="AL47" s="341"/>
      <c r="AM47" s="341"/>
      <c r="AN47" s="341"/>
      <c r="AO47" s="341"/>
      <c r="AP47" s="341"/>
      <c r="AQ47" s="341"/>
      <c r="AR47" s="341"/>
      <c r="AU47" s="345"/>
      <c r="AV47" s="267"/>
      <c r="AW47" s="2"/>
      <c r="AX47" s="2"/>
      <c r="AY47" s="2"/>
      <c r="AZ47" s="2"/>
      <c r="BA47" s="2"/>
      <c r="BB47" s="2"/>
      <c r="BC47" s="2"/>
      <c r="BD47" s="2"/>
      <c r="BE47" s="2"/>
      <c r="BF47" s="2"/>
      <c r="BG47" s="2"/>
      <c r="BH47" s="2"/>
      <c r="BI47" s="2"/>
      <c r="BJ47" s="2"/>
      <c r="BK47" s="2"/>
      <c r="BL47" s="2"/>
      <c r="BM47" s="2"/>
      <c r="BN47" s="2"/>
      <c r="BO47" s="2"/>
      <c r="BP47" s="2"/>
      <c r="BQ47" s="2"/>
      <c r="BR47" s="2"/>
      <c r="BS47" s="2"/>
      <c r="BT47" s="2"/>
    </row>
    <row r="48" spans="2:72" s="235" customFormat="1" x14ac:dyDescent="0.25">
      <c r="AU48" s="345"/>
      <c r="AV48" s="267"/>
      <c r="AW48" s="2"/>
      <c r="AX48" s="2"/>
      <c r="AY48" s="2"/>
      <c r="AZ48" s="2"/>
      <c r="BA48" s="2"/>
      <c r="BB48" s="2"/>
      <c r="BC48" s="2"/>
      <c r="BD48" s="2"/>
      <c r="BE48" s="2"/>
      <c r="BF48" s="2"/>
      <c r="BG48" s="2"/>
      <c r="BH48" s="2"/>
      <c r="BI48" s="2"/>
      <c r="BJ48" s="2"/>
      <c r="BK48" s="2"/>
      <c r="BL48" s="2"/>
      <c r="BM48" s="2"/>
      <c r="BN48" s="2"/>
      <c r="BO48" s="2"/>
      <c r="BP48" s="2"/>
      <c r="BQ48" s="2"/>
      <c r="BR48" s="2"/>
      <c r="BS48" s="2"/>
      <c r="BT48" s="2"/>
    </row>
    <row r="49" spans="2:72" s="235" customFormat="1" x14ac:dyDescent="0.25">
      <c r="B49" s="237"/>
      <c r="C49" s="237"/>
      <c r="AC49" s="235">
        <f>AC41/AC37</f>
        <v>0.75442458942571988</v>
      </c>
      <c r="AU49" s="345"/>
      <c r="AV49" s="267"/>
      <c r="AW49" s="2"/>
      <c r="AX49" s="2"/>
      <c r="AY49" s="2"/>
      <c r="AZ49" s="2"/>
      <c r="BA49" s="2"/>
      <c r="BB49" s="2"/>
      <c r="BC49" s="2"/>
      <c r="BD49" s="2"/>
      <c r="BE49" s="2"/>
      <c r="BF49" s="2"/>
      <c r="BG49" s="2"/>
      <c r="BH49" s="2"/>
      <c r="BI49" s="2"/>
      <c r="BJ49" s="2"/>
      <c r="BK49" s="2"/>
      <c r="BL49" s="2"/>
      <c r="BM49" s="2"/>
      <c r="BN49" s="2"/>
      <c r="BO49" s="2"/>
      <c r="BP49" s="2"/>
      <c r="BQ49" s="2"/>
      <c r="BR49" s="2"/>
      <c r="BS49" s="2"/>
      <c r="BT49" s="2"/>
    </row>
    <row r="50" spans="2:72" s="235" customFormat="1" ht="11" thickBot="1" x14ac:dyDescent="0.3">
      <c r="AU50" s="345"/>
      <c r="AV50" s="267"/>
      <c r="AW50" s="2"/>
      <c r="AX50" s="2"/>
      <c r="AY50" s="2"/>
      <c r="AZ50" s="2"/>
      <c r="BA50" s="2"/>
      <c r="BB50" s="2"/>
      <c r="BC50" s="2"/>
      <c r="BD50" s="2"/>
      <c r="BE50" s="2"/>
      <c r="BF50" s="2"/>
      <c r="BG50" s="2"/>
      <c r="BH50" s="2"/>
      <c r="BI50" s="2"/>
      <c r="BJ50" s="2"/>
      <c r="BK50" s="2"/>
      <c r="BL50" s="2"/>
      <c r="BM50" s="2"/>
      <c r="BN50" s="2"/>
      <c r="BO50" s="2"/>
      <c r="BP50" s="2"/>
      <c r="BQ50" s="2"/>
      <c r="BR50" s="2"/>
      <c r="BS50" s="2"/>
      <c r="BT50" s="2"/>
    </row>
    <row r="51" spans="2:72" s="235" customFormat="1" ht="11" thickBot="1" x14ac:dyDescent="0.3">
      <c r="D51" s="645"/>
      <c r="Z51" s="1473" t="s">
        <v>74</v>
      </c>
      <c r="AA51" s="1474"/>
      <c r="AB51" s="1474"/>
      <c r="AC51" s="1474"/>
      <c r="AD51" s="1474"/>
      <c r="AE51" s="1474"/>
      <c r="AF51" s="1474"/>
      <c r="AG51" s="1474"/>
      <c r="AH51" s="1474"/>
      <c r="AI51" s="1474"/>
      <c r="AJ51" s="1474"/>
      <c r="AK51" s="1474"/>
      <c r="AL51" s="1474"/>
      <c r="AM51" s="1474"/>
      <c r="AN51" s="1474"/>
      <c r="AO51" s="1474"/>
      <c r="AP51" s="1474"/>
      <c r="AQ51" s="1474"/>
      <c r="AR51" s="1474"/>
      <c r="AS51" s="1474"/>
      <c r="AT51" s="1475"/>
      <c r="AU51" s="345"/>
      <c r="AV51" s="267"/>
      <c r="AW51" s="2"/>
      <c r="AX51" s="2"/>
      <c r="AY51" s="2"/>
      <c r="AZ51" s="2"/>
      <c r="BA51" s="2"/>
      <c r="BB51" s="2"/>
      <c r="BC51" s="2"/>
      <c r="BD51" s="2"/>
      <c r="BE51" s="2"/>
      <c r="BF51" s="2"/>
      <c r="BG51" s="2"/>
      <c r="BH51" s="2"/>
      <c r="BI51" s="2"/>
      <c r="BJ51" s="2"/>
      <c r="BK51" s="2"/>
      <c r="BL51" s="2"/>
      <c r="BM51" s="2"/>
      <c r="BN51" s="2"/>
      <c r="BO51" s="2"/>
      <c r="BP51" s="2"/>
      <c r="BQ51" s="2"/>
      <c r="BR51" s="2"/>
      <c r="BS51" s="2"/>
      <c r="BT51" s="2"/>
    </row>
    <row r="52" spans="2:72" s="235" customFormat="1" ht="32" thickBot="1" x14ac:dyDescent="0.3">
      <c r="Z52" s="311" t="s">
        <v>197</v>
      </c>
      <c r="AA52" s="312"/>
      <c r="AB52" s="313" t="s">
        <v>198</v>
      </c>
      <c r="AC52" s="313" t="s">
        <v>199</v>
      </c>
      <c r="AD52" s="313" t="s">
        <v>200</v>
      </c>
      <c r="AE52" s="313" t="s">
        <v>201</v>
      </c>
      <c r="AF52" s="313" t="s">
        <v>202</v>
      </c>
      <c r="AG52" s="313" t="s">
        <v>203</v>
      </c>
      <c r="AH52" s="313" t="s">
        <v>204</v>
      </c>
      <c r="AI52" s="1166" t="s">
        <v>205</v>
      </c>
      <c r="AJ52" s="1166" t="s">
        <v>206</v>
      </c>
      <c r="AK52" s="1166" t="s">
        <v>207</v>
      </c>
      <c r="AL52" s="1166" t="s">
        <v>208</v>
      </c>
      <c r="AM52" s="1166" t="s">
        <v>209</v>
      </c>
      <c r="AN52" s="1166" t="s">
        <v>210</v>
      </c>
      <c r="AO52" s="1166" t="s">
        <v>211</v>
      </c>
      <c r="AP52" s="1166" t="s">
        <v>212</v>
      </c>
      <c r="AQ52" s="1166" t="s">
        <v>213</v>
      </c>
      <c r="AR52" s="1166" t="s">
        <v>214</v>
      </c>
      <c r="AS52" s="313" t="s">
        <v>215</v>
      </c>
      <c r="AT52" s="314" t="s">
        <v>216</v>
      </c>
      <c r="AU52" s="345"/>
      <c r="AV52" s="267"/>
      <c r="AW52" s="2"/>
      <c r="AX52" s="2"/>
      <c r="AY52" s="2"/>
      <c r="AZ52" s="2"/>
      <c r="BA52" s="2"/>
      <c r="BB52" s="2"/>
      <c r="BC52" s="2"/>
      <c r="BD52" s="2"/>
      <c r="BE52" s="2"/>
      <c r="BF52" s="2"/>
      <c r="BG52" s="2"/>
      <c r="BH52" s="2"/>
      <c r="BI52" s="2"/>
      <c r="BJ52" s="2"/>
      <c r="BK52" s="2"/>
      <c r="BL52" s="2"/>
      <c r="BM52" s="2"/>
      <c r="BN52" s="2"/>
      <c r="BO52" s="2"/>
      <c r="BP52" s="2"/>
      <c r="BQ52" s="2"/>
      <c r="BR52" s="2"/>
      <c r="BS52" s="2"/>
      <c r="BT52" s="2"/>
    </row>
    <row r="53" spans="2:72" s="235" customFormat="1" x14ac:dyDescent="0.25">
      <c r="Z53" s="5"/>
      <c r="AA53" s="300" t="str">
        <f>AA16</f>
        <v>Agroecological lowland ewes - spring lamb production</v>
      </c>
      <c r="AB53" s="624">
        <v>1</v>
      </c>
      <c r="AC53" s="301">
        <f>AC16</f>
        <v>569.42823888888904</v>
      </c>
      <c r="AD53" s="301">
        <f t="shared" ref="AD53:AT53" si="100">AD16</f>
        <v>74.556888888888906</v>
      </c>
      <c r="AE53" s="301">
        <f t="shared" si="100"/>
        <v>784.12685000000022</v>
      </c>
      <c r="AF53" s="301">
        <f t="shared" si="100"/>
        <v>102.66800000000002</v>
      </c>
      <c r="AG53" s="301">
        <f t="shared" si="100"/>
        <v>214.69861111111112</v>
      </c>
      <c r="AH53" s="301">
        <f t="shared" si="100"/>
        <v>28.111111111111111</v>
      </c>
      <c r="AI53" s="301">
        <f t="shared" si="100"/>
        <v>3.733888888888889</v>
      </c>
      <c r="AJ53" s="301">
        <f t="shared" si="100"/>
        <v>4.4444444444444446</v>
      </c>
      <c r="AK53" s="301">
        <f t="shared" si="100"/>
        <v>1.4002083333333333</v>
      </c>
      <c r="AL53" s="301">
        <f t="shared" si="100"/>
        <v>1.6666666666666665</v>
      </c>
      <c r="AM53" s="301">
        <f t="shared" si="100"/>
        <v>7.5611250000000005</v>
      </c>
      <c r="AN53" s="301">
        <f t="shared" si="100"/>
        <v>9</v>
      </c>
      <c r="AO53" s="301">
        <f t="shared" si="100"/>
        <v>0</v>
      </c>
      <c r="AP53" s="301">
        <f t="shared" si="100"/>
        <v>0</v>
      </c>
      <c r="AQ53" s="301">
        <f t="shared" si="100"/>
        <v>10.921625000000001</v>
      </c>
      <c r="AR53" s="301">
        <f t="shared" si="100"/>
        <v>13</v>
      </c>
      <c r="AS53" s="321">
        <f t="shared" si="100"/>
        <v>0.84012500000000001</v>
      </c>
      <c r="AT53" s="301">
        <f t="shared" si="100"/>
        <v>7.8568000000000007</v>
      </c>
      <c r="AU53" s="345"/>
      <c r="AV53" s="267"/>
      <c r="AW53" s="2"/>
      <c r="AX53" s="2"/>
      <c r="AY53" s="2"/>
      <c r="AZ53" s="2"/>
      <c r="BA53" s="2"/>
      <c r="BB53" s="2"/>
      <c r="BC53" s="2"/>
      <c r="BD53" s="2"/>
      <c r="BE53" s="2"/>
      <c r="BF53" s="2"/>
      <c r="BG53" s="2"/>
      <c r="BH53" s="2"/>
    </row>
    <row r="54" spans="2:72" s="235" customFormat="1" ht="11" thickBot="1" x14ac:dyDescent="0.3">
      <c r="Z54" s="5"/>
      <c r="AA54" s="300"/>
      <c r="AB54" s="300"/>
      <c r="AC54" s="304"/>
      <c r="AD54" s="304"/>
      <c r="AE54" s="304"/>
      <c r="AF54" s="304"/>
      <c r="AG54" s="304"/>
      <c r="AH54" s="304"/>
      <c r="AI54" s="304"/>
      <c r="AJ54" s="304"/>
      <c r="AK54" s="304"/>
      <c r="AL54" s="304"/>
      <c r="AM54" s="304"/>
      <c r="AN54" s="304"/>
      <c r="AO54" s="304"/>
      <c r="AP54" s="304"/>
      <c r="AQ54" s="304"/>
      <c r="AR54" s="304"/>
      <c r="AS54" s="305"/>
      <c r="AT54" s="47"/>
      <c r="AU54" s="345"/>
      <c r="AV54" s="267"/>
      <c r="AW54" s="2"/>
      <c r="AX54" s="2"/>
      <c r="AY54" s="2"/>
      <c r="AZ54" s="2"/>
      <c r="BA54" s="2"/>
      <c r="BB54" s="2"/>
      <c r="BC54" s="2"/>
      <c r="BD54" s="2"/>
      <c r="BE54" s="2"/>
      <c r="BF54" s="2"/>
      <c r="BG54" s="2"/>
      <c r="BH54" s="2"/>
    </row>
    <row r="55" spans="2:72" s="235" customFormat="1" ht="11" thickBot="1" x14ac:dyDescent="0.3">
      <c r="Z55" s="306"/>
      <c r="AA55" s="307" t="s">
        <v>246</v>
      </c>
      <c r="AB55" s="308">
        <f>SUM(AB53:AB54)</f>
        <v>1</v>
      </c>
      <c r="AC55" s="309">
        <f>SUMPRODUCT($AB$53:$AB$54,AC53:AC54)</f>
        <v>569.42823888888904</v>
      </c>
      <c r="AD55" s="309"/>
      <c r="AE55" s="309">
        <f>SUMPRODUCT($AB$53:$AB$54,AE53:AE54)</f>
        <v>784.12685000000022</v>
      </c>
      <c r="AF55" s="309"/>
      <c r="AG55" s="309">
        <f>SUMPRODUCT($AB$53:$AB$54,AG53:AG54)</f>
        <v>214.69861111111112</v>
      </c>
      <c r="AH55" s="309"/>
      <c r="AI55" s="309">
        <f>SUMPRODUCT($AB$53:$AB$54,AI53:AI54)</f>
        <v>3.733888888888889</v>
      </c>
      <c r="AJ55" s="309"/>
      <c r="AK55" s="309">
        <f>SUMPRODUCT($AB$53:$AB$54,AK53:AK54)</f>
        <v>1.4002083333333333</v>
      </c>
      <c r="AL55" s="309"/>
      <c r="AM55" s="309">
        <f>SUMPRODUCT($AB$53:$AB$54,AM53:AM54)</f>
        <v>7.5611250000000005</v>
      </c>
      <c r="AN55" s="309"/>
      <c r="AO55" s="309">
        <f>SUMPRODUCT($AB$53:$AB$54,AO53:AO54)</f>
        <v>0</v>
      </c>
      <c r="AP55" s="309"/>
      <c r="AQ55" s="309"/>
      <c r="AR55" s="309"/>
      <c r="AS55" s="309">
        <f>SUMPRODUCT($AB$53:$AB$54,AS53:AS54)</f>
        <v>0.84012500000000001</v>
      </c>
      <c r="AT55" s="309">
        <f>SUMPRODUCT($AB$53:$AB$54,AT53:AT54)</f>
        <v>7.8568000000000007</v>
      </c>
      <c r="AU55" s="345"/>
      <c r="AV55" s="267"/>
      <c r="AW55" s="2"/>
      <c r="AX55" s="2"/>
      <c r="AY55" s="2"/>
      <c r="AZ55" s="2"/>
      <c r="BA55" s="2"/>
      <c r="BB55" s="2"/>
      <c r="BC55" s="2"/>
      <c r="BD55" s="2"/>
      <c r="BE55" s="2"/>
      <c r="BF55" s="2"/>
      <c r="BG55" s="2"/>
      <c r="BH55" s="2"/>
    </row>
    <row r="56" spans="2:72" s="235" customFormat="1" ht="11" thickBot="1" x14ac:dyDescent="0.3">
      <c r="AU56" s="345"/>
      <c r="AV56" s="267"/>
      <c r="AW56" s="2"/>
      <c r="AX56" s="2"/>
      <c r="AY56" s="2"/>
      <c r="AZ56" s="2"/>
      <c r="BA56" s="2"/>
      <c r="BB56" s="2"/>
      <c r="BC56" s="2"/>
      <c r="BD56" s="2"/>
      <c r="BE56" s="2"/>
      <c r="BF56" s="2"/>
      <c r="BG56" s="2"/>
      <c r="BH56" s="2"/>
    </row>
    <row r="57" spans="2:72" s="235" customFormat="1" ht="11" thickBot="1" x14ac:dyDescent="0.3">
      <c r="Z57" s="1333"/>
      <c r="AA57" s="1334" t="s">
        <v>282</v>
      </c>
      <c r="AB57" s="1335"/>
      <c r="AC57" s="1336">
        <f>'Livestock GM - baseline'!DS50</f>
        <v>13019.74700465195</v>
      </c>
      <c r="AD57" s="1337">
        <f>'Livestock GM - baseline'!CT49</f>
        <v>2.0945000000000005</v>
      </c>
      <c r="AE57" s="1338">
        <f>'Livestock GM - baseline'!DS38</f>
        <v>21024.5</v>
      </c>
      <c r="AF57" s="1337">
        <f>'Livestock GM - baseline'!DS37</f>
        <v>21.0245</v>
      </c>
      <c r="AG57" s="1339">
        <f>'Livestock GM - baseline'!DS47</f>
        <v>8004.7529953480489</v>
      </c>
      <c r="AH57" s="1340">
        <f>'Livestock GM - baseline'!DS46</f>
        <v>8.0047529953480492</v>
      </c>
      <c r="AI57" s="1337"/>
      <c r="AJ57" s="1335"/>
      <c r="AK57" s="1335"/>
      <c r="AL57" s="1335"/>
      <c r="AM57" s="1335"/>
      <c r="AN57" s="1335"/>
      <c r="AO57" s="1335"/>
      <c r="AP57" s="1335"/>
      <c r="AQ57" s="1335"/>
      <c r="AR57" s="1335"/>
      <c r="AS57" s="1357">
        <f>'Livestock GM - baseline'!DS8</f>
        <v>17</v>
      </c>
      <c r="AT57" s="1341">
        <f>'Livestock GM - baseline'!DS9</f>
        <v>0.45849999999999996</v>
      </c>
      <c r="AU57" s="345"/>
      <c r="AV57" s="267"/>
      <c r="AW57" s="2"/>
      <c r="AX57" s="2"/>
      <c r="AY57" s="2"/>
      <c r="AZ57" s="2"/>
      <c r="BA57" s="2"/>
      <c r="BB57" s="2"/>
      <c r="BC57" s="2"/>
      <c r="BD57" s="2"/>
      <c r="BE57" s="2"/>
      <c r="BF57" s="2"/>
      <c r="BG57" s="2"/>
      <c r="BH57" s="2"/>
    </row>
    <row r="58" spans="2:72" s="235" customFormat="1" x14ac:dyDescent="0.25">
      <c r="AU58" s="345"/>
      <c r="AV58" s="267"/>
      <c r="AW58" s="2"/>
      <c r="AX58" s="2"/>
      <c r="AY58" s="2"/>
      <c r="AZ58" s="2"/>
      <c r="BA58" s="2"/>
      <c r="BB58" s="2"/>
      <c r="BC58" s="2"/>
      <c r="BD58" s="2"/>
      <c r="BE58" s="2"/>
      <c r="BF58" s="2"/>
      <c r="BG58" s="2"/>
      <c r="BH58" s="2"/>
      <c r="BI58" s="2"/>
      <c r="BJ58" s="2"/>
      <c r="BK58" s="2"/>
      <c r="BL58" s="2"/>
      <c r="BM58" s="2"/>
      <c r="BN58" s="2"/>
      <c r="BO58" s="2"/>
      <c r="BP58" s="2"/>
      <c r="BQ58" s="2"/>
      <c r="BR58" s="2"/>
      <c r="BS58" s="2"/>
      <c r="BT58" s="2"/>
    </row>
    <row r="59" spans="2:72" s="235" customFormat="1" x14ac:dyDescent="0.25">
      <c r="AU59" s="345"/>
      <c r="AV59" s="267"/>
      <c r="AW59" s="2"/>
      <c r="AX59" s="2"/>
      <c r="AY59" s="2"/>
      <c r="AZ59" s="2"/>
      <c r="BA59" s="2"/>
      <c r="BB59" s="2"/>
      <c r="BC59" s="2"/>
      <c r="BD59" s="2"/>
      <c r="BE59" s="2"/>
      <c r="BF59" s="2"/>
      <c r="BG59" s="2"/>
      <c r="BH59" s="2"/>
      <c r="BI59" s="2"/>
      <c r="BJ59" s="2"/>
      <c r="BK59" s="2"/>
      <c r="BL59" s="2"/>
      <c r="BM59" s="2"/>
      <c r="BN59" s="2"/>
      <c r="BO59" s="2"/>
      <c r="BP59" s="2"/>
      <c r="BQ59" s="2"/>
      <c r="BR59" s="2"/>
      <c r="BS59" s="2"/>
      <c r="BT59" s="2"/>
    </row>
    <row r="60" spans="2:72" s="235" customFormat="1" x14ac:dyDescent="0.25">
      <c r="AU60" s="345"/>
      <c r="AV60" s="267"/>
      <c r="AW60" s="2"/>
      <c r="AX60" s="2"/>
      <c r="AY60" s="2"/>
      <c r="AZ60" s="2"/>
      <c r="BA60" s="2"/>
      <c r="BB60" s="2"/>
      <c r="BC60" s="2"/>
      <c r="BD60" s="2"/>
      <c r="BE60" s="2"/>
      <c r="BF60" s="2"/>
      <c r="BG60" s="2"/>
      <c r="BH60" s="2"/>
      <c r="BI60" s="2"/>
      <c r="BJ60" s="2"/>
      <c r="BK60" s="2"/>
      <c r="BL60" s="2"/>
      <c r="BM60" s="2"/>
      <c r="BN60" s="2"/>
      <c r="BO60" s="2"/>
      <c r="BP60" s="2"/>
      <c r="BQ60" s="2"/>
      <c r="BR60" s="2"/>
      <c r="BS60" s="2"/>
      <c r="BT60" s="2"/>
    </row>
    <row r="61" spans="2:72" s="235" customFormat="1" x14ac:dyDescent="0.25">
      <c r="AU61" s="345"/>
      <c r="AV61" s="267"/>
      <c r="AW61" s="2"/>
      <c r="AX61" s="2"/>
      <c r="AY61" s="2"/>
      <c r="AZ61" s="2"/>
      <c r="BA61" s="2"/>
      <c r="BB61" s="2"/>
      <c r="BC61" s="2"/>
      <c r="BD61" s="2"/>
      <c r="BE61" s="2"/>
      <c r="BF61" s="2"/>
      <c r="BG61" s="2"/>
      <c r="BH61" s="2"/>
    </row>
    <row r="62" spans="2:72" s="235" customFormat="1" x14ac:dyDescent="0.25">
      <c r="AU62" s="345"/>
      <c r="AV62" s="267"/>
      <c r="AW62" s="2"/>
      <c r="AX62" s="2"/>
      <c r="AY62" s="2"/>
      <c r="AZ62" s="2"/>
      <c r="BA62" s="2"/>
      <c r="BB62" s="2"/>
      <c r="BC62" s="2"/>
      <c r="BD62" s="2"/>
      <c r="BE62" s="2"/>
      <c r="BF62" s="2"/>
      <c r="BG62" s="2"/>
      <c r="BH62" s="2"/>
    </row>
    <row r="63" spans="2:72" s="235" customFormat="1" x14ac:dyDescent="0.25">
      <c r="AU63" s="345"/>
      <c r="AV63" s="267"/>
      <c r="AW63" s="2"/>
      <c r="AX63" s="2"/>
      <c r="AY63" s="2"/>
      <c r="AZ63" s="2"/>
      <c r="BA63" s="2"/>
      <c r="BB63" s="2"/>
      <c r="BC63" s="2"/>
      <c r="BD63" s="2"/>
      <c r="BE63" s="2"/>
      <c r="BF63" s="2"/>
      <c r="BG63" s="2"/>
      <c r="BH63" s="2"/>
    </row>
    <row r="64" spans="2:72" s="235" customFormat="1" x14ac:dyDescent="0.25">
      <c r="AU64" s="345"/>
      <c r="AV64" s="267"/>
      <c r="AW64" s="2"/>
      <c r="AX64" s="2"/>
      <c r="AY64" s="2"/>
      <c r="AZ64" s="2"/>
      <c r="BA64" s="2"/>
      <c r="BB64" s="2"/>
      <c r="BC64" s="2"/>
      <c r="BD64" s="2"/>
      <c r="BE64" s="2"/>
      <c r="BF64" s="2"/>
      <c r="BG64" s="2"/>
      <c r="BH64" s="2"/>
    </row>
    <row r="65" spans="47:60" s="235" customFormat="1" x14ac:dyDescent="0.25">
      <c r="AU65" s="345"/>
      <c r="AV65" s="267"/>
      <c r="AW65" s="2"/>
      <c r="AX65" s="2"/>
      <c r="AY65" s="2"/>
      <c r="AZ65" s="2"/>
      <c r="BA65" s="2"/>
      <c r="BB65" s="2"/>
      <c r="BC65" s="2"/>
      <c r="BD65" s="2"/>
      <c r="BE65" s="2"/>
      <c r="BF65" s="2"/>
      <c r="BG65" s="2"/>
      <c r="BH65" s="2"/>
    </row>
    <row r="66" spans="47:60" s="235" customFormat="1" x14ac:dyDescent="0.25">
      <c r="AU66" s="345"/>
      <c r="AV66" s="267"/>
      <c r="AW66" s="2"/>
      <c r="AX66" s="2"/>
      <c r="AY66" s="2"/>
      <c r="AZ66" s="2"/>
      <c r="BA66" s="2"/>
      <c r="BB66" s="2"/>
      <c r="BC66" s="2"/>
      <c r="BD66" s="2"/>
      <c r="BE66" s="2"/>
      <c r="BF66" s="2"/>
      <c r="BG66" s="2"/>
      <c r="BH66" s="2"/>
    </row>
    <row r="67" spans="47:60" s="235" customFormat="1" x14ac:dyDescent="0.25">
      <c r="AU67" s="345"/>
      <c r="AV67" s="267"/>
      <c r="AW67" s="2"/>
      <c r="AX67" s="2"/>
      <c r="AY67" s="2"/>
      <c r="AZ67" s="2"/>
      <c r="BA67" s="2"/>
      <c r="BB67" s="2"/>
      <c r="BC67" s="2"/>
      <c r="BD67" s="2"/>
      <c r="BE67" s="2"/>
      <c r="BF67" s="2"/>
      <c r="BG67" s="2"/>
      <c r="BH67" s="2"/>
    </row>
    <row r="68" spans="47:60" s="235" customFormat="1" x14ac:dyDescent="0.25">
      <c r="AU68" s="345"/>
      <c r="AV68" s="267"/>
      <c r="AW68" s="2"/>
      <c r="AX68" s="2"/>
      <c r="AY68" s="2"/>
      <c r="AZ68" s="2"/>
      <c r="BA68" s="2"/>
      <c r="BB68" s="2"/>
      <c r="BC68" s="2"/>
      <c r="BD68" s="2"/>
      <c r="BE68" s="2"/>
      <c r="BF68" s="2"/>
      <c r="BG68" s="2"/>
      <c r="BH68" s="2"/>
    </row>
    <row r="69" spans="47:60" s="235" customFormat="1" x14ac:dyDescent="0.25">
      <c r="AU69" s="345"/>
      <c r="AV69" s="267"/>
      <c r="AW69" s="2"/>
      <c r="AX69" s="2"/>
      <c r="AY69" s="2"/>
      <c r="AZ69" s="2"/>
      <c r="BA69" s="2"/>
      <c r="BB69" s="2"/>
      <c r="BC69" s="2"/>
      <c r="BD69" s="2"/>
      <c r="BE69" s="2"/>
      <c r="BF69" s="2"/>
      <c r="BG69" s="2"/>
      <c r="BH69" s="2"/>
    </row>
    <row r="70" spans="47:60" s="235" customFormat="1" x14ac:dyDescent="0.25">
      <c r="AU70" s="345"/>
      <c r="AV70" s="267"/>
      <c r="AW70" s="2"/>
      <c r="AX70" s="2"/>
      <c r="AY70" s="2"/>
      <c r="AZ70" s="2"/>
      <c r="BA70" s="2"/>
      <c r="BB70" s="2"/>
      <c r="BC70" s="2"/>
      <c r="BD70" s="2"/>
      <c r="BE70" s="2"/>
      <c r="BF70" s="2"/>
      <c r="BG70" s="2"/>
      <c r="BH70" s="2"/>
    </row>
    <row r="71" spans="47:60" s="235" customFormat="1" x14ac:dyDescent="0.25">
      <c r="AU71" s="345"/>
      <c r="AV71" s="267"/>
      <c r="AW71" s="2"/>
      <c r="AX71" s="2"/>
      <c r="AY71" s="2"/>
      <c r="AZ71" s="2"/>
      <c r="BA71" s="2"/>
      <c r="BB71" s="2"/>
      <c r="BC71" s="2"/>
      <c r="BD71" s="2"/>
      <c r="BE71" s="2"/>
      <c r="BF71" s="2"/>
      <c r="BG71" s="2"/>
      <c r="BH71" s="2"/>
    </row>
    <row r="72" spans="47:60" s="235" customFormat="1" x14ac:dyDescent="0.25">
      <c r="AU72" s="345"/>
      <c r="AV72" s="267"/>
      <c r="AW72" s="2"/>
      <c r="AX72" s="2"/>
      <c r="AY72" s="2"/>
      <c r="AZ72" s="2"/>
      <c r="BA72" s="2"/>
      <c r="BB72" s="2"/>
      <c r="BC72" s="2"/>
      <c r="BD72" s="2"/>
      <c r="BE72" s="2"/>
      <c r="BF72" s="2"/>
      <c r="BG72" s="2"/>
      <c r="BH72" s="2"/>
    </row>
    <row r="73" spans="47:60" s="235" customFormat="1" x14ac:dyDescent="0.25">
      <c r="AU73" s="345"/>
      <c r="AV73" s="267"/>
      <c r="AW73" s="2"/>
      <c r="AX73" s="2"/>
      <c r="AY73" s="2"/>
      <c r="AZ73" s="2"/>
      <c r="BA73" s="2"/>
      <c r="BB73" s="2"/>
      <c r="BC73" s="2"/>
      <c r="BD73" s="2"/>
      <c r="BE73" s="2"/>
      <c r="BF73" s="2"/>
      <c r="BG73" s="2"/>
      <c r="BH73" s="2"/>
    </row>
    <row r="74" spans="47:60" s="235" customFormat="1" x14ac:dyDescent="0.25">
      <c r="AU74" s="345"/>
      <c r="AV74" s="267"/>
      <c r="AW74" s="2"/>
      <c r="AX74" s="2"/>
      <c r="AY74" s="2"/>
      <c r="AZ74" s="2"/>
      <c r="BA74" s="2"/>
      <c r="BB74" s="2"/>
      <c r="BC74" s="2"/>
      <c r="BD74" s="2"/>
      <c r="BE74" s="2"/>
      <c r="BF74" s="2"/>
      <c r="BG74" s="2"/>
      <c r="BH74" s="2"/>
    </row>
    <row r="75" spans="47:60" s="235" customFormat="1" x14ac:dyDescent="0.25">
      <c r="AU75" s="345"/>
      <c r="AV75" s="267"/>
      <c r="AW75" s="2"/>
      <c r="AX75" s="2"/>
      <c r="AY75" s="2"/>
      <c r="AZ75" s="2"/>
      <c r="BA75" s="2"/>
      <c r="BB75" s="2"/>
      <c r="BC75" s="2"/>
      <c r="BD75" s="2"/>
      <c r="BE75" s="2"/>
      <c r="BF75" s="2"/>
      <c r="BG75" s="2"/>
      <c r="BH75" s="2"/>
    </row>
    <row r="76" spans="47:60" s="235" customFormat="1" x14ac:dyDescent="0.25">
      <c r="AU76" s="345"/>
      <c r="AV76" s="267"/>
      <c r="AW76" s="2"/>
      <c r="AX76" s="2"/>
      <c r="AY76" s="2"/>
      <c r="AZ76" s="2"/>
      <c r="BA76" s="2"/>
      <c r="BB76" s="2"/>
      <c r="BC76" s="2"/>
      <c r="BD76" s="2"/>
      <c r="BE76" s="2"/>
      <c r="BF76" s="2"/>
      <c r="BG76" s="2"/>
      <c r="BH76" s="2"/>
    </row>
    <row r="77" spans="47:60" s="235" customFormat="1" x14ac:dyDescent="0.25">
      <c r="AU77" s="345"/>
      <c r="AV77" s="267"/>
      <c r="AW77" s="2"/>
      <c r="AX77" s="2"/>
      <c r="AY77" s="2"/>
      <c r="AZ77" s="2"/>
      <c r="BA77" s="2"/>
      <c r="BB77" s="2"/>
      <c r="BC77" s="2"/>
      <c r="BD77" s="2"/>
      <c r="BE77" s="2"/>
      <c r="BF77" s="2"/>
      <c r="BG77" s="2"/>
      <c r="BH77" s="2"/>
    </row>
    <row r="78" spans="47:60" s="235" customFormat="1" x14ac:dyDescent="0.25">
      <c r="AU78" s="345"/>
      <c r="AV78" s="267"/>
      <c r="AW78" s="2"/>
      <c r="AX78" s="2"/>
      <c r="AY78" s="2"/>
      <c r="AZ78" s="2"/>
      <c r="BA78" s="2"/>
      <c r="BB78" s="2"/>
      <c r="BC78" s="2"/>
      <c r="BD78" s="2"/>
      <c r="BE78" s="2"/>
      <c r="BF78" s="2"/>
      <c r="BG78" s="2"/>
      <c r="BH78" s="2"/>
    </row>
    <row r="79" spans="47:60" s="235" customFormat="1" x14ac:dyDescent="0.25">
      <c r="AU79" s="345"/>
      <c r="AV79" s="267"/>
      <c r="AW79" s="2"/>
      <c r="AX79" s="2"/>
      <c r="AY79" s="2"/>
      <c r="AZ79" s="2"/>
      <c r="BA79" s="2"/>
      <c r="BB79" s="2"/>
      <c r="BC79" s="2"/>
      <c r="BD79" s="2"/>
      <c r="BE79" s="2"/>
      <c r="BF79" s="2"/>
      <c r="BG79" s="2"/>
      <c r="BH79" s="2"/>
    </row>
    <row r="80" spans="47:60" s="235" customFormat="1" x14ac:dyDescent="0.25">
      <c r="AU80" s="345"/>
      <c r="AV80" s="267"/>
      <c r="AW80" s="2"/>
      <c r="AX80" s="2"/>
      <c r="AY80" s="2"/>
      <c r="AZ80" s="2"/>
      <c r="BA80" s="2"/>
      <c r="BB80" s="2"/>
      <c r="BC80" s="2"/>
      <c r="BD80" s="2"/>
      <c r="BE80" s="2"/>
      <c r="BF80" s="2"/>
      <c r="BG80" s="2"/>
      <c r="BH80" s="2"/>
    </row>
    <row r="81" spans="47:60" s="235" customFormat="1" x14ac:dyDescent="0.25">
      <c r="AU81" s="345"/>
      <c r="AV81" s="267"/>
      <c r="AW81" s="2"/>
      <c r="AX81" s="2"/>
      <c r="AY81" s="2"/>
      <c r="AZ81" s="2"/>
      <c r="BA81" s="2"/>
      <c r="BB81" s="2"/>
      <c r="BC81" s="2"/>
      <c r="BD81" s="2"/>
      <c r="BE81" s="2"/>
      <c r="BF81" s="2"/>
      <c r="BG81" s="2"/>
      <c r="BH81" s="2"/>
    </row>
    <row r="82" spans="47:60" s="235" customFormat="1" x14ac:dyDescent="0.25">
      <c r="AU82" s="345"/>
      <c r="AV82" s="267"/>
      <c r="AW82" s="2"/>
      <c r="AX82" s="2"/>
      <c r="AY82" s="2"/>
      <c r="AZ82" s="2"/>
      <c r="BA82" s="2"/>
      <c r="BB82" s="2"/>
      <c r="BC82" s="2"/>
      <c r="BD82" s="2"/>
      <c r="BE82" s="2"/>
      <c r="BF82" s="2"/>
      <c r="BG82" s="2"/>
      <c r="BH82" s="2"/>
    </row>
    <row r="83" spans="47:60" s="235" customFormat="1" x14ac:dyDescent="0.25">
      <c r="AU83" s="345"/>
      <c r="AV83" s="267"/>
      <c r="AW83" s="2"/>
      <c r="AX83" s="2"/>
      <c r="AY83" s="2"/>
      <c r="AZ83" s="2"/>
      <c r="BA83" s="2"/>
      <c r="BB83" s="2"/>
      <c r="BC83" s="2"/>
      <c r="BD83" s="2"/>
      <c r="BE83" s="2"/>
      <c r="BF83" s="2"/>
      <c r="BG83" s="2"/>
      <c r="BH83" s="2"/>
    </row>
    <row r="84" spans="47:60" s="235" customFormat="1" x14ac:dyDescent="0.25">
      <c r="AU84" s="345"/>
      <c r="AV84" s="267"/>
      <c r="AW84" s="2"/>
      <c r="AX84" s="2"/>
      <c r="AY84" s="2"/>
      <c r="AZ84" s="2"/>
      <c r="BA84" s="2"/>
      <c r="BB84" s="2"/>
      <c r="BC84" s="2"/>
      <c r="BD84" s="2"/>
      <c r="BE84" s="2"/>
      <c r="BF84" s="2"/>
      <c r="BG84" s="2"/>
      <c r="BH84" s="2"/>
    </row>
    <row r="85" spans="47:60" s="235" customFormat="1" x14ac:dyDescent="0.25">
      <c r="AU85" s="345"/>
      <c r="AV85" s="267"/>
      <c r="AW85" s="2"/>
      <c r="AX85" s="2"/>
      <c r="AY85" s="2"/>
      <c r="AZ85" s="2"/>
      <c r="BA85" s="2"/>
      <c r="BB85" s="2"/>
      <c r="BC85" s="2"/>
      <c r="BD85" s="2"/>
      <c r="BE85" s="2"/>
      <c r="BF85" s="2"/>
      <c r="BG85" s="2"/>
      <c r="BH85" s="2"/>
    </row>
    <row r="86" spans="47:60" s="235" customFormat="1" x14ac:dyDescent="0.25">
      <c r="AU86" s="345"/>
      <c r="AV86" s="267"/>
      <c r="AW86" s="2"/>
      <c r="AX86" s="2"/>
      <c r="AY86" s="2"/>
      <c r="AZ86" s="2"/>
      <c r="BA86" s="2"/>
      <c r="BB86" s="2"/>
      <c r="BC86" s="2"/>
      <c r="BD86" s="2"/>
      <c r="BE86" s="2"/>
      <c r="BF86" s="2"/>
      <c r="BG86" s="2"/>
      <c r="BH86" s="2"/>
    </row>
    <row r="87" spans="47:60" s="235" customFormat="1" x14ac:dyDescent="0.25">
      <c r="AU87" s="345"/>
      <c r="AV87" s="267"/>
      <c r="AW87" s="2"/>
      <c r="AX87" s="2"/>
      <c r="AY87" s="2"/>
      <c r="AZ87" s="2"/>
      <c r="BA87" s="2"/>
      <c r="BB87" s="2"/>
      <c r="BC87" s="2"/>
      <c r="BD87" s="2"/>
      <c r="BE87" s="2"/>
      <c r="BF87" s="2"/>
      <c r="BG87" s="2"/>
      <c r="BH87" s="2"/>
    </row>
    <row r="88" spans="47:60" s="235" customFormat="1" x14ac:dyDescent="0.25">
      <c r="AU88" s="345"/>
      <c r="AV88" s="267"/>
      <c r="AW88" s="2"/>
      <c r="AX88" s="2"/>
      <c r="AY88" s="2"/>
      <c r="AZ88" s="2"/>
      <c r="BA88" s="2"/>
      <c r="BB88" s="2"/>
      <c r="BC88" s="2"/>
      <c r="BD88" s="2"/>
      <c r="BE88" s="2"/>
      <c r="BF88" s="2"/>
      <c r="BG88" s="2"/>
      <c r="BH88" s="2"/>
    </row>
    <row r="89" spans="47:60" s="235" customFormat="1" x14ac:dyDescent="0.25">
      <c r="AU89" s="345"/>
      <c r="AV89" s="267"/>
      <c r="AW89" s="2"/>
      <c r="AX89" s="2"/>
      <c r="AY89" s="2"/>
      <c r="AZ89" s="2"/>
      <c r="BA89" s="2"/>
      <c r="BB89" s="2"/>
      <c r="BC89" s="2"/>
      <c r="BD89" s="2"/>
      <c r="BE89" s="2"/>
      <c r="BF89" s="2"/>
      <c r="BG89" s="2"/>
      <c r="BH89" s="2"/>
    </row>
    <row r="90" spans="47:60" s="235" customFormat="1" x14ac:dyDescent="0.25">
      <c r="AU90" s="345"/>
      <c r="AV90" s="267"/>
      <c r="AW90" s="2"/>
      <c r="AX90" s="2"/>
      <c r="AY90" s="2"/>
      <c r="AZ90" s="2"/>
      <c r="BA90" s="2"/>
      <c r="BB90" s="2"/>
      <c r="BC90" s="2"/>
      <c r="BD90" s="2"/>
      <c r="BE90" s="2"/>
      <c r="BF90" s="2"/>
      <c r="BG90" s="2"/>
      <c r="BH90" s="2"/>
    </row>
    <row r="91" spans="47:60" s="235" customFormat="1" x14ac:dyDescent="0.25">
      <c r="AU91" s="345"/>
      <c r="AV91" s="267"/>
      <c r="AW91" s="2"/>
      <c r="AX91" s="2"/>
      <c r="AY91" s="2"/>
      <c r="AZ91" s="2"/>
      <c r="BA91" s="2"/>
      <c r="BB91" s="2"/>
      <c r="BC91" s="2"/>
      <c r="BD91" s="2"/>
      <c r="BE91" s="2"/>
      <c r="BF91" s="2"/>
      <c r="BG91" s="2"/>
      <c r="BH91" s="2"/>
    </row>
    <row r="92" spans="47:60" s="235" customFormat="1" x14ac:dyDescent="0.25">
      <c r="AU92" s="345"/>
      <c r="AV92" s="267"/>
      <c r="AW92" s="2"/>
      <c r="AX92" s="2"/>
      <c r="AY92" s="2"/>
      <c r="AZ92" s="2"/>
      <c r="BA92" s="2"/>
      <c r="BB92" s="2"/>
      <c r="BC92" s="2"/>
      <c r="BD92" s="2"/>
      <c r="BE92" s="2"/>
      <c r="BF92" s="2"/>
      <c r="BG92" s="2"/>
      <c r="BH92" s="2"/>
    </row>
    <row r="93" spans="47:60" s="235" customFormat="1" x14ac:dyDescent="0.25">
      <c r="AU93" s="345"/>
      <c r="AV93" s="267"/>
      <c r="AW93" s="2"/>
      <c r="AX93" s="2"/>
      <c r="AY93" s="2"/>
      <c r="AZ93" s="2"/>
      <c r="BA93" s="2"/>
      <c r="BB93" s="2"/>
      <c r="BC93" s="2"/>
      <c r="BD93" s="2"/>
      <c r="BE93" s="2"/>
      <c r="BF93" s="2"/>
      <c r="BG93" s="2"/>
      <c r="BH93" s="2"/>
    </row>
    <row r="94" spans="47:60" s="235" customFormat="1" x14ac:dyDescent="0.25">
      <c r="AU94" s="345"/>
      <c r="AV94" s="267"/>
      <c r="AW94" s="2"/>
      <c r="AX94" s="2"/>
      <c r="AY94" s="2"/>
      <c r="AZ94" s="2"/>
      <c r="BA94" s="2"/>
      <c r="BB94" s="2"/>
      <c r="BC94" s="2"/>
      <c r="BD94" s="2"/>
      <c r="BE94" s="2"/>
      <c r="BF94" s="2"/>
      <c r="BG94" s="2"/>
      <c r="BH94" s="2"/>
    </row>
    <row r="95" spans="47:60" s="235" customFormat="1" x14ac:dyDescent="0.25">
      <c r="AU95" s="345"/>
      <c r="AV95" s="267"/>
      <c r="AW95" s="2"/>
      <c r="AX95" s="2"/>
      <c r="AY95" s="2"/>
      <c r="AZ95" s="2"/>
      <c r="BA95" s="2"/>
      <c r="BB95" s="2"/>
      <c r="BC95" s="2"/>
      <c r="BD95" s="2"/>
      <c r="BE95" s="2"/>
      <c r="BF95" s="2"/>
      <c r="BG95" s="2"/>
      <c r="BH95" s="2"/>
    </row>
    <row r="96" spans="47:60" s="235" customFormat="1" x14ac:dyDescent="0.25">
      <c r="AU96" s="345"/>
      <c r="AV96" s="267"/>
      <c r="AW96" s="2"/>
      <c r="AX96" s="2"/>
      <c r="AY96" s="2"/>
      <c r="AZ96" s="2"/>
      <c r="BA96" s="2"/>
      <c r="BB96" s="2"/>
      <c r="BC96" s="2"/>
      <c r="BD96" s="2"/>
      <c r="BE96" s="2"/>
      <c r="BF96" s="2"/>
      <c r="BG96" s="2"/>
      <c r="BH96" s="2"/>
    </row>
    <row r="97" spans="47:60" s="235" customFormat="1" x14ac:dyDescent="0.25">
      <c r="AU97" s="345"/>
      <c r="AV97" s="267"/>
      <c r="AW97" s="2"/>
      <c r="AX97" s="2"/>
      <c r="AY97" s="2"/>
      <c r="AZ97" s="2"/>
      <c r="BA97" s="2"/>
      <c r="BB97" s="2"/>
      <c r="BC97" s="2"/>
      <c r="BD97" s="2"/>
      <c r="BE97" s="2"/>
      <c r="BF97" s="2"/>
      <c r="BG97" s="2"/>
      <c r="BH97" s="2"/>
    </row>
    <row r="98" spans="47:60" s="235" customFormat="1" x14ac:dyDescent="0.25">
      <c r="AU98" s="345"/>
      <c r="AV98" s="267"/>
      <c r="AW98" s="2"/>
      <c r="AX98" s="2"/>
      <c r="AY98" s="2"/>
      <c r="AZ98" s="2"/>
      <c r="BA98" s="2"/>
      <c r="BB98" s="2"/>
      <c r="BC98" s="2"/>
      <c r="BD98" s="2"/>
      <c r="BE98" s="2"/>
      <c r="BF98" s="2"/>
      <c r="BG98" s="2"/>
      <c r="BH98" s="2"/>
    </row>
    <row r="99" spans="47:60" s="235" customFormat="1" x14ac:dyDescent="0.25">
      <c r="AU99" s="345"/>
      <c r="AV99" s="267"/>
      <c r="AW99" s="2"/>
      <c r="AX99" s="2"/>
      <c r="AY99" s="2"/>
      <c r="AZ99" s="2"/>
      <c r="BA99" s="2"/>
      <c r="BB99" s="2"/>
      <c r="BC99" s="2"/>
      <c r="BD99" s="2"/>
      <c r="BE99" s="2"/>
      <c r="BF99" s="2"/>
      <c r="BG99" s="2"/>
      <c r="BH99" s="2"/>
    </row>
    <row r="100" spans="47:60" s="235" customFormat="1" x14ac:dyDescent="0.25">
      <c r="AU100" s="345"/>
      <c r="AV100" s="267"/>
      <c r="AW100" s="2"/>
      <c r="AX100" s="2"/>
      <c r="AY100" s="2"/>
      <c r="AZ100" s="2"/>
      <c r="BA100" s="2"/>
      <c r="BB100" s="2"/>
      <c r="BC100" s="2"/>
      <c r="BD100" s="2"/>
      <c r="BE100" s="2"/>
      <c r="BF100" s="2"/>
      <c r="BG100" s="2"/>
      <c r="BH100" s="2"/>
    </row>
    <row r="101" spans="47:60" s="235" customFormat="1" x14ac:dyDescent="0.25">
      <c r="AU101" s="345"/>
      <c r="AV101" s="267"/>
      <c r="AW101" s="2"/>
      <c r="AX101" s="2"/>
      <c r="AY101" s="2"/>
      <c r="AZ101" s="2"/>
      <c r="BA101" s="2"/>
      <c r="BB101" s="2"/>
      <c r="BC101" s="2"/>
      <c r="BD101" s="2"/>
      <c r="BE101" s="2"/>
      <c r="BF101" s="2"/>
      <c r="BG101" s="2"/>
      <c r="BH101" s="2"/>
    </row>
    <row r="102" spans="47:60" s="235" customFormat="1" x14ac:dyDescent="0.25">
      <c r="AU102" s="345"/>
      <c r="AV102" s="267"/>
      <c r="AW102" s="2"/>
      <c r="AX102" s="2"/>
      <c r="AY102" s="2"/>
      <c r="AZ102" s="2"/>
      <c r="BA102" s="2"/>
      <c r="BB102" s="2"/>
      <c r="BC102" s="2"/>
      <c r="BD102" s="2"/>
      <c r="BE102" s="2"/>
      <c r="BF102" s="2"/>
      <c r="BG102" s="2"/>
      <c r="BH102" s="2"/>
    </row>
    <row r="103" spans="47:60" s="235" customFormat="1" x14ac:dyDescent="0.25">
      <c r="AU103" s="345"/>
      <c r="AV103" s="267"/>
      <c r="AW103" s="2"/>
      <c r="AX103" s="2"/>
      <c r="AY103" s="2"/>
      <c r="AZ103" s="2"/>
      <c r="BA103" s="2"/>
      <c r="BB103" s="2"/>
      <c r="BC103" s="2"/>
      <c r="BD103" s="2"/>
      <c r="BE103" s="2"/>
      <c r="BF103" s="2"/>
      <c r="BG103" s="2"/>
      <c r="BH103" s="2"/>
    </row>
    <row r="104" spans="47:60" s="235" customFormat="1" x14ac:dyDescent="0.25">
      <c r="AU104" s="345"/>
      <c r="AV104" s="267"/>
      <c r="AW104" s="2"/>
      <c r="AX104" s="2"/>
      <c r="AY104" s="2"/>
      <c r="AZ104" s="2"/>
      <c r="BA104" s="2"/>
      <c r="BB104" s="2"/>
      <c r="BC104" s="2"/>
      <c r="BD104" s="2"/>
      <c r="BE104" s="2"/>
      <c r="BF104" s="2"/>
      <c r="BG104" s="2"/>
      <c r="BH104" s="2"/>
    </row>
    <row r="105" spans="47:60" s="235" customFormat="1" x14ac:dyDescent="0.25">
      <c r="AU105" s="345"/>
      <c r="AV105" s="267"/>
      <c r="AW105" s="2"/>
      <c r="AX105" s="2"/>
      <c r="AY105" s="2"/>
      <c r="AZ105" s="2"/>
      <c r="BA105" s="2"/>
      <c r="BB105" s="2"/>
      <c r="BC105" s="2"/>
      <c r="BD105" s="2"/>
      <c r="BE105" s="2"/>
      <c r="BF105" s="2"/>
      <c r="BG105" s="2"/>
      <c r="BH105" s="2"/>
    </row>
    <row r="106" spans="47:60" s="235" customFormat="1" x14ac:dyDescent="0.25">
      <c r="AU106" s="345"/>
      <c r="AV106" s="267"/>
      <c r="AW106" s="2"/>
      <c r="AX106" s="2"/>
      <c r="AY106" s="2"/>
      <c r="AZ106" s="2"/>
      <c r="BA106" s="2"/>
      <c r="BB106" s="2"/>
      <c r="BC106" s="2"/>
      <c r="BD106" s="2"/>
      <c r="BE106" s="2"/>
      <c r="BF106" s="2"/>
      <c r="BG106" s="2"/>
      <c r="BH106" s="2"/>
    </row>
    <row r="107" spans="47:60" s="235" customFormat="1" x14ac:dyDescent="0.25">
      <c r="AU107" s="345"/>
      <c r="AV107" s="267"/>
      <c r="AW107" s="2"/>
      <c r="AX107" s="2"/>
      <c r="AY107" s="2"/>
      <c r="AZ107" s="2"/>
      <c r="BA107" s="2"/>
      <c r="BB107" s="2"/>
      <c r="BC107" s="2"/>
      <c r="BD107" s="2"/>
      <c r="BE107" s="2"/>
      <c r="BF107" s="2"/>
      <c r="BG107" s="2"/>
      <c r="BH107" s="2"/>
    </row>
    <row r="108" spans="47:60" s="235" customFormat="1" x14ac:dyDescent="0.25">
      <c r="AU108" s="345"/>
      <c r="AV108" s="267"/>
      <c r="AW108" s="2"/>
      <c r="AX108" s="2"/>
      <c r="AY108" s="2"/>
      <c r="AZ108" s="2"/>
      <c r="BA108" s="2"/>
      <c r="BB108" s="2"/>
      <c r="BC108" s="2"/>
      <c r="BD108" s="2"/>
      <c r="BE108" s="2"/>
      <c r="BF108" s="2"/>
      <c r="BG108" s="2"/>
      <c r="BH108" s="2"/>
    </row>
    <row r="109" spans="47:60" s="235" customFormat="1" x14ac:dyDescent="0.25">
      <c r="AU109" s="345"/>
      <c r="AV109" s="267"/>
      <c r="AW109" s="2"/>
      <c r="AX109" s="2"/>
      <c r="AY109" s="2"/>
      <c r="AZ109" s="2"/>
      <c r="BA109" s="2"/>
      <c r="BB109" s="2"/>
      <c r="BC109" s="2"/>
      <c r="BD109" s="2"/>
      <c r="BE109" s="2"/>
      <c r="BF109" s="2"/>
      <c r="BG109" s="2"/>
      <c r="BH109" s="2"/>
    </row>
    <row r="110" spans="47:60" s="235" customFormat="1" x14ac:dyDescent="0.25">
      <c r="AU110" s="345"/>
      <c r="AV110" s="267"/>
      <c r="AW110" s="2"/>
      <c r="AX110" s="2"/>
      <c r="AY110" s="2"/>
      <c r="AZ110" s="2"/>
      <c r="BA110" s="2"/>
      <c r="BB110" s="2"/>
      <c r="BC110" s="2"/>
      <c r="BD110" s="2"/>
      <c r="BE110" s="2"/>
      <c r="BF110" s="2"/>
      <c r="BG110" s="2"/>
      <c r="BH110" s="2"/>
    </row>
    <row r="111" spans="47:60" s="235" customFormat="1" x14ac:dyDescent="0.25">
      <c r="AU111" s="345"/>
      <c r="AV111" s="267"/>
      <c r="AW111" s="2"/>
      <c r="AX111" s="2"/>
      <c r="AY111" s="2"/>
      <c r="AZ111" s="2"/>
      <c r="BA111" s="2"/>
      <c r="BB111" s="2"/>
      <c r="BC111" s="2"/>
      <c r="BD111" s="2"/>
      <c r="BE111" s="2"/>
      <c r="BF111" s="2"/>
      <c r="BG111" s="2"/>
      <c r="BH111" s="2"/>
    </row>
    <row r="112" spans="47:60" s="235" customFormat="1" x14ac:dyDescent="0.25">
      <c r="AU112" s="345"/>
      <c r="AV112" s="267"/>
      <c r="AW112" s="2"/>
      <c r="AX112" s="2"/>
      <c r="AY112" s="2"/>
      <c r="AZ112" s="2"/>
      <c r="BA112" s="2"/>
      <c r="BB112" s="2"/>
      <c r="BC112" s="2"/>
      <c r="BD112" s="2"/>
      <c r="BE112" s="2"/>
      <c r="BF112" s="2"/>
      <c r="BG112" s="2"/>
      <c r="BH112" s="2"/>
    </row>
    <row r="113" spans="47:60" s="235" customFormat="1" x14ac:dyDescent="0.25">
      <c r="AU113" s="345"/>
      <c r="AV113" s="267"/>
      <c r="AW113" s="2"/>
      <c r="AX113" s="2"/>
      <c r="AY113" s="2"/>
      <c r="AZ113" s="2"/>
      <c r="BA113" s="2"/>
      <c r="BB113" s="2"/>
      <c r="BC113" s="2"/>
      <c r="BD113" s="2"/>
      <c r="BE113" s="2"/>
      <c r="BF113" s="2"/>
      <c r="BG113" s="2"/>
      <c r="BH113" s="2"/>
    </row>
    <row r="114" spans="47:60" s="235" customFormat="1" x14ac:dyDescent="0.25">
      <c r="AU114" s="345"/>
      <c r="AV114" s="267"/>
      <c r="AW114" s="2"/>
      <c r="AX114" s="2"/>
      <c r="AY114" s="2"/>
      <c r="AZ114" s="2"/>
      <c r="BA114" s="2"/>
      <c r="BB114" s="2"/>
      <c r="BC114" s="2"/>
      <c r="BD114" s="2"/>
      <c r="BE114" s="2"/>
      <c r="BF114" s="2"/>
      <c r="BG114" s="2"/>
      <c r="BH114" s="2"/>
    </row>
    <row r="115" spans="47:60" s="235" customFormat="1" x14ac:dyDescent="0.25">
      <c r="AU115" s="345"/>
      <c r="AV115" s="267"/>
      <c r="AW115" s="2"/>
      <c r="AX115" s="2"/>
      <c r="AY115" s="2"/>
      <c r="AZ115" s="2"/>
      <c r="BA115" s="2"/>
      <c r="BB115" s="2"/>
      <c r="BC115" s="2"/>
      <c r="BD115" s="2"/>
      <c r="BE115" s="2"/>
      <c r="BF115" s="2"/>
      <c r="BG115" s="2"/>
      <c r="BH115" s="2"/>
    </row>
    <row r="116" spans="47:60" s="235" customFormat="1" x14ac:dyDescent="0.25">
      <c r="AU116" s="345"/>
      <c r="AV116" s="267"/>
      <c r="AW116" s="2"/>
      <c r="AX116" s="2"/>
      <c r="AY116" s="2"/>
      <c r="AZ116" s="2"/>
      <c r="BA116" s="2"/>
      <c r="BB116" s="2"/>
      <c r="BC116" s="2"/>
      <c r="BD116" s="2"/>
      <c r="BE116" s="2"/>
      <c r="BF116" s="2"/>
      <c r="BG116" s="2"/>
      <c r="BH116" s="2"/>
    </row>
    <row r="117" spans="47:60" s="235" customFormat="1" x14ac:dyDescent="0.25">
      <c r="AU117" s="345"/>
      <c r="AV117" s="267"/>
      <c r="AW117" s="2"/>
      <c r="AX117" s="2"/>
      <c r="AY117" s="2"/>
      <c r="AZ117" s="2"/>
      <c r="BA117" s="2"/>
      <c r="BB117" s="2"/>
      <c r="BC117" s="2"/>
      <c r="BD117" s="2"/>
      <c r="BE117" s="2"/>
      <c r="BF117" s="2"/>
      <c r="BG117" s="2"/>
      <c r="BH117" s="2"/>
    </row>
    <row r="118" spans="47:60" s="235" customFormat="1" x14ac:dyDescent="0.25">
      <c r="AU118" s="345"/>
      <c r="AV118" s="267"/>
      <c r="AW118" s="2"/>
      <c r="AX118" s="2"/>
      <c r="AY118" s="2"/>
      <c r="AZ118" s="2"/>
      <c r="BA118" s="2"/>
      <c r="BB118" s="2"/>
      <c r="BC118" s="2"/>
      <c r="BD118" s="2"/>
      <c r="BE118" s="2"/>
      <c r="BF118" s="2"/>
      <c r="BG118" s="2"/>
      <c r="BH118" s="2"/>
    </row>
    <row r="119" spans="47:60" s="235" customFormat="1" x14ac:dyDescent="0.25">
      <c r="AU119" s="345"/>
      <c r="AV119" s="267"/>
      <c r="AW119" s="2"/>
      <c r="AX119" s="2"/>
      <c r="AY119" s="2"/>
      <c r="AZ119" s="2"/>
      <c r="BA119" s="2"/>
      <c r="BB119" s="2"/>
      <c r="BC119" s="2"/>
      <c r="BD119" s="2"/>
      <c r="BE119" s="2"/>
      <c r="BF119" s="2"/>
      <c r="BG119" s="2"/>
      <c r="BH119" s="2"/>
    </row>
    <row r="120" spans="47:60" s="235" customFormat="1" x14ac:dyDescent="0.25">
      <c r="AU120" s="345"/>
      <c r="AV120" s="267"/>
      <c r="AW120" s="2"/>
      <c r="AX120" s="2"/>
      <c r="AY120" s="2"/>
      <c r="AZ120" s="2"/>
      <c r="BA120" s="2"/>
      <c r="BB120" s="2"/>
      <c r="BC120" s="2"/>
      <c r="BD120" s="2"/>
      <c r="BE120" s="2"/>
      <c r="BF120" s="2"/>
      <c r="BG120" s="2"/>
      <c r="BH120" s="2"/>
    </row>
    <row r="121" spans="47:60" s="235" customFormat="1" x14ac:dyDescent="0.25">
      <c r="AU121" s="345"/>
      <c r="AV121" s="267"/>
      <c r="AW121" s="2"/>
      <c r="AX121" s="2"/>
      <c r="AY121" s="2"/>
      <c r="AZ121" s="2"/>
      <c r="BA121" s="2"/>
      <c r="BB121" s="2"/>
      <c r="BC121" s="2"/>
      <c r="BD121" s="2"/>
      <c r="BE121" s="2"/>
      <c r="BF121" s="2"/>
      <c r="BG121" s="2"/>
      <c r="BH121" s="2"/>
    </row>
    <row r="122" spans="47:60" s="235" customFormat="1" x14ac:dyDescent="0.25">
      <c r="AU122" s="345"/>
      <c r="AV122" s="267"/>
      <c r="AW122" s="2"/>
      <c r="AX122" s="2"/>
      <c r="AY122" s="2"/>
      <c r="AZ122" s="2"/>
      <c r="BA122" s="2"/>
      <c r="BB122" s="2"/>
      <c r="BC122" s="2"/>
      <c r="BD122" s="2"/>
      <c r="BE122" s="2"/>
      <c r="BF122" s="2"/>
      <c r="BG122" s="2"/>
      <c r="BH122" s="2"/>
    </row>
    <row r="123" spans="47:60" s="235" customFormat="1" x14ac:dyDescent="0.25">
      <c r="AU123" s="345"/>
      <c r="AV123" s="267"/>
      <c r="AW123" s="2"/>
      <c r="AX123" s="2"/>
      <c r="AY123" s="2"/>
      <c r="AZ123" s="2"/>
      <c r="BA123" s="2"/>
      <c r="BB123" s="2"/>
      <c r="BC123" s="2"/>
      <c r="BD123" s="2"/>
      <c r="BE123" s="2"/>
      <c r="BF123" s="2"/>
      <c r="BG123" s="2"/>
      <c r="BH123" s="2"/>
    </row>
    <row r="124" spans="47:60" s="235" customFormat="1" x14ac:dyDescent="0.25">
      <c r="AU124" s="345"/>
      <c r="AV124" s="267"/>
      <c r="AW124" s="2"/>
      <c r="AX124" s="2"/>
      <c r="AY124" s="2"/>
      <c r="AZ124" s="2"/>
      <c r="BA124" s="2"/>
      <c r="BB124" s="2"/>
      <c r="BC124" s="2"/>
      <c r="BD124" s="2"/>
      <c r="BE124" s="2"/>
      <c r="BF124" s="2"/>
      <c r="BG124" s="2"/>
      <c r="BH124" s="2"/>
    </row>
    <row r="125" spans="47:60" s="235" customFormat="1" x14ac:dyDescent="0.25">
      <c r="AU125" s="345"/>
      <c r="AV125" s="267"/>
      <c r="AW125" s="2"/>
      <c r="AX125" s="2"/>
      <c r="AY125" s="2"/>
      <c r="AZ125" s="2"/>
      <c r="BA125" s="2"/>
      <c r="BB125" s="2"/>
      <c r="BC125" s="2"/>
      <c r="BD125" s="2"/>
      <c r="BE125" s="2"/>
      <c r="BF125" s="2"/>
      <c r="BG125" s="2"/>
      <c r="BH125" s="2"/>
    </row>
    <row r="126" spans="47:60" s="235" customFormat="1" x14ac:dyDescent="0.25">
      <c r="AU126" s="345"/>
      <c r="AV126" s="267"/>
      <c r="AW126" s="2"/>
      <c r="AX126" s="2"/>
      <c r="AY126" s="2"/>
      <c r="AZ126" s="2"/>
      <c r="BA126" s="2"/>
      <c r="BB126" s="2"/>
      <c r="BC126" s="2"/>
      <c r="BD126" s="2"/>
      <c r="BE126" s="2"/>
      <c r="BF126" s="2"/>
      <c r="BG126" s="2"/>
      <c r="BH126" s="2"/>
    </row>
    <row r="127" spans="47:60" s="235" customFormat="1" x14ac:dyDescent="0.25">
      <c r="AU127" s="345"/>
      <c r="AV127" s="267"/>
      <c r="AW127" s="2"/>
      <c r="AX127" s="2"/>
      <c r="AY127" s="2"/>
      <c r="AZ127" s="2"/>
      <c r="BA127" s="2"/>
      <c r="BB127" s="2"/>
      <c r="BC127" s="2"/>
      <c r="BD127" s="2"/>
      <c r="BE127" s="2"/>
      <c r="BF127" s="2"/>
      <c r="BG127" s="2"/>
      <c r="BH127" s="2"/>
    </row>
    <row r="128" spans="47:60" s="235" customFormat="1" x14ac:dyDescent="0.25">
      <c r="AU128" s="345"/>
      <c r="AV128" s="267"/>
      <c r="AW128" s="2"/>
      <c r="AX128" s="2"/>
      <c r="AY128" s="2"/>
      <c r="AZ128" s="2"/>
      <c r="BA128" s="2"/>
      <c r="BB128" s="2"/>
      <c r="BC128" s="2"/>
      <c r="BD128" s="2"/>
      <c r="BE128" s="2"/>
      <c r="BF128" s="2"/>
      <c r="BG128" s="2"/>
      <c r="BH128" s="2"/>
    </row>
    <row r="129" spans="47:60" s="235" customFormat="1" x14ac:dyDescent="0.25">
      <c r="AU129" s="345"/>
      <c r="AV129" s="267"/>
      <c r="AW129" s="2"/>
      <c r="AX129" s="2"/>
      <c r="AY129" s="2"/>
      <c r="AZ129" s="2"/>
      <c r="BA129" s="2"/>
      <c r="BB129" s="2"/>
      <c r="BC129" s="2"/>
      <c r="BD129" s="2"/>
      <c r="BE129" s="2"/>
      <c r="BF129" s="2"/>
      <c r="BG129" s="2"/>
      <c r="BH129" s="2"/>
    </row>
    <row r="130" spans="47:60" s="235" customFormat="1" x14ac:dyDescent="0.25">
      <c r="AU130" s="345"/>
      <c r="AV130" s="267"/>
      <c r="AW130" s="2"/>
      <c r="AX130" s="2"/>
      <c r="AY130" s="2"/>
      <c r="AZ130" s="2"/>
      <c r="BA130" s="2"/>
      <c r="BB130" s="2"/>
      <c r="BC130" s="2"/>
      <c r="BD130" s="2"/>
      <c r="BE130" s="2"/>
      <c r="BF130" s="2"/>
      <c r="BG130" s="2"/>
      <c r="BH130" s="2"/>
    </row>
    <row r="131" spans="47:60" s="235" customFormat="1" x14ac:dyDescent="0.25">
      <c r="AU131" s="345"/>
      <c r="AV131" s="267"/>
      <c r="AW131" s="2"/>
      <c r="AX131" s="2"/>
      <c r="AY131" s="2"/>
      <c r="AZ131" s="2"/>
      <c r="BA131" s="2"/>
      <c r="BB131" s="2"/>
      <c r="BC131" s="2"/>
      <c r="BD131" s="2"/>
      <c r="BE131" s="2"/>
      <c r="BF131" s="2"/>
      <c r="BG131" s="2"/>
      <c r="BH131" s="2"/>
    </row>
    <row r="132" spans="47:60" s="235" customFormat="1" x14ac:dyDescent="0.25">
      <c r="AU132" s="345"/>
      <c r="AV132" s="267"/>
      <c r="AW132" s="2"/>
      <c r="AX132" s="2"/>
      <c r="AY132" s="2"/>
      <c r="AZ132" s="2"/>
      <c r="BA132" s="2"/>
      <c r="BB132" s="2"/>
      <c r="BC132" s="2"/>
      <c r="BD132" s="2"/>
      <c r="BE132" s="2"/>
      <c r="BF132" s="2"/>
      <c r="BG132" s="2"/>
      <c r="BH132" s="2"/>
    </row>
    <row r="133" spans="47:60" s="235" customFormat="1" x14ac:dyDescent="0.25">
      <c r="AU133" s="345"/>
      <c r="AV133" s="267"/>
      <c r="AW133" s="2"/>
      <c r="AX133" s="2"/>
      <c r="AY133" s="2"/>
      <c r="AZ133" s="2"/>
      <c r="BA133" s="2"/>
      <c r="BB133" s="2"/>
      <c r="BC133" s="2"/>
      <c r="BD133" s="2"/>
      <c r="BE133" s="2"/>
      <c r="BF133" s="2"/>
      <c r="BG133" s="2"/>
      <c r="BH133" s="2"/>
    </row>
    <row r="134" spans="47:60" s="235" customFormat="1" x14ac:dyDescent="0.25">
      <c r="AU134" s="345"/>
      <c r="AV134" s="267"/>
      <c r="AW134" s="2"/>
      <c r="AX134" s="2"/>
      <c r="AY134" s="2"/>
      <c r="AZ134" s="2"/>
      <c r="BA134" s="2"/>
      <c r="BB134" s="2"/>
      <c r="BC134" s="2"/>
      <c r="BD134" s="2"/>
      <c r="BE134" s="2"/>
      <c r="BF134" s="2"/>
      <c r="BG134" s="2"/>
      <c r="BH134" s="2"/>
    </row>
    <row r="135" spans="47:60" s="235" customFormat="1" x14ac:dyDescent="0.25">
      <c r="AU135" s="345"/>
      <c r="AV135" s="267"/>
      <c r="AW135" s="2"/>
      <c r="AX135" s="2"/>
      <c r="AY135" s="2"/>
      <c r="AZ135" s="2"/>
      <c r="BA135" s="2"/>
      <c r="BB135" s="2"/>
      <c r="BC135" s="2"/>
      <c r="BD135" s="2"/>
      <c r="BE135" s="2"/>
      <c r="BF135" s="2"/>
      <c r="BG135" s="2"/>
      <c r="BH135" s="2"/>
    </row>
    <row r="136" spans="47:60" s="235" customFormat="1" x14ac:dyDescent="0.25">
      <c r="AU136" s="345"/>
      <c r="AV136" s="267"/>
      <c r="AW136" s="2"/>
      <c r="AX136" s="2"/>
      <c r="AY136" s="2"/>
      <c r="AZ136" s="2"/>
      <c r="BA136" s="2"/>
      <c r="BB136" s="2"/>
      <c r="BC136" s="2"/>
      <c r="BD136" s="2"/>
      <c r="BE136" s="2"/>
      <c r="BF136" s="2"/>
      <c r="BG136" s="2"/>
      <c r="BH136" s="2"/>
    </row>
    <row r="137" spans="47:60" s="235" customFormat="1" x14ac:dyDescent="0.25">
      <c r="AU137" s="345"/>
      <c r="AV137" s="267"/>
      <c r="AW137" s="2"/>
      <c r="AX137" s="2"/>
      <c r="AY137" s="2"/>
      <c r="AZ137" s="2"/>
      <c r="BA137" s="2"/>
      <c r="BB137" s="2"/>
      <c r="BC137" s="2"/>
      <c r="BD137" s="2"/>
      <c r="BE137" s="2"/>
      <c r="BF137" s="2"/>
      <c r="BG137" s="2"/>
      <c r="BH137" s="2"/>
    </row>
    <row r="138" spans="47:60" s="235" customFormat="1" x14ac:dyDescent="0.25">
      <c r="AU138" s="345"/>
      <c r="AV138" s="267"/>
      <c r="AW138" s="2"/>
      <c r="AX138" s="2"/>
      <c r="AY138" s="2"/>
      <c r="AZ138" s="2"/>
      <c r="BA138" s="2"/>
      <c r="BB138" s="2"/>
      <c r="BC138" s="2"/>
      <c r="BD138" s="2"/>
      <c r="BE138" s="2"/>
      <c r="BF138" s="2"/>
      <c r="BG138" s="2"/>
      <c r="BH138" s="2"/>
    </row>
    <row r="139" spans="47:60" s="235" customFormat="1" x14ac:dyDescent="0.25">
      <c r="AU139" s="345"/>
      <c r="AV139" s="267"/>
      <c r="AW139" s="2"/>
      <c r="AX139" s="2"/>
      <c r="AY139" s="2"/>
      <c r="AZ139" s="2"/>
      <c r="BA139" s="2"/>
      <c r="BB139" s="2"/>
      <c r="BC139" s="2"/>
      <c r="BD139" s="2"/>
      <c r="BE139" s="2"/>
      <c r="BF139" s="2"/>
      <c r="BG139" s="2"/>
      <c r="BH139" s="2"/>
    </row>
    <row r="140" spans="47:60" s="235" customFormat="1" x14ac:dyDescent="0.25">
      <c r="AU140" s="345"/>
      <c r="AV140" s="267"/>
      <c r="AW140" s="2"/>
      <c r="AX140" s="2"/>
      <c r="AY140" s="2"/>
      <c r="AZ140" s="2"/>
      <c r="BA140" s="2"/>
      <c r="BB140" s="2"/>
      <c r="BC140" s="2"/>
      <c r="BD140" s="2"/>
      <c r="BE140" s="2"/>
      <c r="BF140" s="2"/>
      <c r="BG140" s="2"/>
      <c r="BH140" s="2"/>
    </row>
    <row r="141" spans="47:60" s="235" customFormat="1" x14ac:dyDescent="0.25">
      <c r="AU141" s="345"/>
      <c r="AV141" s="267"/>
      <c r="AW141" s="2"/>
      <c r="AX141" s="2"/>
      <c r="AY141" s="2"/>
      <c r="AZ141" s="2"/>
      <c r="BA141" s="2"/>
      <c r="BB141" s="2"/>
      <c r="BC141" s="2"/>
      <c r="BD141" s="2"/>
      <c r="BE141" s="2"/>
      <c r="BF141" s="2"/>
      <c r="BG141" s="2"/>
      <c r="BH141" s="2"/>
    </row>
    <row r="142" spans="47:60" s="235" customFormat="1" x14ac:dyDescent="0.25">
      <c r="AU142" s="345"/>
      <c r="AV142" s="267"/>
      <c r="AW142" s="2"/>
      <c r="AX142" s="2"/>
      <c r="AY142" s="2"/>
      <c r="AZ142" s="2"/>
      <c r="BA142" s="2"/>
      <c r="BB142" s="2"/>
      <c r="BC142" s="2"/>
      <c r="BD142" s="2"/>
      <c r="BE142" s="2"/>
      <c r="BF142" s="2"/>
      <c r="BG142" s="2"/>
      <c r="BH142" s="2"/>
    </row>
    <row r="143" spans="47:60" s="235" customFormat="1" x14ac:dyDescent="0.25">
      <c r="AU143" s="345"/>
      <c r="AV143" s="267"/>
      <c r="AW143" s="2"/>
      <c r="AX143" s="2"/>
      <c r="AY143" s="2"/>
      <c r="AZ143" s="2"/>
      <c r="BA143" s="2"/>
      <c r="BB143" s="2"/>
      <c r="BC143" s="2"/>
      <c r="BD143" s="2"/>
      <c r="BE143" s="2"/>
      <c r="BF143" s="2"/>
      <c r="BG143" s="2"/>
      <c r="BH143" s="2"/>
    </row>
    <row r="144" spans="47:60" s="235" customFormat="1" x14ac:dyDescent="0.25">
      <c r="AU144" s="345"/>
      <c r="AV144" s="267"/>
      <c r="AW144" s="2"/>
      <c r="AX144" s="2"/>
      <c r="AY144" s="2"/>
      <c r="AZ144" s="2"/>
      <c r="BA144" s="2"/>
      <c r="BB144" s="2"/>
      <c r="BC144" s="2"/>
      <c r="BD144" s="2"/>
      <c r="BE144" s="2"/>
      <c r="BF144" s="2"/>
      <c r="BG144" s="2"/>
      <c r="BH144" s="2"/>
    </row>
    <row r="145" spans="47:60" s="235" customFormat="1" x14ac:dyDescent="0.25">
      <c r="AU145" s="345"/>
      <c r="AV145" s="267"/>
      <c r="AW145" s="2"/>
      <c r="AX145" s="2"/>
      <c r="AY145" s="2"/>
      <c r="AZ145" s="2"/>
      <c r="BA145" s="2"/>
      <c r="BB145" s="2"/>
      <c r="BC145" s="2"/>
      <c r="BD145" s="2"/>
      <c r="BE145" s="2"/>
      <c r="BF145" s="2"/>
      <c r="BG145" s="2"/>
      <c r="BH145" s="2"/>
    </row>
    <row r="146" spans="47:60" s="235" customFormat="1" x14ac:dyDescent="0.25">
      <c r="AU146" s="345"/>
      <c r="AV146" s="267"/>
      <c r="AW146" s="2"/>
      <c r="AX146" s="2"/>
      <c r="AY146" s="2"/>
      <c r="AZ146" s="2"/>
      <c r="BA146" s="2"/>
      <c r="BB146" s="2"/>
      <c r="BC146" s="2"/>
      <c r="BD146" s="2"/>
      <c r="BE146" s="2"/>
      <c r="BF146" s="2"/>
      <c r="BG146" s="2"/>
      <c r="BH146" s="2"/>
    </row>
    <row r="147" spans="47:60" s="235" customFormat="1" x14ac:dyDescent="0.25">
      <c r="AU147" s="345"/>
      <c r="AV147" s="267"/>
      <c r="AW147" s="2"/>
      <c r="AX147" s="2"/>
      <c r="AY147" s="2"/>
      <c r="AZ147" s="2"/>
      <c r="BA147" s="2"/>
      <c r="BB147" s="2"/>
      <c r="BC147" s="2"/>
      <c r="BD147" s="2"/>
      <c r="BE147" s="2"/>
      <c r="BF147" s="2"/>
      <c r="BG147" s="2"/>
      <c r="BH147" s="2"/>
    </row>
    <row r="148" spans="47:60" s="235" customFormat="1" x14ac:dyDescent="0.25">
      <c r="AU148" s="345"/>
      <c r="AV148" s="267"/>
      <c r="AW148" s="2"/>
      <c r="AX148" s="2"/>
      <c r="AY148" s="2"/>
      <c r="AZ148" s="2"/>
      <c r="BA148" s="2"/>
      <c r="BB148" s="2"/>
      <c r="BC148" s="2"/>
      <c r="BD148" s="2"/>
      <c r="BE148" s="2"/>
      <c r="BF148" s="2"/>
      <c r="BG148" s="2"/>
      <c r="BH148" s="2"/>
    </row>
    <row r="149" spans="47:60" s="235" customFormat="1" x14ac:dyDescent="0.25">
      <c r="AU149" s="345"/>
      <c r="AV149" s="267"/>
      <c r="AW149" s="2"/>
      <c r="AX149" s="2"/>
      <c r="AY149" s="2"/>
      <c r="AZ149" s="2"/>
      <c r="BA149" s="2"/>
      <c r="BB149" s="2"/>
      <c r="BC149" s="2"/>
      <c r="BD149" s="2"/>
      <c r="BE149" s="2"/>
      <c r="BF149" s="2"/>
      <c r="BG149" s="2"/>
      <c r="BH149" s="2"/>
    </row>
    <row r="150" spans="47:60" s="235" customFormat="1" x14ac:dyDescent="0.25">
      <c r="AU150" s="345"/>
      <c r="AV150" s="267"/>
      <c r="AW150" s="2"/>
      <c r="AX150" s="2"/>
      <c r="AY150" s="2"/>
      <c r="AZ150" s="2"/>
      <c r="BA150" s="2"/>
      <c r="BB150" s="2"/>
      <c r="BC150" s="2"/>
      <c r="BD150" s="2"/>
      <c r="BE150" s="2"/>
      <c r="BF150" s="2"/>
      <c r="BG150" s="2"/>
      <c r="BH150" s="2"/>
    </row>
    <row r="151" spans="47:60" s="235" customFormat="1" x14ac:dyDescent="0.25">
      <c r="AU151" s="345"/>
      <c r="AV151" s="267"/>
      <c r="AW151" s="2"/>
      <c r="AX151" s="2"/>
      <c r="AY151" s="2"/>
      <c r="AZ151" s="2"/>
      <c r="BA151" s="2"/>
      <c r="BB151" s="2"/>
      <c r="BC151" s="2"/>
      <c r="BD151" s="2"/>
      <c r="BE151" s="2"/>
      <c r="BF151" s="2"/>
      <c r="BG151" s="2"/>
      <c r="BH151" s="2"/>
    </row>
    <row r="152" spans="47:60" s="235" customFormat="1" x14ac:dyDescent="0.25">
      <c r="AU152" s="345"/>
      <c r="AV152" s="267"/>
      <c r="AW152" s="2"/>
      <c r="AX152" s="2"/>
      <c r="AY152" s="2"/>
      <c r="AZ152" s="2"/>
      <c r="BA152" s="2"/>
      <c r="BB152" s="2"/>
      <c r="BC152" s="2"/>
      <c r="BD152" s="2"/>
      <c r="BE152" s="2"/>
      <c r="BF152" s="2"/>
      <c r="BG152" s="2"/>
      <c r="BH152" s="2"/>
    </row>
    <row r="153" spans="47:60" s="235" customFormat="1" x14ac:dyDescent="0.25">
      <c r="AU153" s="345"/>
      <c r="AV153" s="267"/>
      <c r="AW153" s="2"/>
      <c r="AX153" s="2"/>
      <c r="AY153" s="2"/>
      <c r="AZ153" s="2"/>
      <c r="BA153" s="2"/>
      <c r="BB153" s="2"/>
      <c r="BC153" s="2"/>
      <c r="BD153" s="2"/>
      <c r="BE153" s="2"/>
      <c r="BF153" s="2"/>
      <c r="BG153" s="2"/>
      <c r="BH153" s="2"/>
    </row>
    <row r="154" spans="47:60" s="235" customFormat="1" x14ac:dyDescent="0.25">
      <c r="AU154" s="345"/>
      <c r="AV154" s="267"/>
      <c r="AW154" s="2"/>
      <c r="AX154" s="2"/>
      <c r="AY154" s="2"/>
      <c r="AZ154" s="2"/>
      <c r="BA154" s="2"/>
      <c r="BB154" s="2"/>
      <c r="BC154" s="2"/>
      <c r="BD154" s="2"/>
      <c r="BE154" s="2"/>
      <c r="BF154" s="2"/>
      <c r="BG154" s="2"/>
      <c r="BH154" s="2"/>
    </row>
    <row r="155" spans="47:60" s="235" customFormat="1" x14ac:dyDescent="0.25">
      <c r="AU155" s="345"/>
      <c r="AV155" s="267"/>
      <c r="AW155" s="2"/>
      <c r="AX155" s="2"/>
      <c r="AY155" s="2"/>
      <c r="AZ155" s="2"/>
      <c r="BA155" s="2"/>
      <c r="BB155" s="2"/>
      <c r="BC155" s="2"/>
      <c r="BD155" s="2"/>
      <c r="BE155" s="2"/>
      <c r="BF155" s="2"/>
      <c r="BG155" s="2"/>
      <c r="BH155" s="2"/>
    </row>
    <row r="156" spans="47:60" s="235" customFormat="1" x14ac:dyDescent="0.25">
      <c r="AU156" s="345"/>
      <c r="AV156" s="267"/>
      <c r="AW156" s="2"/>
      <c r="AX156" s="2"/>
      <c r="AY156" s="2"/>
      <c r="AZ156" s="2"/>
      <c r="BA156" s="2"/>
      <c r="BB156" s="2"/>
      <c r="BC156" s="2"/>
      <c r="BD156" s="2"/>
      <c r="BE156" s="2"/>
      <c r="BF156" s="2"/>
      <c r="BG156" s="2"/>
      <c r="BH156" s="2"/>
    </row>
    <row r="157" spans="47:60" s="235" customFormat="1" x14ac:dyDescent="0.25">
      <c r="AU157" s="345"/>
      <c r="AV157" s="267"/>
      <c r="AW157" s="2"/>
      <c r="AX157" s="2"/>
      <c r="AY157" s="2"/>
      <c r="AZ157" s="2"/>
      <c r="BA157" s="2"/>
      <c r="BB157" s="2"/>
      <c r="BC157" s="2"/>
      <c r="BD157" s="2"/>
      <c r="BE157" s="2"/>
      <c r="BF157" s="2"/>
      <c r="BG157" s="2"/>
      <c r="BH157" s="2"/>
    </row>
    <row r="158" spans="47:60" s="235" customFormat="1" x14ac:dyDescent="0.25">
      <c r="AU158" s="345"/>
      <c r="AV158" s="267"/>
      <c r="AW158" s="2"/>
      <c r="AX158" s="2"/>
      <c r="AY158" s="2"/>
      <c r="AZ158" s="2"/>
      <c r="BA158" s="2"/>
      <c r="BB158" s="2"/>
      <c r="BC158" s="2"/>
      <c r="BD158" s="2"/>
      <c r="BE158" s="2"/>
      <c r="BF158" s="2"/>
      <c r="BG158" s="2"/>
      <c r="BH158" s="2"/>
    </row>
    <row r="159" spans="47:60" s="235" customFormat="1" x14ac:dyDescent="0.25">
      <c r="AU159" s="345"/>
      <c r="AV159" s="267"/>
      <c r="AW159" s="2"/>
      <c r="AX159" s="2"/>
      <c r="AY159" s="2"/>
      <c r="AZ159" s="2"/>
      <c r="BA159" s="2"/>
      <c r="BB159" s="2"/>
      <c r="BC159" s="2"/>
      <c r="BD159" s="2"/>
      <c r="BE159" s="2"/>
      <c r="BF159" s="2"/>
      <c r="BG159" s="2"/>
      <c r="BH159" s="2"/>
    </row>
    <row r="160" spans="47:60" s="235" customFormat="1" x14ac:dyDescent="0.25">
      <c r="AU160" s="345"/>
      <c r="AV160" s="267"/>
      <c r="AW160" s="2"/>
      <c r="AX160" s="2"/>
      <c r="AY160" s="2"/>
      <c r="AZ160" s="2"/>
      <c r="BA160" s="2"/>
      <c r="BB160" s="2"/>
      <c r="BC160" s="2"/>
      <c r="BD160" s="2"/>
      <c r="BE160" s="2"/>
      <c r="BF160" s="2"/>
      <c r="BG160" s="2"/>
      <c r="BH160" s="2"/>
    </row>
    <row r="161" spans="47:60" s="235" customFormat="1" x14ac:dyDescent="0.25">
      <c r="AU161" s="345"/>
      <c r="AV161" s="267"/>
      <c r="AW161" s="2"/>
      <c r="AX161" s="2"/>
      <c r="AY161" s="2"/>
      <c r="AZ161" s="2"/>
      <c r="BA161" s="2"/>
      <c r="BB161" s="2"/>
      <c r="BC161" s="2"/>
      <c r="BD161" s="2"/>
      <c r="BE161" s="2"/>
      <c r="BF161" s="2"/>
      <c r="BG161" s="2"/>
      <c r="BH161" s="2"/>
    </row>
    <row r="162" spans="47:60" s="235" customFormat="1" x14ac:dyDescent="0.25">
      <c r="AU162" s="345"/>
      <c r="AV162" s="267"/>
      <c r="AW162" s="2"/>
      <c r="AX162" s="2"/>
      <c r="AY162" s="2"/>
      <c r="AZ162" s="2"/>
      <c r="BA162" s="2"/>
      <c r="BB162" s="2"/>
      <c r="BC162" s="2"/>
      <c r="BD162" s="2"/>
      <c r="BE162" s="2"/>
      <c r="BF162" s="2"/>
      <c r="BG162" s="2"/>
      <c r="BH162" s="2"/>
    </row>
    <row r="163" spans="47:60" s="235" customFormat="1" x14ac:dyDescent="0.25">
      <c r="AU163" s="345"/>
      <c r="AV163" s="267"/>
      <c r="AW163" s="2"/>
      <c r="AX163" s="2"/>
      <c r="AY163" s="2"/>
      <c r="AZ163" s="2"/>
      <c r="BA163" s="2"/>
      <c r="BB163" s="2"/>
      <c r="BC163" s="2"/>
      <c r="BD163" s="2"/>
      <c r="BE163" s="2"/>
      <c r="BF163" s="2"/>
      <c r="BG163" s="2"/>
      <c r="BH163" s="2"/>
    </row>
    <row r="164" spans="47:60" s="235" customFormat="1" x14ac:dyDescent="0.25">
      <c r="AU164" s="345"/>
      <c r="AV164" s="267"/>
      <c r="AW164" s="2"/>
      <c r="AX164" s="2"/>
      <c r="AY164" s="2"/>
      <c r="AZ164" s="2"/>
      <c r="BA164" s="2"/>
      <c r="BB164" s="2"/>
      <c r="BC164" s="2"/>
      <c r="BD164" s="2"/>
      <c r="BE164" s="2"/>
      <c r="BF164" s="2"/>
      <c r="BG164" s="2"/>
      <c r="BH164" s="2"/>
    </row>
    <row r="165" spans="47:60" s="235" customFormat="1" x14ac:dyDescent="0.25">
      <c r="AU165" s="345"/>
      <c r="AV165" s="267"/>
      <c r="AW165" s="2"/>
      <c r="AX165" s="2"/>
      <c r="AY165" s="2"/>
      <c r="AZ165" s="2"/>
      <c r="BA165" s="2"/>
      <c r="BB165" s="2"/>
      <c r="BC165" s="2"/>
      <c r="BD165" s="2"/>
      <c r="BE165" s="2"/>
      <c r="BF165" s="2"/>
      <c r="BG165" s="2"/>
      <c r="BH165" s="2"/>
    </row>
    <row r="166" spans="47:60" s="235" customFormat="1" x14ac:dyDescent="0.25">
      <c r="AU166" s="345"/>
      <c r="AV166" s="267"/>
      <c r="AW166" s="2"/>
      <c r="AX166" s="2"/>
      <c r="AY166" s="2"/>
      <c r="AZ166" s="2"/>
      <c r="BA166" s="2"/>
      <c r="BB166" s="2"/>
      <c r="BC166" s="2"/>
      <c r="BD166" s="2"/>
      <c r="BE166" s="2"/>
      <c r="BF166" s="2"/>
      <c r="BG166" s="2"/>
      <c r="BH166" s="2"/>
    </row>
    <row r="167" spans="47:60" s="235" customFormat="1" x14ac:dyDescent="0.25">
      <c r="AU167" s="345"/>
      <c r="AV167" s="267"/>
      <c r="AW167" s="2"/>
      <c r="AX167" s="2"/>
      <c r="AY167" s="2"/>
      <c r="AZ167" s="2"/>
      <c r="BA167" s="2"/>
      <c r="BB167" s="2"/>
      <c r="BC167" s="2"/>
      <c r="BD167" s="2"/>
      <c r="BE167" s="2"/>
      <c r="BF167" s="2"/>
      <c r="BG167" s="2"/>
      <c r="BH167" s="2"/>
    </row>
    <row r="168" spans="47:60" s="235" customFormat="1" x14ac:dyDescent="0.25">
      <c r="AU168" s="345"/>
      <c r="AV168" s="267"/>
      <c r="AW168" s="2"/>
      <c r="AX168" s="2"/>
      <c r="AY168" s="2"/>
      <c r="AZ168" s="2"/>
      <c r="BA168" s="2"/>
      <c r="BB168" s="2"/>
      <c r="BC168" s="2"/>
      <c r="BD168" s="2"/>
      <c r="BE168" s="2"/>
      <c r="BF168" s="2"/>
      <c r="BG168" s="2"/>
      <c r="BH168" s="2"/>
    </row>
    <row r="169" spans="47:60" s="235" customFormat="1" x14ac:dyDescent="0.25">
      <c r="AU169" s="345"/>
      <c r="AV169" s="267"/>
      <c r="AW169" s="2"/>
      <c r="AX169" s="2"/>
      <c r="AY169" s="2"/>
      <c r="AZ169" s="2"/>
      <c r="BA169" s="2"/>
      <c r="BB169" s="2"/>
      <c r="BC169" s="2"/>
      <c r="BD169" s="2"/>
      <c r="BE169" s="2"/>
      <c r="BF169" s="2"/>
      <c r="BG169" s="2"/>
      <c r="BH169" s="2"/>
    </row>
    <row r="170" spans="47:60" s="235" customFormat="1" x14ac:dyDescent="0.25">
      <c r="AU170" s="345"/>
      <c r="AV170" s="267"/>
      <c r="AW170" s="2"/>
      <c r="AX170" s="2"/>
      <c r="AY170" s="2"/>
      <c r="AZ170" s="2"/>
      <c r="BA170" s="2"/>
      <c r="BB170" s="2"/>
      <c r="BC170" s="2"/>
      <c r="BD170" s="2"/>
      <c r="BE170" s="2"/>
      <c r="BF170" s="2"/>
      <c r="BG170" s="2"/>
      <c r="BH170" s="2"/>
    </row>
    <row r="171" spans="47:60" s="235" customFormat="1" x14ac:dyDescent="0.25">
      <c r="AU171" s="345"/>
      <c r="AV171" s="267"/>
      <c r="AW171" s="2"/>
      <c r="AX171" s="2"/>
      <c r="AY171" s="2"/>
      <c r="AZ171" s="2"/>
      <c r="BA171" s="2"/>
      <c r="BB171" s="2"/>
      <c r="BC171" s="2"/>
      <c r="BD171" s="2"/>
      <c r="BE171" s="2"/>
      <c r="BF171" s="2"/>
      <c r="BG171" s="2"/>
      <c r="BH171" s="2"/>
    </row>
    <row r="172" spans="47:60" s="235" customFormat="1" x14ac:dyDescent="0.25">
      <c r="AU172" s="345"/>
      <c r="AV172" s="267"/>
      <c r="AW172" s="2"/>
      <c r="AX172" s="2"/>
      <c r="AY172" s="2"/>
      <c r="AZ172" s="2"/>
      <c r="BA172" s="2"/>
      <c r="BB172" s="2"/>
      <c r="BC172" s="2"/>
      <c r="BD172" s="2"/>
      <c r="BE172" s="2"/>
      <c r="BF172" s="2"/>
      <c r="BG172" s="2"/>
      <c r="BH172" s="2"/>
    </row>
    <row r="173" spans="47:60" s="235" customFormat="1" x14ac:dyDescent="0.25">
      <c r="AU173" s="345"/>
      <c r="AV173" s="267"/>
      <c r="AW173" s="2"/>
      <c r="AX173" s="2"/>
      <c r="AY173" s="2"/>
      <c r="AZ173" s="2"/>
      <c r="BA173" s="2"/>
      <c r="BB173" s="2"/>
      <c r="BC173" s="2"/>
      <c r="BD173" s="2"/>
      <c r="BE173" s="2"/>
      <c r="BF173" s="2"/>
      <c r="BG173" s="2"/>
      <c r="BH173" s="2"/>
    </row>
    <row r="174" spans="47:60" s="235" customFormat="1" x14ac:dyDescent="0.25">
      <c r="AU174" s="345"/>
      <c r="AV174" s="267"/>
      <c r="AW174" s="2"/>
      <c r="AX174" s="2"/>
      <c r="AY174" s="2"/>
      <c r="AZ174" s="2"/>
      <c r="BA174" s="2"/>
      <c r="BB174" s="2"/>
      <c r="BC174" s="2"/>
      <c r="BD174" s="2"/>
      <c r="BE174" s="2"/>
      <c r="BF174" s="2"/>
      <c r="BG174" s="2"/>
      <c r="BH174" s="2"/>
    </row>
    <row r="175" spans="47:60" s="235" customFormat="1" x14ac:dyDescent="0.25">
      <c r="AU175" s="345"/>
      <c r="AV175" s="267"/>
      <c r="AW175" s="2"/>
      <c r="AX175" s="2"/>
      <c r="AY175" s="2"/>
      <c r="AZ175" s="2"/>
      <c r="BA175" s="2"/>
      <c r="BB175" s="2"/>
      <c r="BC175" s="2"/>
      <c r="BD175" s="2"/>
      <c r="BE175" s="2"/>
      <c r="BF175" s="2"/>
      <c r="BG175" s="2"/>
      <c r="BH175" s="2"/>
    </row>
    <row r="176" spans="47:60" s="235" customFormat="1" x14ac:dyDescent="0.25">
      <c r="AU176" s="345"/>
      <c r="AV176" s="267"/>
      <c r="AW176" s="2"/>
      <c r="AX176" s="2"/>
      <c r="AY176" s="2"/>
      <c r="AZ176" s="2"/>
      <c r="BA176" s="2"/>
      <c r="BB176" s="2"/>
      <c r="BC176" s="2"/>
      <c r="BD176" s="2"/>
      <c r="BE176" s="2"/>
      <c r="BF176" s="2"/>
      <c r="BG176" s="2"/>
      <c r="BH176" s="2"/>
    </row>
    <row r="177" spans="47:60" s="235" customFormat="1" x14ac:dyDescent="0.25">
      <c r="AU177" s="345"/>
      <c r="AV177" s="267"/>
      <c r="AW177" s="2"/>
      <c r="AX177" s="2"/>
      <c r="AY177" s="2"/>
      <c r="AZ177" s="2"/>
      <c r="BA177" s="2"/>
      <c r="BB177" s="2"/>
      <c r="BC177" s="2"/>
      <c r="BD177" s="2"/>
      <c r="BE177" s="2"/>
      <c r="BF177" s="2"/>
      <c r="BG177" s="2"/>
      <c r="BH177" s="2"/>
    </row>
    <row r="178" spans="47:60" s="235" customFormat="1" x14ac:dyDescent="0.25">
      <c r="AU178" s="345"/>
      <c r="AV178" s="267"/>
      <c r="AW178" s="2"/>
      <c r="AX178" s="2"/>
      <c r="AY178" s="2"/>
      <c r="AZ178" s="2"/>
      <c r="BA178" s="2"/>
      <c r="BB178" s="2"/>
      <c r="BC178" s="2"/>
      <c r="BD178" s="2"/>
      <c r="BE178" s="2"/>
      <c r="BF178" s="2"/>
      <c r="BG178" s="2"/>
      <c r="BH178" s="2"/>
    </row>
    <row r="179" spans="47:60" s="235" customFormat="1" x14ac:dyDescent="0.25">
      <c r="AU179" s="345"/>
      <c r="AV179" s="267"/>
      <c r="AW179" s="2"/>
      <c r="AX179" s="2"/>
      <c r="AY179" s="2"/>
      <c r="AZ179" s="2"/>
      <c r="BA179" s="2"/>
      <c r="BB179" s="2"/>
      <c r="BC179" s="2"/>
      <c r="BD179" s="2"/>
      <c r="BE179" s="2"/>
      <c r="BF179" s="2"/>
      <c r="BG179" s="2"/>
      <c r="BH179" s="2"/>
    </row>
    <row r="180" spans="47:60" s="235" customFormat="1" x14ac:dyDescent="0.25">
      <c r="AU180" s="345"/>
      <c r="AV180" s="267"/>
      <c r="AW180" s="2"/>
      <c r="AX180" s="2"/>
      <c r="AY180" s="2"/>
      <c r="AZ180" s="2"/>
      <c r="BA180" s="2"/>
      <c r="BB180" s="2"/>
      <c r="BC180" s="2"/>
      <c r="BD180" s="2"/>
      <c r="BE180" s="2"/>
      <c r="BF180" s="2"/>
      <c r="BG180" s="2"/>
      <c r="BH180" s="2"/>
    </row>
    <row r="181" spans="47:60" s="235" customFormat="1" x14ac:dyDescent="0.25">
      <c r="AU181" s="345"/>
      <c r="AV181" s="267"/>
      <c r="AW181" s="2"/>
      <c r="AX181" s="2"/>
      <c r="AY181" s="2"/>
      <c r="AZ181" s="2"/>
      <c r="BA181" s="2"/>
      <c r="BB181" s="2"/>
      <c r="BC181" s="2"/>
      <c r="BD181" s="2"/>
      <c r="BE181" s="2"/>
      <c r="BF181" s="2"/>
      <c r="BG181" s="2"/>
      <c r="BH181" s="2"/>
    </row>
    <row r="182" spans="47:60" s="235" customFormat="1" x14ac:dyDescent="0.25">
      <c r="AU182" s="345"/>
      <c r="AV182" s="267"/>
      <c r="AW182" s="2"/>
      <c r="AX182" s="2"/>
      <c r="AY182" s="2"/>
      <c r="AZ182" s="2"/>
      <c r="BA182" s="2"/>
      <c r="BB182" s="2"/>
      <c r="BC182" s="2"/>
      <c r="BD182" s="2"/>
      <c r="BE182" s="2"/>
      <c r="BF182" s="2"/>
      <c r="BG182" s="2"/>
      <c r="BH182" s="2"/>
    </row>
    <row r="183" spans="47:60" s="235" customFormat="1" x14ac:dyDescent="0.25">
      <c r="AU183" s="345"/>
      <c r="AV183" s="267"/>
      <c r="AW183" s="2"/>
      <c r="AX183" s="2"/>
      <c r="AY183" s="2"/>
      <c r="AZ183" s="2"/>
      <c r="BA183" s="2"/>
      <c r="BB183" s="2"/>
      <c r="BC183" s="2"/>
      <c r="BD183" s="2"/>
      <c r="BE183" s="2"/>
      <c r="BF183" s="2"/>
      <c r="BG183" s="2"/>
      <c r="BH183" s="2"/>
    </row>
    <row r="184" spans="47:60" s="235" customFormat="1" x14ac:dyDescent="0.25">
      <c r="AU184" s="345"/>
      <c r="AV184" s="267"/>
      <c r="AW184" s="2"/>
      <c r="AX184" s="2"/>
      <c r="AY184" s="2"/>
      <c r="AZ184" s="2"/>
      <c r="BA184" s="2"/>
      <c r="BB184" s="2"/>
      <c r="BC184" s="2"/>
      <c r="BD184" s="2"/>
      <c r="BE184" s="2"/>
      <c r="BF184" s="2"/>
      <c r="BG184" s="2"/>
      <c r="BH184" s="2"/>
    </row>
    <row r="185" spans="47:60" s="235" customFormat="1" x14ac:dyDescent="0.25">
      <c r="AU185" s="345"/>
      <c r="AV185" s="267"/>
      <c r="AW185" s="2"/>
      <c r="AX185" s="2"/>
      <c r="AY185" s="2"/>
      <c r="AZ185" s="2"/>
      <c r="BA185" s="2"/>
      <c r="BB185" s="2"/>
      <c r="BC185" s="2"/>
      <c r="BD185" s="2"/>
      <c r="BE185" s="2"/>
      <c r="BF185" s="2"/>
      <c r="BG185" s="2"/>
      <c r="BH185" s="2"/>
    </row>
    <row r="186" spans="47:60" s="235" customFormat="1" x14ac:dyDescent="0.25">
      <c r="AU186" s="345"/>
      <c r="AV186" s="267"/>
      <c r="AW186" s="2"/>
      <c r="AX186" s="2"/>
      <c r="AY186" s="2"/>
      <c r="AZ186" s="2"/>
      <c r="BA186" s="2"/>
      <c r="BB186" s="2"/>
      <c r="BC186" s="2"/>
      <c r="BD186" s="2"/>
      <c r="BE186" s="2"/>
      <c r="BF186" s="2"/>
      <c r="BG186" s="2"/>
      <c r="BH186" s="2"/>
    </row>
    <row r="187" spans="47:60" s="235" customFormat="1" x14ac:dyDescent="0.25">
      <c r="AU187" s="345"/>
      <c r="AV187" s="267"/>
      <c r="AW187" s="2"/>
      <c r="AX187" s="2"/>
      <c r="AY187" s="2"/>
      <c r="AZ187" s="2"/>
      <c r="BA187" s="2"/>
      <c r="BB187" s="2"/>
      <c r="BC187" s="2"/>
      <c r="BD187" s="2"/>
      <c r="BE187" s="2"/>
      <c r="BF187" s="2"/>
      <c r="BG187" s="2"/>
      <c r="BH187" s="2"/>
    </row>
    <row r="188" spans="47:60" s="235" customFormat="1" x14ac:dyDescent="0.25">
      <c r="AU188" s="345"/>
      <c r="AV188" s="267"/>
      <c r="AW188" s="2"/>
      <c r="AX188" s="2"/>
      <c r="AY188" s="2"/>
      <c r="AZ188" s="2"/>
      <c r="BA188" s="2"/>
      <c r="BB188" s="2"/>
      <c r="BC188" s="2"/>
      <c r="BD188" s="2"/>
      <c r="BE188" s="2"/>
      <c r="BF188" s="2"/>
      <c r="BG188" s="2"/>
      <c r="BH188" s="2"/>
    </row>
    <row r="189" spans="47:60" s="235" customFormat="1" x14ac:dyDescent="0.25">
      <c r="AU189" s="345"/>
      <c r="AV189" s="267"/>
      <c r="AW189" s="2"/>
      <c r="AX189" s="2"/>
      <c r="AY189" s="2"/>
      <c r="AZ189" s="2"/>
      <c r="BA189" s="2"/>
      <c r="BB189" s="2"/>
      <c r="BC189" s="2"/>
      <c r="BD189" s="2"/>
      <c r="BE189" s="2"/>
      <c r="BF189" s="2"/>
      <c r="BG189" s="2"/>
      <c r="BH189" s="2"/>
    </row>
    <row r="190" spans="47:60" s="235" customFormat="1" x14ac:dyDescent="0.25">
      <c r="AU190" s="345"/>
      <c r="AV190" s="267"/>
      <c r="AW190" s="2"/>
      <c r="AX190" s="2"/>
      <c r="AY190" s="2"/>
      <c r="AZ190" s="2"/>
      <c r="BA190" s="2"/>
      <c r="BB190" s="2"/>
      <c r="BC190" s="2"/>
      <c r="BD190" s="2"/>
      <c r="BE190" s="2"/>
      <c r="BF190" s="2"/>
      <c r="BG190" s="2"/>
      <c r="BH190" s="2"/>
    </row>
    <row r="191" spans="47:60" s="235" customFormat="1" x14ac:dyDescent="0.25">
      <c r="AU191" s="345"/>
      <c r="AV191" s="267"/>
      <c r="AW191" s="2"/>
      <c r="AX191" s="2"/>
      <c r="AY191" s="2"/>
      <c r="AZ191" s="2"/>
      <c r="BA191" s="2"/>
      <c r="BB191" s="2"/>
      <c r="BC191" s="2"/>
      <c r="BD191" s="2"/>
      <c r="BE191" s="2"/>
      <c r="BF191" s="2"/>
      <c r="BG191" s="2"/>
      <c r="BH191" s="2"/>
    </row>
    <row r="192" spans="47:60" s="235" customFormat="1" x14ac:dyDescent="0.25">
      <c r="AU192" s="345"/>
      <c r="AV192" s="267"/>
      <c r="AW192" s="2"/>
      <c r="AX192" s="2"/>
      <c r="AY192" s="2"/>
      <c r="AZ192" s="2"/>
      <c r="BA192" s="2"/>
      <c r="BB192" s="2"/>
      <c r="BC192" s="2"/>
      <c r="BD192" s="2"/>
      <c r="BE192" s="2"/>
      <c r="BF192" s="2"/>
      <c r="BG192" s="2"/>
      <c r="BH192" s="2"/>
    </row>
    <row r="193" spans="47:60" s="235" customFormat="1" x14ac:dyDescent="0.25">
      <c r="AU193" s="345"/>
      <c r="AV193" s="267"/>
      <c r="AW193" s="2"/>
      <c r="AX193" s="2"/>
      <c r="AY193" s="2"/>
      <c r="AZ193" s="2"/>
      <c r="BA193" s="2"/>
      <c r="BB193" s="2"/>
      <c r="BC193" s="2"/>
      <c r="BD193" s="2"/>
      <c r="BE193" s="2"/>
      <c r="BF193" s="2"/>
      <c r="BG193" s="2"/>
      <c r="BH193" s="2"/>
    </row>
    <row r="194" spans="47:60" s="235" customFormat="1" x14ac:dyDescent="0.25">
      <c r="AU194" s="345"/>
      <c r="AV194" s="267"/>
      <c r="AW194" s="2"/>
      <c r="AX194" s="2"/>
      <c r="AY194" s="2"/>
      <c r="AZ194" s="2"/>
      <c r="BA194" s="2"/>
      <c r="BB194" s="2"/>
      <c r="BC194" s="2"/>
      <c r="BD194" s="2"/>
      <c r="BE194" s="2"/>
      <c r="BF194" s="2"/>
      <c r="BG194" s="2"/>
      <c r="BH194" s="2"/>
    </row>
    <row r="195" spans="47:60" s="235" customFormat="1" x14ac:dyDescent="0.25">
      <c r="AU195" s="345"/>
      <c r="AV195" s="267"/>
      <c r="AW195" s="2"/>
      <c r="AX195" s="2"/>
      <c r="AY195" s="2"/>
      <c r="AZ195" s="2"/>
      <c r="BA195" s="2"/>
      <c r="BB195" s="2"/>
      <c r="BC195" s="2"/>
      <c r="BD195" s="2"/>
      <c r="BE195" s="2"/>
      <c r="BF195" s="2"/>
      <c r="BG195" s="2"/>
      <c r="BH195" s="2"/>
    </row>
    <row r="196" spans="47:60" s="235" customFormat="1" x14ac:dyDescent="0.25">
      <c r="AU196" s="345"/>
      <c r="AV196" s="267"/>
      <c r="AW196" s="2"/>
      <c r="AX196" s="2"/>
      <c r="AY196" s="2"/>
      <c r="AZ196" s="2"/>
      <c r="BA196" s="2"/>
      <c r="BB196" s="2"/>
      <c r="BC196" s="2"/>
      <c r="BD196" s="2"/>
      <c r="BE196" s="2"/>
      <c r="BF196" s="2"/>
      <c r="BG196" s="2"/>
      <c r="BH196" s="2"/>
    </row>
    <row r="197" spans="47:60" s="235" customFormat="1" x14ac:dyDescent="0.25">
      <c r="AU197" s="345"/>
      <c r="AV197" s="267"/>
      <c r="AW197" s="2"/>
      <c r="AX197" s="2"/>
      <c r="AY197" s="2"/>
      <c r="AZ197" s="2"/>
      <c r="BA197" s="2"/>
      <c r="BB197" s="2"/>
      <c r="BC197" s="2"/>
      <c r="BD197" s="2"/>
      <c r="BE197" s="2"/>
      <c r="BF197" s="2"/>
      <c r="BG197" s="2"/>
      <c r="BH197" s="2"/>
    </row>
    <row r="198" spans="47:60" s="235" customFormat="1" x14ac:dyDescent="0.25">
      <c r="AU198" s="345"/>
      <c r="AV198" s="267"/>
      <c r="AW198" s="2"/>
      <c r="AX198" s="2"/>
      <c r="AY198" s="2"/>
      <c r="AZ198" s="2"/>
      <c r="BA198" s="2"/>
      <c r="BB198" s="2"/>
      <c r="BC198" s="2"/>
      <c r="BD198" s="2"/>
      <c r="BE198" s="2"/>
      <c r="BF198" s="2"/>
      <c r="BG198" s="2"/>
      <c r="BH198" s="2"/>
    </row>
    <row r="199" spans="47:60" s="235" customFormat="1" x14ac:dyDescent="0.25">
      <c r="AU199" s="345"/>
      <c r="AV199" s="267"/>
      <c r="AW199" s="2"/>
      <c r="AX199" s="2"/>
      <c r="AY199" s="2"/>
      <c r="AZ199" s="2"/>
      <c r="BA199" s="2"/>
      <c r="BB199" s="2"/>
      <c r="BC199" s="2"/>
      <c r="BD199" s="2"/>
      <c r="BE199" s="2"/>
      <c r="BF199" s="2"/>
      <c r="BG199" s="2"/>
      <c r="BH199" s="2"/>
    </row>
    <row r="200" spans="47:60" s="235" customFormat="1" x14ac:dyDescent="0.25">
      <c r="AU200" s="345"/>
      <c r="AV200" s="267"/>
      <c r="AW200" s="2"/>
      <c r="AX200" s="2"/>
      <c r="AY200" s="2"/>
      <c r="AZ200" s="2"/>
      <c r="BA200" s="2"/>
      <c r="BB200" s="2"/>
      <c r="BC200" s="2"/>
      <c r="BD200" s="2"/>
      <c r="BE200" s="2"/>
      <c r="BF200" s="2"/>
      <c r="BG200" s="2"/>
      <c r="BH200" s="2"/>
    </row>
    <row r="201" spans="47:60" s="235" customFormat="1" x14ac:dyDescent="0.25">
      <c r="AU201" s="345"/>
      <c r="AV201" s="267"/>
      <c r="AW201" s="2"/>
      <c r="AX201" s="2"/>
      <c r="AY201" s="2"/>
      <c r="AZ201" s="2"/>
      <c r="BA201" s="2"/>
      <c r="BB201" s="2"/>
      <c r="BC201" s="2"/>
      <c r="BD201" s="2"/>
      <c r="BE201" s="2"/>
      <c r="BF201" s="2"/>
      <c r="BG201" s="2"/>
      <c r="BH201" s="2"/>
    </row>
    <row r="202" spans="47:60" s="235" customFormat="1" x14ac:dyDescent="0.25">
      <c r="AU202" s="345"/>
      <c r="AV202" s="267"/>
      <c r="AW202" s="2"/>
      <c r="AX202" s="2"/>
      <c r="AY202" s="2"/>
      <c r="AZ202" s="2"/>
      <c r="BA202" s="2"/>
      <c r="BB202" s="2"/>
      <c r="BC202" s="2"/>
      <c r="BD202" s="2"/>
      <c r="BE202" s="2"/>
      <c r="BF202" s="2"/>
      <c r="BG202" s="2"/>
      <c r="BH202" s="2"/>
    </row>
    <row r="203" spans="47:60" s="235" customFormat="1" x14ac:dyDescent="0.25">
      <c r="AU203" s="345"/>
      <c r="AV203" s="267"/>
      <c r="AW203" s="2"/>
      <c r="AX203" s="2"/>
      <c r="AY203" s="2"/>
      <c r="AZ203" s="2"/>
      <c r="BA203" s="2"/>
      <c r="BB203" s="2"/>
      <c r="BC203" s="2"/>
      <c r="BD203" s="2"/>
      <c r="BE203" s="2"/>
      <c r="BF203" s="2"/>
      <c r="BG203" s="2"/>
      <c r="BH203" s="2"/>
    </row>
    <row r="204" spans="47:60" s="235" customFormat="1" x14ac:dyDescent="0.25">
      <c r="AU204" s="345"/>
      <c r="AV204" s="267"/>
      <c r="AW204" s="2"/>
      <c r="AX204" s="2"/>
      <c r="AY204" s="2"/>
      <c r="AZ204" s="2"/>
      <c r="BA204" s="2"/>
      <c r="BB204" s="2"/>
      <c r="BC204" s="2"/>
      <c r="BD204" s="2"/>
      <c r="BE204" s="2"/>
      <c r="BF204" s="2"/>
      <c r="BG204" s="2"/>
      <c r="BH204" s="2"/>
    </row>
    <row r="205" spans="47:60" s="235" customFormat="1" x14ac:dyDescent="0.25">
      <c r="AU205" s="345"/>
      <c r="AV205" s="267"/>
      <c r="AW205" s="2"/>
      <c r="AX205" s="2"/>
      <c r="AY205" s="2"/>
      <c r="AZ205" s="2"/>
      <c r="BA205" s="2"/>
      <c r="BB205" s="2"/>
      <c r="BC205" s="2"/>
      <c r="BD205" s="2"/>
      <c r="BE205" s="2"/>
      <c r="BF205" s="2"/>
      <c r="BG205" s="2"/>
      <c r="BH205" s="2"/>
    </row>
    <row r="206" spans="47:60" s="235" customFormat="1" x14ac:dyDescent="0.25">
      <c r="AU206" s="345"/>
      <c r="AV206" s="267"/>
      <c r="AW206" s="2"/>
      <c r="AX206" s="2"/>
      <c r="AY206" s="2"/>
      <c r="AZ206" s="2"/>
      <c r="BA206" s="2"/>
      <c r="BB206" s="2"/>
      <c r="BC206" s="2"/>
      <c r="BD206" s="2"/>
      <c r="BE206" s="2"/>
      <c r="BF206" s="2"/>
      <c r="BG206" s="2"/>
      <c r="BH206" s="2"/>
    </row>
    <row r="207" spans="47:60" s="235" customFormat="1" x14ac:dyDescent="0.25">
      <c r="AU207" s="345"/>
      <c r="AV207" s="267"/>
      <c r="AW207" s="2"/>
      <c r="AX207" s="2"/>
      <c r="AY207" s="2"/>
      <c r="AZ207" s="2"/>
      <c r="BA207" s="2"/>
      <c r="BB207" s="2"/>
      <c r="BC207" s="2"/>
      <c r="BD207" s="2"/>
      <c r="BE207" s="2"/>
      <c r="BF207" s="2"/>
      <c r="BG207" s="2"/>
      <c r="BH207" s="2"/>
    </row>
    <row r="208" spans="47:60" s="235" customFormat="1" x14ac:dyDescent="0.25">
      <c r="AU208" s="345"/>
      <c r="AV208" s="267"/>
      <c r="AW208" s="2"/>
      <c r="AX208" s="2"/>
      <c r="AY208" s="2"/>
      <c r="AZ208" s="2"/>
      <c r="BA208" s="2"/>
      <c r="BB208" s="2"/>
      <c r="BC208" s="2"/>
      <c r="BD208" s="2"/>
      <c r="BE208" s="2"/>
      <c r="BF208" s="2"/>
      <c r="BG208" s="2"/>
      <c r="BH208" s="2"/>
    </row>
    <row r="209" spans="47:60" s="235" customFormat="1" x14ac:dyDescent="0.25">
      <c r="AU209" s="345"/>
      <c r="AV209" s="267"/>
      <c r="AW209" s="2"/>
      <c r="AX209" s="2"/>
      <c r="AY209" s="2"/>
      <c r="AZ209" s="2"/>
      <c r="BA209" s="2"/>
      <c r="BB209" s="2"/>
      <c r="BC209" s="2"/>
      <c r="BD209" s="2"/>
      <c r="BE209" s="2"/>
      <c r="BF209" s="2"/>
      <c r="BG209" s="2"/>
      <c r="BH209" s="2"/>
    </row>
    <row r="210" spans="47:60" s="235" customFormat="1" x14ac:dyDescent="0.25">
      <c r="AU210" s="345"/>
      <c r="AV210" s="267"/>
      <c r="AW210" s="2"/>
      <c r="AX210" s="2"/>
      <c r="AY210" s="2"/>
      <c r="AZ210" s="2"/>
      <c r="BA210" s="2"/>
      <c r="BB210" s="2"/>
      <c r="BC210" s="2"/>
      <c r="BD210" s="2"/>
      <c r="BE210" s="2"/>
      <c r="BF210" s="2"/>
      <c r="BG210" s="2"/>
      <c r="BH210" s="2"/>
    </row>
    <row r="211" spans="47:60" s="235" customFormat="1" x14ac:dyDescent="0.25">
      <c r="AU211" s="345"/>
      <c r="AV211" s="267"/>
      <c r="AW211" s="2"/>
      <c r="AX211" s="2"/>
      <c r="AY211" s="2"/>
      <c r="AZ211" s="2"/>
      <c r="BA211" s="2"/>
      <c r="BB211" s="2"/>
      <c r="BC211" s="2"/>
      <c r="BD211" s="2"/>
      <c r="BE211" s="2"/>
      <c r="BF211" s="2"/>
      <c r="BG211" s="2"/>
      <c r="BH211" s="2"/>
    </row>
    <row r="212" spans="47:60" s="235" customFormat="1" x14ac:dyDescent="0.25">
      <c r="AU212" s="345"/>
      <c r="AV212" s="267"/>
      <c r="AW212" s="2"/>
      <c r="AX212" s="2"/>
      <c r="AY212" s="2"/>
      <c r="AZ212" s="2"/>
      <c r="BA212" s="2"/>
      <c r="BB212" s="2"/>
      <c r="BC212" s="2"/>
      <c r="BD212" s="2"/>
      <c r="BE212" s="2"/>
      <c r="BF212" s="2"/>
      <c r="BG212" s="2"/>
      <c r="BH212" s="2"/>
    </row>
    <row r="213" spans="47:60" s="235" customFormat="1" x14ac:dyDescent="0.25">
      <c r="AU213" s="345"/>
      <c r="AV213" s="267"/>
      <c r="AW213" s="2"/>
      <c r="AX213" s="2"/>
      <c r="AY213" s="2"/>
      <c r="AZ213" s="2"/>
      <c r="BA213" s="2"/>
      <c r="BB213" s="2"/>
      <c r="BC213" s="2"/>
      <c r="BD213" s="2"/>
      <c r="BE213" s="2"/>
      <c r="BF213" s="2"/>
      <c r="BG213" s="2"/>
      <c r="BH213" s="2"/>
    </row>
    <row r="214" spans="47:60" s="235" customFormat="1" x14ac:dyDescent="0.25">
      <c r="AU214" s="345"/>
      <c r="AV214" s="267"/>
      <c r="AW214" s="2"/>
      <c r="AX214" s="2"/>
      <c r="AY214" s="2"/>
      <c r="AZ214" s="2"/>
      <c r="BA214" s="2"/>
      <c r="BB214" s="2"/>
      <c r="BC214" s="2"/>
      <c r="BD214" s="2"/>
      <c r="BE214" s="2"/>
      <c r="BF214" s="2"/>
      <c r="BG214" s="2"/>
      <c r="BH214" s="2"/>
    </row>
    <row r="215" spans="47:60" s="235" customFormat="1" x14ac:dyDescent="0.25">
      <c r="AU215" s="345"/>
      <c r="AV215" s="267"/>
      <c r="AW215" s="2"/>
      <c r="AX215" s="2"/>
      <c r="AY215" s="2"/>
      <c r="AZ215" s="2"/>
      <c r="BA215" s="2"/>
      <c r="BB215" s="2"/>
      <c r="BC215" s="2"/>
      <c r="BD215" s="2"/>
      <c r="BE215" s="2"/>
      <c r="BF215" s="2"/>
      <c r="BG215" s="2"/>
      <c r="BH215" s="2"/>
    </row>
    <row r="216" spans="47:60" s="235" customFormat="1" x14ac:dyDescent="0.25">
      <c r="AU216" s="345"/>
      <c r="AV216" s="267"/>
      <c r="AW216" s="2"/>
      <c r="AX216" s="2"/>
      <c r="AY216" s="2"/>
      <c r="AZ216" s="2"/>
      <c r="BA216" s="2"/>
      <c r="BB216" s="2"/>
      <c r="BC216" s="2"/>
      <c r="BD216" s="2"/>
      <c r="BE216" s="2"/>
      <c r="BF216" s="2"/>
      <c r="BG216" s="2"/>
      <c r="BH216" s="2"/>
    </row>
    <row r="217" spans="47:60" s="235" customFormat="1" x14ac:dyDescent="0.25">
      <c r="AU217" s="345"/>
      <c r="AV217" s="267"/>
      <c r="AW217" s="2"/>
      <c r="AX217" s="2"/>
      <c r="AY217" s="2"/>
      <c r="AZ217" s="2"/>
      <c r="BA217" s="2"/>
      <c r="BB217" s="2"/>
      <c r="BC217" s="2"/>
      <c r="BD217" s="2"/>
      <c r="BE217" s="2"/>
      <c r="BF217" s="2"/>
      <c r="BG217" s="2"/>
      <c r="BH217" s="2"/>
    </row>
    <row r="218" spans="47:60" s="235" customFormat="1" x14ac:dyDescent="0.25">
      <c r="AU218" s="345"/>
      <c r="AV218" s="267"/>
      <c r="AW218" s="2"/>
      <c r="AX218" s="2"/>
      <c r="AY218" s="2"/>
      <c r="AZ218" s="2"/>
      <c r="BA218" s="2"/>
      <c r="BB218" s="2"/>
      <c r="BC218" s="2"/>
      <c r="BD218" s="2"/>
      <c r="BE218" s="2"/>
      <c r="BF218" s="2"/>
      <c r="BG218" s="2"/>
      <c r="BH218" s="2"/>
    </row>
    <row r="219" spans="47:60" s="235" customFormat="1" x14ac:dyDescent="0.25">
      <c r="AU219" s="345"/>
      <c r="AV219" s="267"/>
      <c r="AW219" s="2"/>
      <c r="AX219" s="2"/>
      <c r="AY219" s="2"/>
      <c r="AZ219" s="2"/>
      <c r="BA219" s="2"/>
      <c r="BB219" s="2"/>
      <c r="BC219" s="2"/>
      <c r="BD219" s="2"/>
      <c r="BE219" s="2"/>
      <c r="BF219" s="2"/>
      <c r="BG219" s="2"/>
      <c r="BH219" s="2"/>
    </row>
    <row r="220" spans="47:60" s="235" customFormat="1" x14ac:dyDescent="0.25">
      <c r="AU220" s="345"/>
      <c r="AV220" s="267"/>
      <c r="AW220" s="2"/>
      <c r="AX220" s="2"/>
      <c r="AY220" s="2"/>
      <c r="AZ220" s="2"/>
      <c r="BA220" s="2"/>
      <c r="BB220" s="2"/>
      <c r="BC220" s="2"/>
      <c r="BD220" s="2"/>
      <c r="BE220" s="2"/>
      <c r="BF220" s="2"/>
      <c r="BG220" s="2"/>
      <c r="BH220" s="2"/>
    </row>
    <row r="221" spans="47:60" s="235" customFormat="1" x14ac:dyDescent="0.25">
      <c r="AU221" s="345"/>
      <c r="AV221" s="267"/>
      <c r="AW221" s="2"/>
      <c r="AX221" s="2"/>
      <c r="AY221" s="2"/>
      <c r="AZ221" s="2"/>
      <c r="BA221" s="2"/>
      <c r="BB221" s="2"/>
      <c r="BC221" s="2"/>
      <c r="BD221" s="2"/>
      <c r="BE221" s="2"/>
      <c r="BF221" s="2"/>
      <c r="BG221" s="2"/>
      <c r="BH221" s="2"/>
    </row>
    <row r="222" spans="47:60" s="235" customFormat="1" x14ac:dyDescent="0.25">
      <c r="AU222" s="345"/>
      <c r="AV222" s="267"/>
      <c r="AW222" s="2"/>
      <c r="AX222" s="2"/>
      <c r="AY222" s="2"/>
      <c r="AZ222" s="2"/>
      <c r="BA222" s="2"/>
      <c r="BB222" s="2"/>
      <c r="BC222" s="2"/>
      <c r="BD222" s="2"/>
      <c r="BE222" s="2"/>
      <c r="BF222" s="2"/>
      <c r="BG222" s="2"/>
      <c r="BH222" s="2"/>
    </row>
    <row r="223" spans="47:60" s="235" customFormat="1" x14ac:dyDescent="0.25">
      <c r="AU223" s="345"/>
      <c r="AV223" s="267"/>
      <c r="AW223" s="2"/>
      <c r="AX223" s="2"/>
      <c r="AY223" s="2"/>
      <c r="AZ223" s="2"/>
      <c r="BA223" s="2"/>
      <c r="BB223" s="2"/>
      <c r="BC223" s="2"/>
      <c r="BD223" s="2"/>
      <c r="BE223" s="2"/>
      <c r="BF223" s="2"/>
      <c r="BG223" s="2"/>
      <c r="BH223" s="2"/>
    </row>
    <row r="224" spans="47:60" s="235" customFormat="1" x14ac:dyDescent="0.25">
      <c r="AU224" s="345"/>
      <c r="AV224" s="267"/>
      <c r="AW224" s="2"/>
      <c r="AX224" s="2"/>
      <c r="AY224" s="2"/>
      <c r="AZ224" s="2"/>
      <c r="BA224" s="2"/>
      <c r="BB224" s="2"/>
      <c r="BC224" s="2"/>
      <c r="BD224" s="2"/>
      <c r="BE224" s="2"/>
      <c r="BF224" s="2"/>
      <c r="BG224" s="2"/>
      <c r="BH224" s="2"/>
    </row>
    <row r="225" spans="47:60" s="235" customFormat="1" x14ac:dyDescent="0.25">
      <c r="AU225" s="345"/>
      <c r="AV225" s="267"/>
      <c r="AW225" s="2"/>
      <c r="AX225" s="2"/>
      <c r="AY225" s="2"/>
      <c r="AZ225" s="2"/>
      <c r="BA225" s="2"/>
      <c r="BB225" s="2"/>
      <c r="BC225" s="2"/>
      <c r="BD225" s="2"/>
      <c r="BE225" s="2"/>
      <c r="BF225" s="2"/>
      <c r="BG225" s="2"/>
      <c r="BH225" s="2"/>
    </row>
    <row r="226" spans="47:60" s="235" customFormat="1" x14ac:dyDescent="0.25">
      <c r="AU226" s="345"/>
      <c r="AV226" s="267"/>
      <c r="AW226" s="2"/>
      <c r="AX226" s="2"/>
      <c r="AY226" s="2"/>
      <c r="AZ226" s="2"/>
      <c r="BA226" s="2"/>
      <c r="BB226" s="2"/>
      <c r="BC226" s="2"/>
      <c r="BD226" s="2"/>
      <c r="BE226" s="2"/>
      <c r="BF226" s="2"/>
      <c r="BG226" s="2"/>
      <c r="BH226" s="2"/>
    </row>
    <row r="227" spans="47:60" s="235" customFormat="1" x14ac:dyDescent="0.25">
      <c r="AU227" s="345"/>
      <c r="AV227" s="267"/>
      <c r="AW227" s="2"/>
      <c r="AX227" s="2"/>
      <c r="AY227" s="2"/>
      <c r="AZ227" s="2"/>
      <c r="BA227" s="2"/>
      <c r="BB227" s="2"/>
      <c r="BC227" s="2"/>
      <c r="BD227" s="2"/>
      <c r="BE227" s="2"/>
      <c r="BF227" s="2"/>
      <c r="BG227" s="2"/>
      <c r="BH227" s="2"/>
    </row>
    <row r="228" spans="47:60" s="235" customFormat="1" x14ac:dyDescent="0.25">
      <c r="AU228" s="345"/>
      <c r="AV228" s="267"/>
      <c r="AW228" s="2"/>
      <c r="AX228" s="2"/>
      <c r="AY228" s="2"/>
      <c r="AZ228" s="2"/>
      <c r="BA228" s="2"/>
      <c r="BB228" s="2"/>
      <c r="BC228" s="2"/>
      <c r="BD228" s="2"/>
      <c r="BE228" s="2"/>
      <c r="BF228" s="2"/>
      <c r="BG228" s="2"/>
      <c r="BH228" s="2"/>
    </row>
    <row r="229" spans="47:60" s="235" customFormat="1" x14ac:dyDescent="0.25">
      <c r="AU229" s="345"/>
      <c r="AV229" s="267"/>
      <c r="AW229" s="2"/>
      <c r="AX229" s="2"/>
      <c r="AY229" s="2"/>
      <c r="AZ229" s="2"/>
      <c r="BA229" s="2"/>
      <c r="BB229" s="2"/>
      <c r="BC229" s="2"/>
      <c r="BD229" s="2"/>
      <c r="BE229" s="2"/>
      <c r="BF229" s="2"/>
      <c r="BG229" s="2"/>
      <c r="BH229" s="2"/>
    </row>
    <row r="230" spans="47:60" s="235" customFormat="1" x14ac:dyDescent="0.25">
      <c r="AU230" s="345"/>
      <c r="AV230" s="267"/>
      <c r="AW230" s="2"/>
      <c r="AX230" s="2"/>
      <c r="AY230" s="2"/>
      <c r="AZ230" s="2"/>
      <c r="BA230" s="2"/>
      <c r="BB230" s="2"/>
      <c r="BC230" s="2"/>
      <c r="BD230" s="2"/>
      <c r="BE230" s="2"/>
      <c r="BF230" s="2"/>
      <c r="BG230" s="2"/>
      <c r="BH230" s="2"/>
    </row>
    <row r="231" spans="47:60" s="235" customFormat="1" x14ac:dyDescent="0.25">
      <c r="AU231" s="345"/>
      <c r="AV231" s="267"/>
      <c r="AW231" s="2"/>
      <c r="AX231" s="2"/>
      <c r="AY231" s="2"/>
      <c r="AZ231" s="2"/>
      <c r="BA231" s="2"/>
      <c r="BB231" s="2"/>
      <c r="BC231" s="2"/>
      <c r="BD231" s="2"/>
      <c r="BE231" s="2"/>
      <c r="BF231" s="2"/>
      <c r="BG231" s="2"/>
      <c r="BH231" s="2"/>
    </row>
    <row r="232" spans="47:60" s="235" customFormat="1" x14ac:dyDescent="0.25">
      <c r="AU232" s="345"/>
      <c r="AV232" s="267"/>
      <c r="AW232" s="2"/>
      <c r="AX232" s="2"/>
      <c r="AY232" s="2"/>
      <c r="AZ232" s="2"/>
      <c r="BA232" s="2"/>
      <c r="BB232" s="2"/>
      <c r="BC232" s="2"/>
      <c r="BD232" s="2"/>
      <c r="BE232" s="2"/>
      <c r="BF232" s="2"/>
      <c r="BG232" s="2"/>
      <c r="BH232" s="2"/>
    </row>
    <row r="233" spans="47:60" s="235" customFormat="1" x14ac:dyDescent="0.25">
      <c r="AU233" s="345"/>
      <c r="AV233" s="267"/>
      <c r="AW233" s="2"/>
      <c r="AX233" s="2"/>
      <c r="AY233" s="2"/>
      <c r="AZ233" s="2"/>
      <c r="BA233" s="2"/>
      <c r="BB233" s="2"/>
      <c r="BC233" s="2"/>
      <c r="BD233" s="2"/>
      <c r="BE233" s="2"/>
      <c r="BF233" s="2"/>
      <c r="BG233" s="2"/>
      <c r="BH233" s="2"/>
    </row>
    <row r="234" spans="47:60" s="235" customFormat="1" x14ac:dyDescent="0.25">
      <c r="AU234" s="345"/>
      <c r="AV234" s="267"/>
      <c r="AW234" s="2"/>
      <c r="AX234" s="2"/>
      <c r="AY234" s="2"/>
      <c r="AZ234" s="2"/>
      <c r="BA234" s="2"/>
      <c r="BB234" s="2"/>
      <c r="BC234" s="2"/>
      <c r="BD234" s="2"/>
      <c r="BE234" s="2"/>
      <c r="BF234" s="2"/>
      <c r="BG234" s="2"/>
      <c r="BH234" s="2"/>
    </row>
    <row r="235" spans="47:60" s="235" customFormat="1" x14ac:dyDescent="0.25">
      <c r="AU235" s="345"/>
      <c r="AV235" s="267"/>
      <c r="AW235" s="2"/>
      <c r="AX235" s="2"/>
      <c r="AY235" s="2"/>
      <c r="AZ235" s="2"/>
      <c r="BA235" s="2"/>
      <c r="BB235" s="2"/>
      <c r="BC235" s="2"/>
      <c r="BD235" s="2"/>
      <c r="BE235" s="2"/>
      <c r="BF235" s="2"/>
      <c r="BG235" s="2"/>
      <c r="BH235" s="2"/>
    </row>
    <row r="236" spans="47:60" s="235" customFormat="1" x14ac:dyDescent="0.25">
      <c r="AU236" s="345"/>
      <c r="AV236" s="267"/>
      <c r="AW236" s="2"/>
      <c r="AX236" s="2"/>
      <c r="AY236" s="2"/>
      <c r="AZ236" s="2"/>
      <c r="BA236" s="2"/>
      <c r="BB236" s="2"/>
      <c r="BC236" s="2"/>
      <c r="BD236" s="2"/>
      <c r="BE236" s="2"/>
      <c r="BF236" s="2"/>
      <c r="BG236" s="2"/>
      <c r="BH236" s="2"/>
    </row>
    <row r="237" spans="47:60" s="235" customFormat="1" x14ac:dyDescent="0.25">
      <c r="AU237" s="345"/>
      <c r="AV237" s="267"/>
      <c r="AW237" s="2"/>
      <c r="AX237" s="2"/>
      <c r="AY237" s="2"/>
      <c r="AZ237" s="2"/>
      <c r="BA237" s="2"/>
      <c r="BB237" s="2"/>
      <c r="BC237" s="2"/>
      <c r="BD237" s="2"/>
      <c r="BE237" s="2"/>
      <c r="BF237" s="2"/>
      <c r="BG237" s="2"/>
      <c r="BH237" s="2"/>
    </row>
    <row r="238" spans="47:60" s="235" customFormat="1" x14ac:dyDescent="0.25">
      <c r="AU238" s="345"/>
      <c r="AV238" s="267"/>
      <c r="AW238" s="2"/>
      <c r="AX238" s="2"/>
      <c r="AY238" s="2"/>
      <c r="AZ238" s="2"/>
      <c r="BA238" s="2"/>
      <c r="BB238" s="2"/>
      <c r="BC238" s="2"/>
      <c r="BD238" s="2"/>
      <c r="BE238" s="2"/>
      <c r="BF238" s="2"/>
      <c r="BG238" s="2"/>
      <c r="BH238" s="2"/>
    </row>
    <row r="239" spans="47:60" s="235" customFormat="1" x14ac:dyDescent="0.25">
      <c r="AU239" s="345"/>
      <c r="AV239" s="267"/>
      <c r="AW239" s="2"/>
      <c r="AX239" s="2"/>
      <c r="AY239" s="2"/>
      <c r="AZ239" s="2"/>
      <c r="BA239" s="2"/>
      <c r="BB239" s="2"/>
      <c r="BC239" s="2"/>
      <c r="BD239" s="2"/>
      <c r="BE239" s="2"/>
      <c r="BF239" s="2"/>
      <c r="BG239" s="2"/>
      <c r="BH239" s="2"/>
    </row>
    <row r="240" spans="47:60" s="235" customFormat="1" x14ac:dyDescent="0.25">
      <c r="AU240" s="345"/>
      <c r="AV240" s="267"/>
      <c r="AW240" s="2"/>
      <c r="AX240" s="2"/>
      <c r="AY240" s="2"/>
      <c r="AZ240" s="2"/>
      <c r="BA240" s="2"/>
      <c r="BB240" s="2"/>
      <c r="BC240" s="2"/>
      <c r="BD240" s="2"/>
      <c r="BE240" s="2"/>
      <c r="BF240" s="2"/>
      <c r="BG240" s="2"/>
      <c r="BH240" s="2"/>
    </row>
    <row r="241" spans="47:60" s="235" customFormat="1" x14ac:dyDescent="0.25">
      <c r="AU241" s="345"/>
      <c r="AV241" s="267"/>
      <c r="AW241" s="2"/>
      <c r="AX241" s="2"/>
      <c r="AY241" s="2"/>
      <c r="AZ241" s="2"/>
      <c r="BA241" s="2"/>
      <c r="BB241" s="2"/>
      <c r="BC241" s="2"/>
      <c r="BD241" s="2"/>
      <c r="BE241" s="2"/>
      <c r="BF241" s="2"/>
      <c r="BG241" s="2"/>
      <c r="BH241" s="2"/>
    </row>
    <row r="242" spans="47:60" s="235" customFormat="1" x14ac:dyDescent="0.25">
      <c r="AU242" s="345"/>
      <c r="AV242" s="267"/>
      <c r="AW242" s="2"/>
      <c r="AX242" s="2"/>
      <c r="AY242" s="2"/>
      <c r="AZ242" s="2"/>
      <c r="BA242" s="2"/>
      <c r="BB242" s="2"/>
      <c r="BC242" s="2"/>
      <c r="BD242" s="2"/>
      <c r="BE242" s="2"/>
      <c r="BF242" s="2"/>
      <c r="BG242" s="2"/>
      <c r="BH242" s="2"/>
    </row>
    <row r="243" spans="47:60" s="235" customFormat="1" x14ac:dyDescent="0.25">
      <c r="AU243" s="345"/>
      <c r="AV243" s="267"/>
      <c r="AW243" s="2"/>
      <c r="AX243" s="2"/>
      <c r="AY243" s="2"/>
      <c r="AZ243" s="2"/>
      <c r="BA243" s="2"/>
      <c r="BB243" s="2"/>
      <c r="BC243" s="2"/>
      <c r="BD243" s="2"/>
      <c r="BE243" s="2"/>
      <c r="BF243" s="2"/>
      <c r="BG243" s="2"/>
      <c r="BH243" s="2"/>
    </row>
    <row r="244" spans="47:60" s="235" customFormat="1" x14ac:dyDescent="0.25">
      <c r="AU244" s="345"/>
      <c r="AV244" s="267"/>
      <c r="AW244" s="2"/>
      <c r="AX244" s="2"/>
      <c r="AY244" s="2"/>
      <c r="AZ244" s="2"/>
      <c r="BA244" s="2"/>
      <c r="BB244" s="2"/>
      <c r="BC244" s="2"/>
      <c r="BD244" s="2"/>
      <c r="BE244" s="2"/>
      <c r="BF244" s="2"/>
      <c r="BG244" s="2"/>
      <c r="BH244" s="2"/>
    </row>
    <row r="245" spans="47:60" s="235" customFormat="1" x14ac:dyDescent="0.25">
      <c r="AU245" s="345"/>
      <c r="AV245" s="267"/>
      <c r="AW245" s="2"/>
      <c r="AX245" s="2"/>
      <c r="AY245" s="2"/>
      <c r="AZ245" s="2"/>
      <c r="BA245" s="2"/>
      <c r="BB245" s="2"/>
      <c r="BC245" s="2"/>
      <c r="BD245" s="2"/>
      <c r="BE245" s="2"/>
      <c r="BF245" s="2"/>
      <c r="BG245" s="2"/>
      <c r="BH245" s="2"/>
    </row>
    <row r="246" spans="47:60" s="235" customFormat="1" x14ac:dyDescent="0.25">
      <c r="AU246" s="345"/>
      <c r="AV246" s="267"/>
      <c r="AW246" s="2"/>
      <c r="AX246" s="2"/>
      <c r="AY246" s="2"/>
      <c r="AZ246" s="2"/>
      <c r="BA246" s="2"/>
      <c r="BB246" s="2"/>
      <c r="BC246" s="2"/>
      <c r="BD246" s="2"/>
      <c r="BE246" s="2"/>
      <c r="BF246" s="2"/>
      <c r="BG246" s="2"/>
      <c r="BH246" s="2"/>
    </row>
    <row r="247" spans="47:60" s="235" customFormat="1" x14ac:dyDescent="0.25">
      <c r="AU247" s="345"/>
      <c r="AV247" s="267"/>
      <c r="AW247" s="2"/>
      <c r="AX247" s="2"/>
      <c r="AY247" s="2"/>
      <c r="AZ247" s="2"/>
      <c r="BA247" s="2"/>
      <c r="BB247" s="2"/>
      <c r="BC247" s="2"/>
      <c r="BD247" s="2"/>
      <c r="BE247" s="2"/>
      <c r="BF247" s="2"/>
      <c r="BG247" s="2"/>
      <c r="BH247" s="2"/>
    </row>
    <row r="248" spans="47:60" s="235" customFormat="1" x14ac:dyDescent="0.25">
      <c r="AU248" s="345"/>
      <c r="AV248" s="267"/>
      <c r="AW248" s="2"/>
      <c r="AX248" s="2"/>
      <c r="AY248" s="2"/>
      <c r="AZ248" s="2"/>
      <c r="BA248" s="2"/>
      <c r="BB248" s="2"/>
      <c r="BC248" s="2"/>
      <c r="BD248" s="2"/>
      <c r="BE248" s="2"/>
      <c r="BF248" s="2"/>
      <c r="BG248" s="2"/>
      <c r="BH248" s="2"/>
    </row>
    <row r="249" spans="47:60" s="235" customFormat="1" x14ac:dyDescent="0.25">
      <c r="AU249" s="345"/>
      <c r="AV249" s="267"/>
      <c r="AW249" s="2"/>
      <c r="AX249" s="2"/>
      <c r="AY249" s="2"/>
      <c r="AZ249" s="2"/>
      <c r="BA249" s="2"/>
      <c r="BB249" s="2"/>
      <c r="BC249" s="2"/>
      <c r="BD249" s="2"/>
      <c r="BE249" s="2"/>
      <c r="BF249" s="2"/>
      <c r="BG249" s="2"/>
      <c r="BH249" s="2"/>
    </row>
    <row r="250" spans="47:60" s="235" customFormat="1" x14ac:dyDescent="0.25">
      <c r="AU250" s="345"/>
      <c r="AV250" s="267"/>
      <c r="AW250" s="2"/>
      <c r="AX250" s="2"/>
      <c r="AY250" s="2"/>
      <c r="AZ250" s="2"/>
      <c r="BA250" s="2"/>
      <c r="BB250" s="2"/>
      <c r="BC250" s="2"/>
      <c r="BD250" s="2"/>
      <c r="BE250" s="2"/>
      <c r="BF250" s="2"/>
      <c r="BG250" s="2"/>
      <c r="BH250" s="2"/>
    </row>
    <row r="251" spans="47:60" s="235" customFormat="1" x14ac:dyDescent="0.25">
      <c r="AU251" s="345"/>
      <c r="AV251" s="267"/>
      <c r="AW251" s="2"/>
      <c r="AX251" s="2"/>
      <c r="AY251" s="2"/>
      <c r="AZ251" s="2"/>
      <c r="BA251" s="2"/>
      <c r="BB251" s="2"/>
      <c r="BC251" s="2"/>
      <c r="BD251" s="2"/>
      <c r="BE251" s="2"/>
      <c r="BF251" s="2"/>
      <c r="BG251" s="2"/>
      <c r="BH251" s="2"/>
    </row>
    <row r="252" spans="47:60" s="235" customFormat="1" x14ac:dyDescent="0.25">
      <c r="AU252" s="345"/>
      <c r="AV252" s="267"/>
      <c r="AW252" s="2"/>
      <c r="AX252" s="2"/>
      <c r="AY252" s="2"/>
      <c r="AZ252" s="2"/>
      <c r="BA252" s="2"/>
      <c r="BB252" s="2"/>
      <c r="BC252" s="2"/>
      <c r="BD252" s="2"/>
      <c r="BE252" s="2"/>
      <c r="BF252" s="2"/>
      <c r="BG252" s="2"/>
      <c r="BH252" s="2"/>
    </row>
    <row r="253" spans="47:60" s="235" customFormat="1" x14ac:dyDescent="0.25">
      <c r="AU253" s="345"/>
      <c r="AV253" s="267"/>
      <c r="AW253" s="2"/>
      <c r="AX253" s="2"/>
      <c r="AY253" s="2"/>
      <c r="AZ253" s="2"/>
      <c r="BA253" s="2"/>
      <c r="BB253" s="2"/>
      <c r="BC253" s="2"/>
      <c r="BD253" s="2"/>
      <c r="BE253" s="2"/>
      <c r="BF253" s="2"/>
      <c r="BG253" s="2"/>
      <c r="BH253" s="2"/>
    </row>
    <row r="254" spans="47:60" s="235" customFormat="1" x14ac:dyDescent="0.25">
      <c r="AU254" s="345"/>
      <c r="AV254" s="267"/>
      <c r="AW254" s="2"/>
      <c r="AX254" s="2"/>
      <c r="AY254" s="2"/>
      <c r="AZ254" s="2"/>
      <c r="BA254" s="2"/>
      <c r="BB254" s="2"/>
      <c r="BC254" s="2"/>
      <c r="BD254" s="2"/>
      <c r="BE254" s="2"/>
      <c r="BF254" s="2"/>
      <c r="BG254" s="2"/>
      <c r="BH254" s="2"/>
    </row>
    <row r="255" spans="47:60" s="235" customFormat="1" x14ac:dyDescent="0.25">
      <c r="AU255" s="345"/>
      <c r="AV255" s="267"/>
      <c r="AW255" s="2"/>
      <c r="AX255" s="2"/>
      <c r="AY255" s="2"/>
      <c r="AZ255" s="2"/>
      <c r="BA255" s="2"/>
      <c r="BB255" s="2"/>
      <c r="BC255" s="2"/>
      <c r="BD255" s="2"/>
      <c r="BE255" s="2"/>
      <c r="BF255" s="2"/>
      <c r="BG255" s="2"/>
      <c r="BH255" s="2"/>
    </row>
    <row r="256" spans="47:60" s="235" customFormat="1" x14ac:dyDescent="0.25">
      <c r="AU256" s="345"/>
      <c r="AV256" s="267"/>
      <c r="AW256" s="2"/>
      <c r="AX256" s="2"/>
      <c r="AY256" s="2"/>
      <c r="AZ256" s="2"/>
      <c r="BA256" s="2"/>
      <c r="BB256" s="2"/>
      <c r="BC256" s="2"/>
      <c r="BD256" s="2"/>
      <c r="BE256" s="2"/>
      <c r="BF256" s="2"/>
      <c r="BG256" s="2"/>
      <c r="BH256" s="2"/>
    </row>
    <row r="257" spans="47:60" s="235" customFormat="1" x14ac:dyDescent="0.25">
      <c r="AU257" s="345"/>
      <c r="AV257" s="267"/>
      <c r="AW257" s="2"/>
      <c r="AX257" s="2"/>
      <c r="AY257" s="2"/>
      <c r="AZ257" s="2"/>
      <c r="BA257" s="2"/>
      <c r="BB257" s="2"/>
      <c r="BC257" s="2"/>
      <c r="BD257" s="2"/>
      <c r="BE257" s="2"/>
      <c r="BF257" s="2"/>
      <c r="BG257" s="2"/>
      <c r="BH257" s="2"/>
    </row>
    <row r="258" spans="47:60" s="235" customFormat="1" x14ac:dyDescent="0.25">
      <c r="AU258" s="345"/>
      <c r="AV258" s="267"/>
      <c r="AW258" s="2"/>
      <c r="AX258" s="2"/>
      <c r="AY258" s="2"/>
      <c r="AZ258" s="2"/>
      <c r="BA258" s="2"/>
      <c r="BB258" s="2"/>
      <c r="BC258" s="2"/>
      <c r="BD258" s="2"/>
      <c r="BE258" s="2"/>
      <c r="BF258" s="2"/>
      <c r="BG258" s="2"/>
      <c r="BH258" s="2"/>
    </row>
    <row r="259" spans="47:60" s="235" customFormat="1" x14ac:dyDescent="0.25">
      <c r="AU259" s="345"/>
      <c r="AV259" s="267"/>
      <c r="AW259" s="2"/>
      <c r="AX259" s="2"/>
      <c r="AY259" s="2"/>
      <c r="AZ259" s="2"/>
      <c r="BA259" s="2"/>
      <c r="BB259" s="2"/>
      <c r="BC259" s="2"/>
      <c r="BD259" s="2"/>
      <c r="BE259" s="2"/>
      <c r="BF259" s="2"/>
      <c r="BG259" s="2"/>
      <c r="BH259" s="2"/>
    </row>
    <row r="260" spans="47:60" s="235" customFormat="1" x14ac:dyDescent="0.25">
      <c r="AU260" s="345"/>
      <c r="AV260" s="267"/>
      <c r="AW260" s="2"/>
      <c r="AX260" s="2"/>
      <c r="AY260" s="2"/>
      <c r="AZ260" s="2"/>
      <c r="BA260" s="2"/>
      <c r="BB260" s="2"/>
      <c r="BC260" s="2"/>
      <c r="BD260" s="2"/>
      <c r="BE260" s="2"/>
      <c r="BF260" s="2"/>
      <c r="BG260" s="2"/>
      <c r="BH260" s="2"/>
    </row>
    <row r="261" spans="47:60" s="235" customFormat="1" x14ac:dyDescent="0.25">
      <c r="AU261" s="345"/>
      <c r="AV261" s="267"/>
      <c r="AW261" s="2"/>
      <c r="AX261" s="2"/>
      <c r="AY261" s="2"/>
      <c r="AZ261" s="2"/>
      <c r="BA261" s="2"/>
      <c r="BB261" s="2"/>
      <c r="BC261" s="2"/>
      <c r="BD261" s="2"/>
      <c r="BE261" s="2"/>
      <c r="BF261" s="2"/>
      <c r="BG261" s="2"/>
      <c r="BH261" s="2"/>
    </row>
    <row r="262" spans="47:60" s="235" customFormat="1" x14ac:dyDescent="0.25">
      <c r="AU262" s="345"/>
      <c r="AV262" s="267"/>
      <c r="AW262" s="2"/>
      <c r="AX262" s="2"/>
      <c r="AY262" s="2"/>
      <c r="AZ262" s="2"/>
      <c r="BA262" s="2"/>
      <c r="BB262" s="2"/>
      <c r="BC262" s="2"/>
      <c r="BD262" s="2"/>
      <c r="BE262" s="2"/>
      <c r="BF262" s="2"/>
      <c r="BG262" s="2"/>
      <c r="BH262" s="2"/>
    </row>
    <row r="263" spans="47:60" s="235" customFormat="1" x14ac:dyDescent="0.25">
      <c r="AU263" s="345"/>
      <c r="AV263" s="267"/>
      <c r="AW263" s="2"/>
      <c r="AX263" s="2"/>
      <c r="AY263" s="2"/>
      <c r="AZ263" s="2"/>
      <c r="BA263" s="2"/>
      <c r="BB263" s="2"/>
      <c r="BC263" s="2"/>
      <c r="BD263" s="2"/>
      <c r="BE263" s="2"/>
      <c r="BF263" s="2"/>
      <c r="BG263" s="2"/>
      <c r="BH263" s="2"/>
    </row>
    <row r="264" spans="47:60" s="235" customFormat="1" x14ac:dyDescent="0.25">
      <c r="AU264" s="345"/>
      <c r="AV264" s="267"/>
      <c r="AW264" s="2"/>
      <c r="AX264" s="2"/>
      <c r="AY264" s="2"/>
      <c r="AZ264" s="2"/>
      <c r="BA264" s="2"/>
      <c r="BB264" s="2"/>
      <c r="BC264" s="2"/>
      <c r="BD264" s="2"/>
      <c r="BE264" s="2"/>
      <c r="BF264" s="2"/>
      <c r="BG264" s="2"/>
      <c r="BH264" s="2"/>
    </row>
    <row r="265" spans="47:60" s="235" customFormat="1" x14ac:dyDescent="0.25">
      <c r="AU265" s="345"/>
      <c r="AV265" s="267"/>
      <c r="AW265" s="2"/>
      <c r="AX265" s="2"/>
      <c r="AY265" s="2"/>
      <c r="AZ265" s="2"/>
      <c r="BA265" s="2"/>
      <c r="BB265" s="2"/>
      <c r="BC265" s="2"/>
      <c r="BD265" s="2"/>
      <c r="BE265" s="2"/>
      <c r="BF265" s="2"/>
      <c r="BG265" s="2"/>
      <c r="BH265" s="2"/>
    </row>
    <row r="266" spans="47:60" s="235" customFormat="1" x14ac:dyDescent="0.25">
      <c r="AU266" s="345"/>
      <c r="AV266" s="267"/>
      <c r="AW266" s="2"/>
      <c r="AX266" s="2"/>
      <c r="AY266" s="2"/>
      <c r="AZ266" s="2"/>
      <c r="BA266" s="2"/>
      <c r="BB266" s="2"/>
      <c r="BC266" s="2"/>
      <c r="BD266" s="2"/>
      <c r="BE266" s="2"/>
      <c r="BF266" s="2"/>
      <c r="BG266" s="2"/>
      <c r="BH266" s="2"/>
    </row>
    <row r="267" spans="47:60" s="235" customFormat="1" x14ac:dyDescent="0.25">
      <c r="AU267" s="345"/>
      <c r="AV267" s="267"/>
      <c r="AW267" s="2"/>
      <c r="AX267" s="2"/>
      <c r="AY267" s="2"/>
      <c r="AZ267" s="2"/>
      <c r="BA267" s="2"/>
      <c r="BB267" s="2"/>
      <c r="BC267" s="2"/>
      <c r="BD267" s="2"/>
      <c r="BE267" s="2"/>
      <c r="BF267" s="2"/>
      <c r="BG267" s="2"/>
      <c r="BH267" s="2"/>
    </row>
    <row r="268" spans="47:60" s="235" customFormat="1" x14ac:dyDescent="0.25">
      <c r="AU268" s="345"/>
      <c r="AV268" s="267"/>
      <c r="AW268" s="2"/>
      <c r="AX268" s="2"/>
      <c r="AY268" s="2"/>
      <c r="AZ268" s="2"/>
      <c r="BA268" s="2"/>
      <c r="BB268" s="2"/>
      <c r="BC268" s="2"/>
      <c r="BD268" s="2"/>
      <c r="BE268" s="2"/>
      <c r="BF268" s="2"/>
      <c r="BG268" s="2"/>
      <c r="BH268" s="2"/>
    </row>
    <row r="269" spans="47:60" s="235" customFormat="1" x14ac:dyDescent="0.25">
      <c r="AU269" s="345"/>
      <c r="AV269" s="267"/>
      <c r="AW269" s="2"/>
      <c r="AX269" s="2"/>
      <c r="AY269" s="2"/>
      <c r="AZ269" s="2"/>
      <c r="BA269" s="2"/>
      <c r="BB269" s="2"/>
      <c r="BC269" s="2"/>
      <c r="BD269" s="2"/>
      <c r="BE269" s="2"/>
      <c r="BF269" s="2"/>
      <c r="BG269" s="2"/>
      <c r="BH269" s="2"/>
    </row>
    <row r="270" spans="47:60" s="235" customFormat="1" x14ac:dyDescent="0.25">
      <c r="AU270" s="345"/>
      <c r="AV270" s="267"/>
      <c r="AW270" s="2"/>
      <c r="AX270" s="2"/>
      <c r="AY270" s="2"/>
      <c r="AZ270" s="2"/>
      <c r="BA270" s="2"/>
      <c r="BB270" s="2"/>
      <c r="BC270" s="2"/>
      <c r="BD270" s="2"/>
      <c r="BE270" s="2"/>
      <c r="BF270" s="2"/>
      <c r="BG270" s="2"/>
      <c r="BH270" s="2"/>
    </row>
    <row r="271" spans="47:60" s="235" customFormat="1" x14ac:dyDescent="0.25">
      <c r="AU271" s="345"/>
      <c r="AV271" s="267"/>
      <c r="AW271" s="2"/>
      <c r="AX271" s="2"/>
      <c r="AY271" s="2"/>
      <c r="AZ271" s="2"/>
      <c r="BA271" s="2"/>
      <c r="BB271" s="2"/>
      <c r="BC271" s="2"/>
      <c r="BD271" s="2"/>
      <c r="BE271" s="2"/>
      <c r="BF271" s="2"/>
      <c r="BG271" s="2"/>
      <c r="BH271" s="2"/>
    </row>
    <row r="272" spans="47:60" s="235" customFormat="1" x14ac:dyDescent="0.25">
      <c r="AU272" s="345"/>
      <c r="AV272" s="267"/>
      <c r="AW272" s="2"/>
      <c r="AX272" s="2"/>
      <c r="AY272" s="2"/>
      <c r="AZ272" s="2"/>
      <c r="BA272" s="2"/>
      <c r="BB272" s="2"/>
      <c r="BC272" s="2"/>
      <c r="BD272" s="2"/>
      <c r="BE272" s="2"/>
      <c r="BF272" s="2"/>
      <c r="BG272" s="2"/>
      <c r="BH272" s="2"/>
    </row>
    <row r="273" spans="47:60" s="235" customFormat="1" x14ac:dyDescent="0.25">
      <c r="AU273" s="345"/>
      <c r="AV273" s="267"/>
      <c r="AW273" s="2"/>
      <c r="AX273" s="2"/>
      <c r="AY273" s="2"/>
      <c r="AZ273" s="2"/>
      <c r="BA273" s="2"/>
      <c r="BB273" s="2"/>
      <c r="BC273" s="2"/>
      <c r="BD273" s="2"/>
      <c r="BE273" s="2"/>
      <c r="BF273" s="2"/>
      <c r="BG273" s="2"/>
      <c r="BH273" s="2"/>
    </row>
    <row r="274" spans="47:60" s="235" customFormat="1" x14ac:dyDescent="0.25">
      <c r="AU274" s="345"/>
      <c r="AV274" s="267"/>
      <c r="AW274" s="2"/>
      <c r="AX274" s="2"/>
      <c r="AY274" s="2"/>
      <c r="AZ274" s="2"/>
      <c r="BA274" s="2"/>
      <c r="BB274" s="2"/>
      <c r="BC274" s="2"/>
      <c r="BD274" s="2"/>
      <c r="BE274" s="2"/>
      <c r="BF274" s="2"/>
      <c r="BG274" s="2"/>
      <c r="BH274" s="2"/>
    </row>
    <row r="275" spans="47:60" s="235" customFormat="1" x14ac:dyDescent="0.25">
      <c r="AU275" s="345"/>
      <c r="AV275" s="267"/>
      <c r="AW275" s="2"/>
      <c r="AX275" s="2"/>
      <c r="AY275" s="2"/>
      <c r="AZ275" s="2"/>
      <c r="BA275" s="2"/>
      <c r="BB275" s="2"/>
      <c r="BC275" s="2"/>
      <c r="BD275" s="2"/>
      <c r="BE275" s="2"/>
      <c r="BF275" s="2"/>
      <c r="BG275" s="2"/>
      <c r="BH275" s="2"/>
    </row>
    <row r="276" spans="47:60" s="235" customFormat="1" x14ac:dyDescent="0.25">
      <c r="AU276" s="345"/>
      <c r="AV276" s="267"/>
      <c r="AW276" s="2"/>
      <c r="AX276" s="2"/>
      <c r="AY276" s="2"/>
      <c r="AZ276" s="2"/>
      <c r="BA276" s="2"/>
      <c r="BB276" s="2"/>
      <c r="BC276" s="2"/>
      <c r="BD276" s="2"/>
      <c r="BE276" s="2"/>
      <c r="BF276" s="2"/>
      <c r="BG276" s="2"/>
      <c r="BH276" s="2"/>
    </row>
    <row r="277" spans="47:60" s="235" customFormat="1" x14ac:dyDescent="0.25">
      <c r="AU277" s="345"/>
      <c r="AV277" s="267"/>
      <c r="AW277" s="2"/>
      <c r="AX277" s="2"/>
      <c r="AY277" s="2"/>
      <c r="AZ277" s="2"/>
      <c r="BA277" s="2"/>
      <c r="BB277" s="2"/>
      <c r="BC277" s="2"/>
      <c r="BD277" s="2"/>
      <c r="BE277" s="2"/>
      <c r="BF277" s="2"/>
      <c r="BG277" s="2"/>
      <c r="BH277" s="2"/>
    </row>
    <row r="278" spans="47:60" s="235" customFormat="1" x14ac:dyDescent="0.25">
      <c r="AU278" s="345"/>
      <c r="AV278" s="267"/>
      <c r="AW278" s="2"/>
      <c r="AX278" s="2"/>
      <c r="AY278" s="2"/>
      <c r="AZ278" s="2"/>
      <c r="BA278" s="2"/>
      <c r="BB278" s="2"/>
      <c r="BC278" s="2"/>
      <c r="BD278" s="2"/>
      <c r="BE278" s="2"/>
      <c r="BF278" s="2"/>
      <c r="BG278" s="2"/>
      <c r="BH278" s="2"/>
    </row>
    <row r="279" spans="47:60" s="235" customFormat="1" x14ac:dyDescent="0.25">
      <c r="AU279" s="345"/>
      <c r="AV279" s="267"/>
      <c r="AW279" s="2"/>
      <c r="AX279" s="2"/>
      <c r="AY279" s="2"/>
      <c r="AZ279" s="2"/>
      <c r="BA279" s="2"/>
      <c r="BB279" s="2"/>
      <c r="BC279" s="2"/>
      <c r="BD279" s="2"/>
      <c r="BE279" s="2"/>
      <c r="BF279" s="2"/>
      <c r="BG279" s="2"/>
      <c r="BH279" s="2"/>
    </row>
    <row r="280" spans="47:60" s="235" customFormat="1" x14ac:dyDescent="0.25">
      <c r="AU280" s="345"/>
      <c r="AV280" s="267"/>
      <c r="AW280" s="2"/>
      <c r="AX280" s="2"/>
      <c r="AY280" s="2"/>
      <c r="AZ280" s="2"/>
      <c r="BA280" s="2"/>
      <c r="BB280" s="2"/>
      <c r="BC280" s="2"/>
      <c r="BD280" s="2"/>
      <c r="BE280" s="2"/>
      <c r="BF280" s="2"/>
      <c r="BG280" s="2"/>
      <c r="BH280" s="2"/>
    </row>
    <row r="281" spans="47:60" s="235" customFormat="1" x14ac:dyDescent="0.25">
      <c r="AU281" s="345"/>
      <c r="AV281" s="267"/>
      <c r="AW281" s="2"/>
      <c r="AX281" s="2"/>
      <c r="AY281" s="2"/>
      <c r="AZ281" s="2"/>
      <c r="BA281" s="2"/>
      <c r="BB281" s="2"/>
      <c r="BC281" s="2"/>
      <c r="BD281" s="2"/>
      <c r="BE281" s="2"/>
      <c r="BF281" s="2"/>
      <c r="BG281" s="2"/>
      <c r="BH281" s="2"/>
    </row>
    <row r="282" spans="47:60" s="235" customFormat="1" x14ac:dyDescent="0.25">
      <c r="AU282" s="345"/>
      <c r="AV282" s="267"/>
      <c r="AW282" s="2"/>
      <c r="AX282" s="2"/>
      <c r="AY282" s="2"/>
      <c r="AZ282" s="2"/>
      <c r="BA282" s="2"/>
      <c r="BB282" s="2"/>
      <c r="BC282" s="2"/>
      <c r="BD282" s="2"/>
      <c r="BE282" s="2"/>
      <c r="BF282" s="2"/>
      <c r="BG282" s="2"/>
      <c r="BH282" s="2"/>
    </row>
    <row r="283" spans="47:60" s="235" customFormat="1" x14ac:dyDescent="0.25">
      <c r="AU283" s="345"/>
      <c r="AV283" s="267"/>
      <c r="AW283" s="2"/>
      <c r="AX283" s="2"/>
      <c r="AY283" s="2"/>
      <c r="AZ283" s="2"/>
      <c r="BA283" s="2"/>
      <c r="BB283" s="2"/>
      <c r="BC283" s="2"/>
      <c r="BD283" s="2"/>
      <c r="BE283" s="2"/>
      <c r="BF283" s="2"/>
      <c r="BG283" s="2"/>
      <c r="BH283" s="2"/>
    </row>
    <row r="284" spans="47:60" s="235" customFormat="1" x14ac:dyDescent="0.25">
      <c r="AU284" s="345"/>
      <c r="AV284" s="267"/>
      <c r="AW284" s="2"/>
      <c r="AX284" s="2"/>
      <c r="AY284" s="2"/>
      <c r="AZ284" s="2"/>
      <c r="BA284" s="2"/>
      <c r="BB284" s="2"/>
      <c r="BC284" s="2"/>
      <c r="BD284" s="2"/>
      <c r="BE284" s="2"/>
      <c r="BF284" s="2"/>
      <c r="BG284" s="2"/>
      <c r="BH284" s="2"/>
    </row>
    <row r="285" spans="47:60" s="235" customFormat="1" x14ac:dyDescent="0.25">
      <c r="AU285" s="345"/>
      <c r="AV285" s="267"/>
      <c r="AW285" s="2"/>
      <c r="AX285" s="2"/>
      <c r="AY285" s="2"/>
      <c r="AZ285" s="2"/>
      <c r="BA285" s="2"/>
      <c r="BB285" s="2"/>
      <c r="BC285" s="2"/>
      <c r="BD285" s="2"/>
      <c r="BE285" s="2"/>
      <c r="BF285" s="2"/>
      <c r="BG285" s="2"/>
      <c r="BH285" s="2"/>
    </row>
    <row r="286" spans="47:60" s="235" customFormat="1" x14ac:dyDescent="0.25">
      <c r="AU286" s="345"/>
      <c r="AV286" s="267"/>
      <c r="AW286" s="2"/>
      <c r="AX286" s="2"/>
      <c r="AY286" s="2"/>
      <c r="AZ286" s="2"/>
      <c r="BA286" s="2"/>
      <c r="BB286" s="2"/>
      <c r="BC286" s="2"/>
      <c r="BD286" s="2"/>
      <c r="BE286" s="2"/>
      <c r="BF286" s="2"/>
      <c r="BG286" s="2"/>
      <c r="BH286" s="2"/>
    </row>
    <row r="287" spans="47:60" s="235" customFormat="1" x14ac:dyDescent="0.25">
      <c r="AU287" s="345"/>
      <c r="AV287" s="267"/>
      <c r="AW287" s="2"/>
      <c r="AX287" s="2"/>
      <c r="AY287" s="2"/>
      <c r="AZ287" s="2"/>
      <c r="BA287" s="2"/>
      <c r="BB287" s="2"/>
      <c r="BC287" s="2"/>
      <c r="BD287" s="2"/>
      <c r="BE287" s="2"/>
      <c r="BF287" s="2"/>
      <c r="BG287" s="2"/>
      <c r="BH287" s="2"/>
    </row>
    <row r="288" spans="47:60" s="235" customFormat="1" x14ac:dyDescent="0.25">
      <c r="AU288" s="345"/>
      <c r="AV288" s="267"/>
      <c r="AW288" s="2"/>
      <c r="AX288" s="2"/>
      <c r="AY288" s="2"/>
      <c r="AZ288" s="2"/>
      <c r="BA288" s="2"/>
      <c r="BB288" s="2"/>
      <c r="BC288" s="2"/>
      <c r="BD288" s="2"/>
      <c r="BE288" s="2"/>
      <c r="BF288" s="2"/>
      <c r="BG288" s="2"/>
      <c r="BH288" s="2"/>
    </row>
    <row r="289" spans="47:60" s="235" customFormat="1" x14ac:dyDescent="0.25">
      <c r="AU289" s="345"/>
      <c r="AV289" s="267"/>
      <c r="AW289" s="2"/>
      <c r="AX289" s="2"/>
      <c r="AY289" s="2"/>
      <c r="AZ289" s="2"/>
      <c r="BA289" s="2"/>
      <c r="BB289" s="2"/>
      <c r="BC289" s="2"/>
      <c r="BD289" s="2"/>
      <c r="BE289" s="2"/>
      <c r="BF289" s="2"/>
      <c r="BG289" s="2"/>
      <c r="BH289" s="2"/>
    </row>
    <row r="290" spans="47:60" s="235" customFormat="1" x14ac:dyDescent="0.25">
      <c r="AU290" s="345"/>
      <c r="AV290" s="267"/>
      <c r="AW290" s="2"/>
      <c r="AX290" s="2"/>
      <c r="AY290" s="2"/>
      <c r="AZ290" s="2"/>
      <c r="BA290" s="2"/>
      <c r="BB290" s="2"/>
      <c r="BC290" s="2"/>
      <c r="BD290" s="2"/>
      <c r="BE290" s="2"/>
      <c r="BF290" s="2"/>
      <c r="BG290" s="2"/>
      <c r="BH290" s="2"/>
    </row>
    <row r="291" spans="47:60" s="235" customFormat="1" x14ac:dyDescent="0.25">
      <c r="AU291" s="345"/>
      <c r="AV291" s="267"/>
      <c r="AW291" s="2"/>
      <c r="AX291" s="2"/>
      <c r="AY291" s="2"/>
      <c r="AZ291" s="2"/>
      <c r="BA291" s="2"/>
      <c r="BB291" s="2"/>
      <c r="BC291" s="2"/>
      <c r="BD291" s="2"/>
      <c r="BE291" s="2"/>
      <c r="BF291" s="2"/>
      <c r="BG291" s="2"/>
      <c r="BH291" s="2"/>
    </row>
    <row r="292" spans="47:60" s="235" customFormat="1" x14ac:dyDescent="0.25">
      <c r="AU292" s="345"/>
      <c r="AV292" s="267"/>
      <c r="AW292" s="2"/>
      <c r="AX292" s="2"/>
      <c r="AY292" s="2"/>
      <c r="AZ292" s="2"/>
      <c r="BA292" s="2"/>
      <c r="BB292" s="2"/>
      <c r="BC292" s="2"/>
      <c r="BD292" s="2"/>
      <c r="BE292" s="2"/>
      <c r="BF292" s="2"/>
      <c r="BG292" s="2"/>
      <c r="BH292" s="2"/>
    </row>
    <row r="293" spans="47:60" s="235" customFormat="1" x14ac:dyDescent="0.25">
      <c r="AU293" s="345"/>
      <c r="AV293" s="267"/>
      <c r="AW293" s="2"/>
      <c r="AX293" s="2"/>
      <c r="AY293" s="2"/>
      <c r="AZ293" s="2"/>
      <c r="BA293" s="2"/>
      <c r="BB293" s="2"/>
      <c r="BC293" s="2"/>
      <c r="BD293" s="2"/>
      <c r="BE293" s="2"/>
      <c r="BF293" s="2"/>
      <c r="BG293" s="2"/>
      <c r="BH293" s="2"/>
    </row>
    <row r="294" spans="47:60" s="235" customFormat="1" x14ac:dyDescent="0.25">
      <c r="AU294" s="345"/>
      <c r="AV294" s="267"/>
      <c r="AW294" s="2"/>
      <c r="AX294" s="2"/>
      <c r="AY294" s="2"/>
      <c r="AZ294" s="2"/>
      <c r="BA294" s="2"/>
      <c r="BB294" s="2"/>
      <c r="BC294" s="2"/>
      <c r="BD294" s="2"/>
      <c r="BE294" s="2"/>
      <c r="BF294" s="2"/>
      <c r="BG294" s="2"/>
      <c r="BH294" s="2"/>
    </row>
    <row r="295" spans="47:60" s="235" customFormat="1" x14ac:dyDescent="0.25">
      <c r="AU295" s="345"/>
      <c r="AV295" s="267"/>
      <c r="AW295" s="2"/>
      <c r="AX295" s="2"/>
      <c r="AY295" s="2"/>
      <c r="AZ295" s="2"/>
      <c r="BA295" s="2"/>
      <c r="BB295" s="2"/>
      <c r="BC295" s="2"/>
      <c r="BD295" s="2"/>
      <c r="BE295" s="2"/>
      <c r="BF295" s="2"/>
      <c r="BG295" s="2"/>
      <c r="BH295" s="2"/>
    </row>
    <row r="296" spans="47:60" s="235" customFormat="1" x14ac:dyDescent="0.25">
      <c r="AU296" s="345"/>
      <c r="AV296" s="267"/>
      <c r="AW296" s="2"/>
      <c r="AX296" s="2"/>
      <c r="AY296" s="2"/>
      <c r="AZ296" s="2"/>
      <c r="BA296" s="2"/>
      <c r="BB296" s="2"/>
      <c r="BC296" s="2"/>
      <c r="BD296" s="2"/>
      <c r="BE296" s="2"/>
      <c r="BF296" s="2"/>
      <c r="BG296" s="2"/>
      <c r="BH296" s="2"/>
    </row>
    <row r="297" spans="47:60" s="235" customFormat="1" x14ac:dyDescent="0.25">
      <c r="AU297" s="345"/>
      <c r="AV297" s="267"/>
      <c r="AW297" s="2"/>
      <c r="AX297" s="2"/>
      <c r="AY297" s="2"/>
      <c r="AZ297" s="2"/>
      <c r="BA297" s="2"/>
      <c r="BB297" s="2"/>
      <c r="BC297" s="2"/>
      <c r="BD297" s="2"/>
      <c r="BE297" s="2"/>
      <c r="BF297" s="2"/>
      <c r="BG297" s="2"/>
      <c r="BH297" s="2"/>
    </row>
    <row r="298" spans="47:60" s="235" customFormat="1" x14ac:dyDescent="0.25">
      <c r="AU298" s="345"/>
      <c r="AV298" s="267"/>
      <c r="AW298" s="2"/>
      <c r="AX298" s="2"/>
      <c r="AY298" s="2"/>
      <c r="AZ298" s="2"/>
      <c r="BA298" s="2"/>
      <c r="BB298" s="2"/>
      <c r="BC298" s="2"/>
      <c r="BD298" s="2"/>
      <c r="BE298" s="2"/>
      <c r="BF298" s="2"/>
      <c r="BG298" s="2"/>
      <c r="BH298" s="2"/>
    </row>
    <row r="299" spans="47:60" s="235" customFormat="1" x14ac:dyDescent="0.25">
      <c r="AU299" s="345"/>
      <c r="AV299" s="267"/>
      <c r="AW299" s="2"/>
      <c r="AX299" s="2"/>
      <c r="AY299" s="2"/>
      <c r="AZ299" s="2"/>
      <c r="BA299" s="2"/>
      <c r="BB299" s="2"/>
      <c r="BC299" s="2"/>
      <c r="BD299" s="2"/>
      <c r="BE299" s="2"/>
      <c r="BF299" s="2"/>
      <c r="BG299" s="2"/>
      <c r="BH299" s="2"/>
    </row>
    <row r="300" spans="47:60" s="235" customFormat="1" x14ac:dyDescent="0.25">
      <c r="AU300" s="345"/>
      <c r="AV300" s="267"/>
      <c r="AW300" s="2"/>
      <c r="AX300" s="2"/>
      <c r="AY300" s="2"/>
      <c r="AZ300" s="2"/>
      <c r="BA300" s="2"/>
      <c r="BB300" s="2"/>
      <c r="BC300" s="2"/>
      <c r="BD300" s="2"/>
      <c r="BE300" s="2"/>
      <c r="BF300" s="2"/>
      <c r="BG300" s="2"/>
      <c r="BH300" s="2"/>
    </row>
    <row r="301" spans="47:60" s="235" customFormat="1" x14ac:dyDescent="0.25">
      <c r="AU301" s="345"/>
      <c r="AV301" s="267"/>
      <c r="AW301" s="2"/>
      <c r="AX301" s="2"/>
      <c r="AY301" s="2"/>
      <c r="AZ301" s="2"/>
      <c r="BA301" s="2"/>
      <c r="BB301" s="2"/>
      <c r="BC301" s="2"/>
      <c r="BD301" s="2"/>
      <c r="BE301" s="2"/>
      <c r="BF301" s="2"/>
      <c r="BG301" s="2"/>
      <c r="BH301" s="2"/>
    </row>
    <row r="302" spans="47:60" s="235" customFormat="1" x14ac:dyDescent="0.25">
      <c r="AU302" s="345"/>
      <c r="AV302" s="267"/>
      <c r="AW302" s="2"/>
      <c r="AX302" s="2"/>
      <c r="AY302" s="2"/>
      <c r="AZ302" s="2"/>
      <c r="BA302" s="2"/>
      <c r="BB302" s="2"/>
      <c r="BC302" s="2"/>
      <c r="BD302" s="2"/>
      <c r="BE302" s="2"/>
      <c r="BF302" s="2"/>
      <c r="BG302" s="2"/>
      <c r="BH302" s="2"/>
    </row>
    <row r="303" spans="47:60" s="235" customFormat="1" x14ac:dyDescent="0.25">
      <c r="AU303" s="345"/>
      <c r="AV303" s="267"/>
      <c r="AW303" s="2"/>
      <c r="AX303" s="2"/>
      <c r="AY303" s="2"/>
      <c r="AZ303" s="2"/>
      <c r="BA303" s="2"/>
      <c r="BB303" s="2"/>
      <c r="BC303" s="2"/>
      <c r="BD303" s="2"/>
      <c r="BE303" s="2"/>
      <c r="BF303" s="2"/>
      <c r="BG303" s="2"/>
      <c r="BH303" s="2"/>
    </row>
    <row r="304" spans="47:60" s="235" customFormat="1" x14ac:dyDescent="0.25">
      <c r="AU304" s="345"/>
      <c r="AV304" s="267"/>
      <c r="AW304" s="2"/>
      <c r="AX304" s="2"/>
      <c r="AY304" s="2"/>
      <c r="AZ304" s="2"/>
      <c r="BA304" s="2"/>
      <c r="BB304" s="2"/>
      <c r="BC304" s="2"/>
      <c r="BD304" s="2"/>
      <c r="BE304" s="2"/>
      <c r="BF304" s="2"/>
      <c r="BG304" s="2"/>
      <c r="BH304" s="2"/>
    </row>
    <row r="305" spans="47:60" s="235" customFormat="1" x14ac:dyDescent="0.25">
      <c r="AU305" s="345"/>
      <c r="AV305" s="267"/>
      <c r="AW305" s="2"/>
      <c r="AX305" s="2"/>
      <c r="AY305" s="2"/>
      <c r="AZ305" s="2"/>
      <c r="BA305" s="2"/>
      <c r="BB305" s="2"/>
      <c r="BC305" s="2"/>
      <c r="BD305" s="2"/>
      <c r="BE305" s="2"/>
      <c r="BF305" s="2"/>
      <c r="BG305" s="2"/>
      <c r="BH305" s="2"/>
    </row>
    <row r="306" spans="47:60" s="235" customFormat="1" x14ac:dyDescent="0.25">
      <c r="AU306" s="345"/>
      <c r="AV306" s="267"/>
      <c r="AW306" s="2"/>
      <c r="AX306" s="2"/>
      <c r="AY306" s="2"/>
      <c r="AZ306" s="2"/>
      <c r="BA306" s="2"/>
      <c r="BB306" s="2"/>
      <c r="BC306" s="2"/>
      <c r="BD306" s="2"/>
      <c r="BE306" s="2"/>
      <c r="BF306" s="2"/>
      <c r="BG306" s="2"/>
      <c r="BH306" s="2"/>
    </row>
    <row r="307" spans="47:60" s="235" customFormat="1" x14ac:dyDescent="0.25">
      <c r="AU307" s="345"/>
      <c r="AV307" s="267"/>
      <c r="AW307" s="2"/>
      <c r="AX307" s="2"/>
      <c r="AY307" s="2"/>
      <c r="AZ307" s="2"/>
      <c r="BA307" s="2"/>
      <c r="BB307" s="2"/>
      <c r="BC307" s="2"/>
      <c r="BD307" s="2"/>
      <c r="BE307" s="2"/>
      <c r="BF307" s="2"/>
      <c r="BG307" s="2"/>
      <c r="BH307" s="2"/>
    </row>
    <row r="308" spans="47:60" s="235" customFormat="1" x14ac:dyDescent="0.25">
      <c r="AU308" s="345"/>
      <c r="AV308" s="267"/>
      <c r="AW308" s="2"/>
      <c r="AX308" s="2"/>
      <c r="AY308" s="2"/>
      <c r="AZ308" s="2"/>
      <c r="BA308" s="2"/>
      <c r="BB308" s="2"/>
      <c r="BC308" s="2"/>
      <c r="BD308" s="2"/>
      <c r="BE308" s="2"/>
      <c r="BF308" s="2"/>
      <c r="BG308" s="2"/>
      <c r="BH308" s="2"/>
    </row>
    <row r="309" spans="47:60" s="235" customFormat="1" x14ac:dyDescent="0.25">
      <c r="AU309" s="345"/>
      <c r="AV309" s="267"/>
      <c r="AW309" s="2"/>
      <c r="AX309" s="2"/>
      <c r="AY309" s="2"/>
      <c r="AZ309" s="2"/>
      <c r="BA309" s="2"/>
      <c r="BB309" s="2"/>
      <c r="BC309" s="2"/>
      <c r="BD309" s="2"/>
      <c r="BE309" s="2"/>
      <c r="BF309" s="2"/>
      <c r="BG309" s="2"/>
      <c r="BH309" s="2"/>
    </row>
  </sheetData>
  <mergeCells count="3">
    <mergeCell ref="B2:V2"/>
    <mergeCell ref="Z2:AT2"/>
    <mergeCell ref="Z51:AT5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0102B-0BD2-49EA-B2F8-755F3281CC1F}">
  <dimension ref="A1:GE122"/>
  <sheetViews>
    <sheetView workbookViewId="0"/>
  </sheetViews>
  <sheetFormatPr defaultColWidth="8.81640625" defaultRowHeight="14.5" x14ac:dyDescent="0.35"/>
  <cols>
    <col min="1" max="1" width="4.453125" style="235" customWidth="1"/>
    <col min="2" max="2" width="18.453125" style="2" customWidth="1"/>
    <col min="3" max="3" width="12.1796875" style="2" customWidth="1"/>
    <col min="4" max="5" width="0" style="2" hidden="1" customWidth="1"/>
    <col min="6" max="6" width="8.81640625" style="2" customWidth="1"/>
    <col min="7" max="10" width="8.81640625" style="2" hidden="1" customWidth="1"/>
    <col min="11" max="11" width="8.81640625" style="2"/>
    <col min="12" max="15" width="8.81640625" style="2" hidden="1" customWidth="1"/>
    <col min="16" max="16" width="8.81640625" style="2"/>
    <col min="17" max="20" width="0" style="2" hidden="1" customWidth="1"/>
    <col min="21" max="21" width="8.81640625" style="2"/>
    <col min="22" max="25" width="0" style="2" hidden="1" customWidth="1"/>
    <col min="26" max="26" width="8.81640625" style="2"/>
    <col min="27" max="30" width="0" style="2" hidden="1" customWidth="1"/>
    <col min="31" max="31" width="8.81640625" style="2"/>
    <col min="32" max="35" width="0" style="2" hidden="1" customWidth="1"/>
    <col min="36" max="36" width="8.81640625" style="2"/>
    <col min="37" max="40" width="0" style="2" hidden="1" customWidth="1"/>
    <col min="41" max="41" width="8.81640625" style="2"/>
    <col min="42" max="45" width="0" style="2" hidden="1" customWidth="1"/>
    <col min="46" max="46" width="8.81640625" style="2"/>
    <col min="47" max="50" width="0" style="2" hidden="1" customWidth="1"/>
    <col min="51" max="51" width="8.81640625" style="2"/>
    <col min="52" max="54" width="0" style="2" hidden="1" customWidth="1"/>
    <col min="55" max="55" width="8.81640625" style="2"/>
    <col min="56" max="57" width="0" style="2" hidden="1" customWidth="1"/>
    <col min="58" max="58" width="8.81640625" style="2"/>
    <col min="59" max="61" width="0" style="2" hidden="1" customWidth="1"/>
    <col min="62" max="62" width="8.81640625" style="2"/>
    <col min="63" max="66" width="0" style="2" hidden="1" customWidth="1"/>
    <col min="67" max="67" width="8.81640625" style="2"/>
    <col min="68" max="71" width="0" style="2" hidden="1" customWidth="1"/>
    <col min="72" max="72" width="8.81640625" style="2"/>
    <col min="73" max="76" width="0" style="2" hidden="1" customWidth="1"/>
    <col min="77" max="77" width="8.81640625" style="2"/>
    <col min="78" max="81" width="0" style="2" hidden="1" customWidth="1"/>
    <col min="82" max="82" width="8.81640625" style="2"/>
    <col min="83" max="85" width="0" style="2" hidden="1" customWidth="1"/>
    <col min="86" max="86" width="8.81640625" style="2"/>
    <col min="87" max="88" width="0" style="2" hidden="1" customWidth="1"/>
    <col min="89" max="89" width="8.81640625" style="2"/>
    <col min="90" max="91" width="0" style="2" hidden="1" customWidth="1"/>
    <col min="92" max="92" width="8.81640625" style="2"/>
    <col min="93" max="94" width="0" style="2" hidden="1" customWidth="1"/>
    <col min="95" max="95" width="8.81640625" style="2"/>
    <col min="96" max="97" width="0" style="2" hidden="1" customWidth="1"/>
    <col min="98" max="98" width="8.81640625" style="2"/>
    <col min="99" max="99" width="0" style="2" hidden="1" customWidth="1"/>
    <col min="100" max="100" width="6.1796875" style="235" customWidth="1"/>
    <col min="101" max="101" width="6.453125" style="235" customWidth="1"/>
    <col min="102" max="103" width="8.81640625" style="2"/>
    <col min="104" max="104" width="10.453125" style="2" customWidth="1"/>
    <col min="105" max="106" width="8.81640625" style="2"/>
    <col min="107" max="107" width="10.453125" style="2" customWidth="1"/>
    <col min="108" max="109" width="8.81640625" style="2"/>
    <col min="110" max="110" width="10.54296875" style="2" customWidth="1"/>
    <col min="111" max="112" width="8.81640625" style="2"/>
    <col min="113" max="113" width="10.54296875" style="2" customWidth="1"/>
    <col min="114" max="115" width="8.81640625" style="2"/>
    <col min="116" max="116" width="10.81640625" style="2" customWidth="1"/>
    <col min="117" max="118" width="8.81640625" style="2"/>
    <col min="119" max="119" width="10.81640625" style="2" customWidth="1"/>
    <col min="120" max="121" width="8.81640625" style="2"/>
    <col min="122" max="122" width="10.54296875" style="2" customWidth="1"/>
    <col min="123" max="123" width="8.81640625" style="2"/>
    <col min="124" max="124" width="8.81640625" style="235"/>
    <col min="125" max="125" width="28.81640625" style="2" customWidth="1"/>
    <col min="126" max="126" width="8.81640625" style="2"/>
    <col min="127" max="127" width="9.453125" style="2" hidden="1" customWidth="1"/>
    <col min="128" max="128" width="0" style="2" hidden="1" customWidth="1"/>
    <col min="129" max="129" width="8.81640625" style="2"/>
    <col min="130" max="133" width="0" style="2" hidden="1" customWidth="1"/>
    <col min="134" max="134" width="8.81640625" style="2"/>
    <col min="135" max="136" width="0" style="2" hidden="1" customWidth="1"/>
    <col min="138" max="169" width="8.81640625" style="235"/>
    <col min="170" max="16384" width="8.81640625" style="2"/>
  </cols>
  <sheetData>
    <row r="1" spans="1:187" s="235" customFormat="1" ht="10.5" x14ac:dyDescent="0.25"/>
    <row r="2" spans="1:187" s="235" customFormat="1" ht="10.5" x14ac:dyDescent="0.25">
      <c r="B2" s="539" t="s">
        <v>283</v>
      </c>
      <c r="C2" s="290"/>
      <c r="D2" s="290"/>
      <c r="E2" s="524"/>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524"/>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524" t="s">
        <v>284</v>
      </c>
      <c r="CY2" s="290"/>
      <c r="CZ2" s="290"/>
      <c r="DA2" s="290"/>
      <c r="DB2" s="525"/>
      <c r="DC2" s="290"/>
      <c r="DD2" s="290"/>
      <c r="DE2" s="290"/>
      <c r="DF2" s="290"/>
      <c r="DG2" s="290"/>
      <c r="DH2" s="290"/>
      <c r="DI2" s="290"/>
      <c r="DJ2" s="290"/>
      <c r="DK2" s="290"/>
      <c r="DL2" s="290"/>
      <c r="DM2" s="290"/>
      <c r="DN2" s="290"/>
      <c r="DO2" s="290"/>
      <c r="DP2" s="290"/>
      <c r="DQ2" s="290"/>
      <c r="DR2" s="290"/>
      <c r="DS2" s="290"/>
      <c r="DU2" s="237" t="s">
        <v>285</v>
      </c>
    </row>
    <row r="3" spans="1:187" s="235" customFormat="1" ht="11" thickBot="1" x14ac:dyDescent="0.3">
      <c r="B3" s="526" t="s">
        <v>286</v>
      </c>
      <c r="C3" s="525"/>
      <c r="D3" s="1477" t="s">
        <v>287</v>
      </c>
      <c r="E3" s="1477"/>
      <c r="F3" s="1477"/>
      <c r="G3" s="1477"/>
      <c r="H3" s="1477"/>
      <c r="I3" s="1477" t="s">
        <v>288</v>
      </c>
      <c r="J3" s="1477"/>
      <c r="K3" s="1477"/>
      <c r="L3" s="1477"/>
      <c r="M3" s="1477"/>
      <c r="N3" s="1477" t="s">
        <v>289</v>
      </c>
      <c r="O3" s="1477"/>
      <c r="P3" s="1477"/>
      <c r="Q3" s="1477"/>
      <c r="R3" s="1477"/>
      <c r="S3" s="1477" t="s">
        <v>290</v>
      </c>
      <c r="T3" s="1477"/>
      <c r="U3" s="1477"/>
      <c r="V3" s="1477"/>
      <c r="W3" s="1477"/>
      <c r="X3" s="1477" t="s">
        <v>291</v>
      </c>
      <c r="Y3" s="1477"/>
      <c r="Z3" s="1477"/>
      <c r="AA3" s="1477"/>
      <c r="AB3" s="1477"/>
      <c r="AC3" s="1477" t="s">
        <v>292</v>
      </c>
      <c r="AD3" s="1477"/>
      <c r="AE3" s="1477"/>
      <c r="AF3" s="1477"/>
      <c r="AG3" s="1477"/>
      <c r="AH3" s="1477" t="s">
        <v>293</v>
      </c>
      <c r="AI3" s="1477"/>
      <c r="AJ3" s="1477"/>
      <c r="AK3" s="1477"/>
      <c r="AL3" s="1477"/>
      <c r="AM3" s="1477" t="s">
        <v>294</v>
      </c>
      <c r="AN3" s="1477"/>
      <c r="AO3" s="1477"/>
      <c r="AP3" s="1477"/>
      <c r="AQ3" s="1477"/>
      <c r="AR3" s="1477" t="s">
        <v>295</v>
      </c>
      <c r="AS3" s="1477"/>
      <c r="AT3" s="1477"/>
      <c r="AU3" s="1477"/>
      <c r="AV3" s="1477"/>
      <c r="AW3" s="1477" t="s">
        <v>296</v>
      </c>
      <c r="AX3" s="1477"/>
      <c r="AY3" s="1477"/>
      <c r="AZ3" s="1477"/>
      <c r="BA3" s="1477"/>
      <c r="BB3" s="1476" t="s">
        <v>297</v>
      </c>
      <c r="BC3" s="1476"/>
      <c r="BD3" s="1476"/>
      <c r="BE3" s="1476" t="s">
        <v>297</v>
      </c>
      <c r="BF3" s="1476"/>
      <c r="BG3" s="1476"/>
      <c r="BH3" s="1478" t="s">
        <v>298</v>
      </c>
      <c r="BI3" s="1478"/>
      <c r="BJ3" s="1478"/>
      <c r="BK3" s="1478"/>
      <c r="BL3" s="1478"/>
      <c r="BM3" s="1478" t="s">
        <v>299</v>
      </c>
      <c r="BN3" s="1478"/>
      <c r="BO3" s="1478"/>
      <c r="BP3" s="1478"/>
      <c r="BQ3" s="1478"/>
      <c r="BR3" s="1478" t="s">
        <v>300</v>
      </c>
      <c r="BS3" s="1478"/>
      <c r="BT3" s="1478"/>
      <c r="BU3" s="1478"/>
      <c r="BV3" s="1478"/>
      <c r="BW3" s="1478" t="s">
        <v>301</v>
      </c>
      <c r="BX3" s="1478"/>
      <c r="BY3" s="1478"/>
      <c r="BZ3" s="1478"/>
      <c r="CA3" s="1478"/>
      <c r="CB3" s="1478" t="s">
        <v>302</v>
      </c>
      <c r="CC3" s="1478"/>
      <c r="CD3" s="1478"/>
      <c r="CE3" s="1478"/>
      <c r="CF3" s="1478"/>
      <c r="CG3" s="1478" t="s">
        <v>303</v>
      </c>
      <c r="CH3" s="1478"/>
      <c r="CI3" s="1478"/>
      <c r="CJ3" s="1478" t="s">
        <v>304</v>
      </c>
      <c r="CK3" s="1478"/>
      <c r="CL3" s="1478"/>
      <c r="CM3" s="1478" t="s">
        <v>305</v>
      </c>
      <c r="CN3" s="1478"/>
      <c r="CO3" s="1478"/>
      <c r="CP3" s="1478" t="s">
        <v>306</v>
      </c>
      <c r="CQ3" s="1478"/>
      <c r="CR3" s="1478"/>
      <c r="CS3" s="1478" t="s">
        <v>307</v>
      </c>
      <c r="CT3" s="1478"/>
      <c r="CU3" s="1478"/>
      <c r="CV3" s="527"/>
      <c r="CW3" s="528"/>
      <c r="CX3" s="1478" t="s">
        <v>308</v>
      </c>
      <c r="CY3" s="1478"/>
      <c r="CZ3" s="1478"/>
      <c r="DA3" s="1478"/>
      <c r="DB3" s="1478"/>
      <c r="DC3" s="1478"/>
      <c r="DD3" s="525"/>
      <c r="DE3" s="525"/>
      <c r="DF3" s="525"/>
      <c r="DG3" s="525"/>
      <c r="DH3" s="525"/>
      <c r="DI3" s="525"/>
      <c r="DJ3" s="525"/>
      <c r="DK3" s="525"/>
      <c r="DL3" s="525"/>
      <c r="DM3" s="525"/>
      <c r="DN3" s="525"/>
      <c r="DO3" s="525"/>
      <c r="DP3" s="525"/>
      <c r="DQ3" s="525"/>
      <c r="DR3" s="527"/>
    </row>
    <row r="4" spans="1:187" s="846" customFormat="1" ht="85.5" customHeight="1" thickBot="1" x14ac:dyDescent="0.3">
      <c r="A4" s="840"/>
      <c r="B4" s="1479" t="s">
        <v>309</v>
      </c>
      <c r="C4" s="1480"/>
      <c r="D4" s="1481" t="s">
        <v>274</v>
      </c>
      <c r="E4" s="1482"/>
      <c r="F4" s="1482"/>
      <c r="G4" s="1482"/>
      <c r="H4" s="1483"/>
      <c r="I4" s="1484" t="s">
        <v>221</v>
      </c>
      <c r="J4" s="1485"/>
      <c r="K4" s="1485"/>
      <c r="L4" s="1485"/>
      <c r="M4" s="1486"/>
      <c r="N4" s="442"/>
      <c r="O4" s="443"/>
      <c r="P4" s="443" t="s">
        <v>233</v>
      </c>
      <c r="Q4" s="443"/>
      <c r="R4" s="444"/>
      <c r="S4" s="442"/>
      <c r="T4" s="443"/>
      <c r="U4" s="443" t="s">
        <v>227</v>
      </c>
      <c r="V4" s="443"/>
      <c r="W4" s="444"/>
      <c r="X4" s="442"/>
      <c r="Y4" s="443"/>
      <c r="Z4" s="443" t="s">
        <v>218</v>
      </c>
      <c r="AA4" s="443"/>
      <c r="AB4" s="444"/>
      <c r="AC4" s="442"/>
      <c r="AD4" s="443"/>
      <c r="AE4" s="443" t="s">
        <v>224</v>
      </c>
      <c r="AF4" s="443"/>
      <c r="AG4" s="444"/>
      <c r="AH4" s="442"/>
      <c r="AI4" s="443"/>
      <c r="AJ4" s="443" t="s">
        <v>310</v>
      </c>
      <c r="AK4" s="443"/>
      <c r="AL4" s="444"/>
      <c r="AM4" s="442"/>
      <c r="AN4" s="443"/>
      <c r="AO4" s="443" t="s">
        <v>311</v>
      </c>
      <c r="AP4" s="443"/>
      <c r="AQ4" s="444"/>
      <c r="AR4" s="442"/>
      <c r="AS4" s="443"/>
      <c r="AT4" s="443" t="s">
        <v>229</v>
      </c>
      <c r="AU4" s="443"/>
      <c r="AV4" s="444"/>
      <c r="AW4" s="1484" t="s">
        <v>231</v>
      </c>
      <c r="AX4" s="1485"/>
      <c r="AY4" s="1485"/>
      <c r="AZ4" s="1485"/>
      <c r="BA4" s="1486"/>
      <c r="BB4" s="1484" t="s">
        <v>258</v>
      </c>
      <c r="BC4" s="1485"/>
      <c r="BD4" s="1486"/>
      <c r="BE4" s="1484" t="s">
        <v>260</v>
      </c>
      <c r="BF4" s="1485"/>
      <c r="BG4" s="1486"/>
      <c r="BH4" s="1484" t="s">
        <v>241</v>
      </c>
      <c r="BI4" s="1485"/>
      <c r="BJ4" s="1485"/>
      <c r="BK4" s="1485"/>
      <c r="BL4" s="1486"/>
      <c r="BM4" s="442"/>
      <c r="BN4" s="443"/>
      <c r="BO4" s="443" t="s">
        <v>312</v>
      </c>
      <c r="BP4" s="443"/>
      <c r="BQ4" s="444"/>
      <c r="BR4" s="442"/>
      <c r="BS4" s="443"/>
      <c r="BT4" s="443" t="s">
        <v>313</v>
      </c>
      <c r="BU4" s="443"/>
      <c r="BV4" s="444"/>
      <c r="BW4" s="1484" t="s">
        <v>250</v>
      </c>
      <c r="BX4" s="1485"/>
      <c r="BY4" s="1485"/>
      <c r="BZ4" s="1485"/>
      <c r="CA4" s="1486"/>
      <c r="CB4" s="442"/>
      <c r="CC4" s="443"/>
      <c r="CD4" s="443" t="s">
        <v>252</v>
      </c>
      <c r="CE4" s="443"/>
      <c r="CF4" s="444"/>
      <c r="CG4" s="1484" t="s">
        <v>314</v>
      </c>
      <c r="CH4" s="1485"/>
      <c r="CI4" s="1486"/>
      <c r="CJ4" s="1484" t="s">
        <v>315</v>
      </c>
      <c r="CK4" s="1485"/>
      <c r="CL4" s="1486"/>
      <c r="CM4" s="1484" t="s">
        <v>316</v>
      </c>
      <c r="CN4" s="1485"/>
      <c r="CO4" s="1486"/>
      <c r="CP4" s="1484" t="s">
        <v>317</v>
      </c>
      <c r="CQ4" s="1485"/>
      <c r="CR4" s="1486"/>
      <c r="CS4" s="442"/>
      <c r="CT4" s="444" t="s">
        <v>318</v>
      </c>
      <c r="CU4" s="841"/>
      <c r="CV4" s="842"/>
      <c r="CW4" s="843"/>
      <c r="CX4" s="1481" t="s">
        <v>319</v>
      </c>
      <c r="CY4" s="1482"/>
      <c r="CZ4" s="1483"/>
      <c r="DA4" s="1481" t="s">
        <v>320</v>
      </c>
      <c r="DB4" s="1482"/>
      <c r="DC4" s="1483"/>
      <c r="DD4" s="1481" t="s">
        <v>321</v>
      </c>
      <c r="DE4" s="1482"/>
      <c r="DF4" s="1483"/>
      <c r="DG4" s="1481" t="s">
        <v>322</v>
      </c>
      <c r="DH4" s="1482"/>
      <c r="DI4" s="1483"/>
      <c r="DJ4" s="1481" t="s">
        <v>323</v>
      </c>
      <c r="DK4" s="1482"/>
      <c r="DL4" s="1483"/>
      <c r="DM4" s="1481" t="s">
        <v>324</v>
      </c>
      <c r="DN4" s="1482"/>
      <c r="DO4" s="1483"/>
      <c r="DP4" s="1481" t="s">
        <v>325</v>
      </c>
      <c r="DQ4" s="1482"/>
      <c r="DR4" s="1483"/>
      <c r="DS4" s="1351" t="s">
        <v>317</v>
      </c>
      <c r="DT4" s="840"/>
      <c r="DU4" s="1487" t="s">
        <v>326</v>
      </c>
      <c r="DV4" s="1488"/>
      <c r="DW4" s="1484" t="s">
        <v>327</v>
      </c>
      <c r="DX4" s="1485"/>
      <c r="DY4" s="1485"/>
      <c r="DZ4" s="1485"/>
      <c r="EA4" s="1486"/>
      <c r="EB4" s="1485" t="s">
        <v>328</v>
      </c>
      <c r="EC4" s="1485"/>
      <c r="ED4" s="1485"/>
      <c r="EE4" s="1485"/>
      <c r="EF4" s="1486"/>
      <c r="EG4" s="235"/>
      <c r="EH4" s="235"/>
      <c r="EI4" s="235"/>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5"/>
      <c r="FO4" s="845"/>
      <c r="FP4" s="845"/>
      <c r="FQ4" s="845"/>
      <c r="FR4" s="845"/>
      <c r="FS4" s="845"/>
      <c r="FT4" s="845"/>
      <c r="FU4" s="845"/>
      <c r="FV4" s="845"/>
      <c r="FW4" s="845"/>
      <c r="FX4" s="845"/>
      <c r="FY4" s="845"/>
      <c r="FZ4" s="845"/>
      <c r="GA4" s="845"/>
      <c r="GB4" s="845"/>
      <c r="GC4" s="845"/>
      <c r="GD4" s="845"/>
      <c r="GE4" s="845"/>
    </row>
    <row r="5" spans="1:187" s="45" customFormat="1" ht="168" x14ac:dyDescent="0.25">
      <c r="A5" s="238"/>
      <c r="B5" s="515" t="s">
        <v>329</v>
      </c>
      <c r="C5" s="516"/>
      <c r="D5" s="540" t="s">
        <v>330</v>
      </c>
      <c r="E5" s="541" t="s">
        <v>331</v>
      </c>
      <c r="F5" s="541" t="s">
        <v>332</v>
      </c>
      <c r="G5" s="541" t="s">
        <v>333</v>
      </c>
      <c r="H5" s="542" t="s">
        <v>334</v>
      </c>
      <c r="I5" s="517" t="s">
        <v>335</v>
      </c>
      <c r="J5" s="518" t="s">
        <v>336</v>
      </c>
      <c r="K5" s="518" t="s">
        <v>332</v>
      </c>
      <c r="L5" s="518" t="s">
        <v>337</v>
      </c>
      <c r="M5" s="516" t="s">
        <v>338</v>
      </c>
      <c r="N5" s="517" t="s">
        <v>339</v>
      </c>
      <c r="O5" s="518" t="s">
        <v>340</v>
      </c>
      <c r="P5" s="518" t="s">
        <v>332</v>
      </c>
      <c r="Q5" s="518" t="s">
        <v>341</v>
      </c>
      <c r="R5" s="516" t="s">
        <v>342</v>
      </c>
      <c r="S5" s="517" t="s">
        <v>343</v>
      </c>
      <c r="T5" s="518" t="s">
        <v>344</v>
      </c>
      <c r="U5" s="518" t="s">
        <v>332</v>
      </c>
      <c r="V5" s="518" t="s">
        <v>345</v>
      </c>
      <c r="W5" s="516" t="s">
        <v>346</v>
      </c>
      <c r="X5" s="517" t="s">
        <v>347</v>
      </c>
      <c r="Y5" s="518" t="s">
        <v>348</v>
      </c>
      <c r="Z5" s="518" t="s">
        <v>332</v>
      </c>
      <c r="AA5" s="518" t="s">
        <v>349</v>
      </c>
      <c r="AB5" s="516" t="s">
        <v>350</v>
      </c>
      <c r="AC5" s="517" t="s">
        <v>351</v>
      </c>
      <c r="AD5" s="518" t="s">
        <v>352</v>
      </c>
      <c r="AE5" s="518" t="s">
        <v>332</v>
      </c>
      <c r="AF5" s="518" t="s">
        <v>353</v>
      </c>
      <c r="AG5" s="516" t="s">
        <v>354</v>
      </c>
      <c r="AH5" s="517" t="s">
        <v>355</v>
      </c>
      <c r="AI5" s="518" t="s">
        <v>356</v>
      </c>
      <c r="AJ5" s="518" t="s">
        <v>332</v>
      </c>
      <c r="AK5" s="518" t="s">
        <v>357</v>
      </c>
      <c r="AL5" s="516" t="s">
        <v>358</v>
      </c>
      <c r="AM5" s="517" t="s">
        <v>359</v>
      </c>
      <c r="AN5" s="518" t="s">
        <v>360</v>
      </c>
      <c r="AO5" s="518" t="s">
        <v>332</v>
      </c>
      <c r="AP5" s="518" t="s">
        <v>361</v>
      </c>
      <c r="AQ5" s="516" t="s">
        <v>362</v>
      </c>
      <c r="AR5" s="517" t="s">
        <v>363</v>
      </c>
      <c r="AS5" s="518" t="s">
        <v>364</v>
      </c>
      <c r="AT5" s="518" t="s">
        <v>332</v>
      </c>
      <c r="AU5" s="518" t="s">
        <v>365</v>
      </c>
      <c r="AV5" s="516" t="s">
        <v>366</v>
      </c>
      <c r="AW5" s="517" t="s">
        <v>367</v>
      </c>
      <c r="AX5" s="518" t="s">
        <v>368</v>
      </c>
      <c r="AY5" s="518" t="s">
        <v>332</v>
      </c>
      <c r="AZ5" s="518" t="s">
        <v>369</v>
      </c>
      <c r="BA5" s="516" t="s">
        <v>370</v>
      </c>
      <c r="BB5" s="517" t="s">
        <v>371</v>
      </c>
      <c r="BC5" s="518" t="s">
        <v>332</v>
      </c>
      <c r="BD5" s="516" t="s">
        <v>372</v>
      </c>
      <c r="BE5" s="517" t="s">
        <v>373</v>
      </c>
      <c r="BF5" s="518" t="s">
        <v>332</v>
      </c>
      <c r="BG5" s="516" t="s">
        <v>374</v>
      </c>
      <c r="BH5" s="517" t="s">
        <v>375</v>
      </c>
      <c r="BI5" s="518" t="s">
        <v>376</v>
      </c>
      <c r="BJ5" s="518" t="s">
        <v>332</v>
      </c>
      <c r="BK5" s="518" t="s">
        <v>377</v>
      </c>
      <c r="BL5" s="516" t="s">
        <v>378</v>
      </c>
      <c r="BM5" s="517" t="s">
        <v>379</v>
      </c>
      <c r="BN5" s="518" t="s">
        <v>380</v>
      </c>
      <c r="BO5" s="518" t="s">
        <v>332</v>
      </c>
      <c r="BP5" s="518" t="s">
        <v>381</v>
      </c>
      <c r="BQ5" s="516" t="s">
        <v>382</v>
      </c>
      <c r="BR5" s="517" t="s">
        <v>383</v>
      </c>
      <c r="BS5" s="518" t="s">
        <v>384</v>
      </c>
      <c r="BT5" s="518" t="s">
        <v>332</v>
      </c>
      <c r="BU5" s="518" t="s">
        <v>385</v>
      </c>
      <c r="BV5" s="516" t="s">
        <v>386</v>
      </c>
      <c r="BW5" s="517" t="s">
        <v>387</v>
      </c>
      <c r="BX5" s="518" t="s">
        <v>387</v>
      </c>
      <c r="BY5" s="518" t="s">
        <v>332</v>
      </c>
      <c r="BZ5" s="518" t="s">
        <v>388</v>
      </c>
      <c r="CA5" s="516" t="s">
        <v>388</v>
      </c>
      <c r="CB5" s="517" t="s">
        <v>389</v>
      </c>
      <c r="CC5" s="518" t="s">
        <v>389</v>
      </c>
      <c r="CD5" s="518" t="s">
        <v>332</v>
      </c>
      <c r="CE5" s="518" t="s">
        <v>390</v>
      </c>
      <c r="CF5" s="516" t="s">
        <v>390</v>
      </c>
      <c r="CG5" s="517" t="s">
        <v>391</v>
      </c>
      <c r="CH5" s="518" t="s">
        <v>332</v>
      </c>
      <c r="CI5" s="516" t="s">
        <v>392</v>
      </c>
      <c r="CJ5" s="517" t="s">
        <v>393</v>
      </c>
      <c r="CK5" s="518" t="s">
        <v>332</v>
      </c>
      <c r="CL5" s="516" t="s">
        <v>394</v>
      </c>
      <c r="CM5" s="517" t="s">
        <v>395</v>
      </c>
      <c r="CN5" s="518" t="s">
        <v>332</v>
      </c>
      <c r="CO5" s="516" t="s">
        <v>396</v>
      </c>
      <c r="CP5" s="517" t="s">
        <v>397</v>
      </c>
      <c r="CQ5" s="518" t="s">
        <v>332</v>
      </c>
      <c r="CR5" s="516" t="s">
        <v>398</v>
      </c>
      <c r="CS5" s="517" t="s">
        <v>399</v>
      </c>
      <c r="CT5" s="516" t="s">
        <v>332</v>
      </c>
      <c r="CU5" s="516" t="s">
        <v>399</v>
      </c>
      <c r="CV5" s="543"/>
      <c r="CW5" s="544"/>
      <c r="CX5" s="517" t="s">
        <v>400</v>
      </c>
      <c r="CY5" s="518" t="s">
        <v>332</v>
      </c>
      <c r="CZ5" s="516" t="s">
        <v>400</v>
      </c>
      <c r="DA5" s="517" t="s">
        <v>401</v>
      </c>
      <c r="DB5" s="518" t="s">
        <v>332</v>
      </c>
      <c r="DC5" s="516" t="s">
        <v>402</v>
      </c>
      <c r="DD5" s="517" t="s">
        <v>403</v>
      </c>
      <c r="DE5" s="518" t="s">
        <v>332</v>
      </c>
      <c r="DF5" s="516" t="s">
        <v>404</v>
      </c>
      <c r="DG5" s="517" t="s">
        <v>405</v>
      </c>
      <c r="DH5" s="518" t="s">
        <v>332</v>
      </c>
      <c r="DI5" s="516" t="s">
        <v>406</v>
      </c>
      <c r="DJ5" s="517" t="s">
        <v>405</v>
      </c>
      <c r="DK5" s="518" t="s">
        <v>332</v>
      </c>
      <c r="DL5" s="516" t="s">
        <v>407</v>
      </c>
      <c r="DM5" s="517" t="s">
        <v>405</v>
      </c>
      <c r="DN5" s="518" t="s">
        <v>408</v>
      </c>
      <c r="DO5" s="516" t="s">
        <v>409</v>
      </c>
      <c r="DP5" s="517" t="s">
        <v>405</v>
      </c>
      <c r="DQ5" s="518" t="s">
        <v>408</v>
      </c>
      <c r="DR5" s="516" t="s">
        <v>410</v>
      </c>
      <c r="DS5" s="518" t="s">
        <v>332</v>
      </c>
      <c r="DT5" s="238"/>
      <c r="DU5" s="570"/>
      <c r="DV5" s="571"/>
      <c r="DW5" s="572" t="s">
        <v>411</v>
      </c>
      <c r="DX5" s="573" t="s">
        <v>412</v>
      </c>
      <c r="DY5" s="573" t="s">
        <v>413</v>
      </c>
      <c r="DZ5" s="574" t="s">
        <v>414</v>
      </c>
      <c r="EA5" s="575" t="s">
        <v>415</v>
      </c>
      <c r="EB5" s="574" t="s">
        <v>411</v>
      </c>
      <c r="EC5" s="574" t="s">
        <v>412</v>
      </c>
      <c r="ED5" s="574" t="s">
        <v>413</v>
      </c>
      <c r="EE5" s="574" t="s">
        <v>414</v>
      </c>
      <c r="EF5" s="575" t="s">
        <v>415</v>
      </c>
      <c r="EG5" s="235"/>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row>
    <row r="6" spans="1:187" s="45" customFormat="1" ht="30.65" customHeight="1" thickBot="1" x14ac:dyDescent="0.3">
      <c r="A6" s="238"/>
      <c r="B6" s="519" t="s">
        <v>416</v>
      </c>
      <c r="C6" s="520"/>
      <c r="D6" s="521" t="s">
        <v>411</v>
      </c>
      <c r="E6" s="522" t="s">
        <v>412</v>
      </c>
      <c r="F6" s="522" t="s">
        <v>413</v>
      </c>
      <c r="G6" s="522" t="s">
        <v>414</v>
      </c>
      <c r="H6" s="523" t="s">
        <v>415</v>
      </c>
      <c r="I6" s="521" t="s">
        <v>411</v>
      </c>
      <c r="J6" s="522" t="s">
        <v>412</v>
      </c>
      <c r="K6" s="522" t="s">
        <v>413</v>
      </c>
      <c r="L6" s="522" t="s">
        <v>414</v>
      </c>
      <c r="M6" s="523" t="s">
        <v>415</v>
      </c>
      <c r="N6" s="521" t="s">
        <v>411</v>
      </c>
      <c r="O6" s="522" t="s">
        <v>412</v>
      </c>
      <c r="P6" s="522" t="s">
        <v>413</v>
      </c>
      <c r="Q6" s="522" t="s">
        <v>414</v>
      </c>
      <c r="R6" s="523" t="s">
        <v>415</v>
      </c>
      <c r="S6" s="521" t="s">
        <v>411</v>
      </c>
      <c r="T6" s="522" t="s">
        <v>412</v>
      </c>
      <c r="U6" s="522" t="s">
        <v>413</v>
      </c>
      <c r="V6" s="522" t="s">
        <v>414</v>
      </c>
      <c r="W6" s="523" t="s">
        <v>415</v>
      </c>
      <c r="X6" s="521" t="s">
        <v>411</v>
      </c>
      <c r="Y6" s="522" t="s">
        <v>412</v>
      </c>
      <c r="Z6" s="522" t="s">
        <v>413</v>
      </c>
      <c r="AA6" s="522" t="s">
        <v>414</v>
      </c>
      <c r="AB6" s="523" t="s">
        <v>415</v>
      </c>
      <c r="AC6" s="521" t="s">
        <v>411</v>
      </c>
      <c r="AD6" s="522" t="s">
        <v>412</v>
      </c>
      <c r="AE6" s="522" t="s">
        <v>413</v>
      </c>
      <c r="AF6" s="522" t="s">
        <v>414</v>
      </c>
      <c r="AG6" s="523" t="s">
        <v>415</v>
      </c>
      <c r="AH6" s="521" t="s">
        <v>411</v>
      </c>
      <c r="AI6" s="522" t="s">
        <v>412</v>
      </c>
      <c r="AJ6" s="522" t="s">
        <v>413</v>
      </c>
      <c r="AK6" s="522" t="s">
        <v>414</v>
      </c>
      <c r="AL6" s="523" t="s">
        <v>415</v>
      </c>
      <c r="AM6" s="521" t="s">
        <v>411</v>
      </c>
      <c r="AN6" s="522" t="s">
        <v>412</v>
      </c>
      <c r="AO6" s="522" t="s">
        <v>413</v>
      </c>
      <c r="AP6" s="522" t="s">
        <v>414</v>
      </c>
      <c r="AQ6" s="523" t="s">
        <v>415</v>
      </c>
      <c r="AR6" s="521" t="s">
        <v>411</v>
      </c>
      <c r="AS6" s="522" t="s">
        <v>412</v>
      </c>
      <c r="AT6" s="522" t="s">
        <v>413</v>
      </c>
      <c r="AU6" s="522" t="s">
        <v>414</v>
      </c>
      <c r="AV6" s="523" t="s">
        <v>415</v>
      </c>
      <c r="AW6" s="521" t="s">
        <v>411</v>
      </c>
      <c r="AX6" s="522" t="s">
        <v>412</v>
      </c>
      <c r="AY6" s="522" t="s">
        <v>413</v>
      </c>
      <c r="AZ6" s="522" t="s">
        <v>414</v>
      </c>
      <c r="BA6" s="523" t="s">
        <v>415</v>
      </c>
      <c r="BB6" s="521" t="s">
        <v>412</v>
      </c>
      <c r="BC6" s="522" t="s">
        <v>413</v>
      </c>
      <c r="BD6" s="523" t="s">
        <v>414</v>
      </c>
      <c r="BE6" s="521" t="s">
        <v>412</v>
      </c>
      <c r="BF6" s="522" t="s">
        <v>413</v>
      </c>
      <c r="BG6" s="523" t="s">
        <v>414</v>
      </c>
      <c r="BH6" s="521" t="s">
        <v>411</v>
      </c>
      <c r="BI6" s="522" t="s">
        <v>412</v>
      </c>
      <c r="BJ6" s="522" t="s">
        <v>413</v>
      </c>
      <c r="BK6" s="522" t="s">
        <v>414</v>
      </c>
      <c r="BL6" s="523" t="s">
        <v>415</v>
      </c>
      <c r="BM6" s="521" t="s">
        <v>411</v>
      </c>
      <c r="BN6" s="522" t="s">
        <v>412</v>
      </c>
      <c r="BO6" s="522" t="s">
        <v>413</v>
      </c>
      <c r="BP6" s="522" t="s">
        <v>414</v>
      </c>
      <c r="BQ6" s="523" t="s">
        <v>415</v>
      </c>
      <c r="BR6" s="521" t="s">
        <v>411</v>
      </c>
      <c r="BS6" s="522" t="s">
        <v>412</v>
      </c>
      <c r="BT6" s="522" t="s">
        <v>413</v>
      </c>
      <c r="BU6" s="522" t="s">
        <v>414</v>
      </c>
      <c r="BV6" s="523" t="s">
        <v>415</v>
      </c>
      <c r="BW6" s="521" t="s">
        <v>411</v>
      </c>
      <c r="BX6" s="522" t="s">
        <v>412</v>
      </c>
      <c r="BY6" s="522" t="s">
        <v>413</v>
      </c>
      <c r="BZ6" s="522" t="s">
        <v>414</v>
      </c>
      <c r="CA6" s="523" t="s">
        <v>415</v>
      </c>
      <c r="CB6" s="521" t="s">
        <v>411</v>
      </c>
      <c r="CC6" s="522" t="s">
        <v>412</v>
      </c>
      <c r="CD6" s="522" t="s">
        <v>413</v>
      </c>
      <c r="CE6" s="522" t="s">
        <v>414</v>
      </c>
      <c r="CF6" s="523" t="s">
        <v>415</v>
      </c>
      <c r="CG6" s="521" t="s">
        <v>412</v>
      </c>
      <c r="CH6" s="522" t="s">
        <v>413</v>
      </c>
      <c r="CI6" s="523" t="s">
        <v>414</v>
      </c>
      <c r="CJ6" s="521" t="s">
        <v>412</v>
      </c>
      <c r="CK6" s="522" t="s">
        <v>413</v>
      </c>
      <c r="CL6" s="523" t="s">
        <v>414</v>
      </c>
      <c r="CM6" s="521" t="s">
        <v>412</v>
      </c>
      <c r="CN6" s="522" t="s">
        <v>413</v>
      </c>
      <c r="CO6" s="523" t="s">
        <v>414</v>
      </c>
      <c r="CP6" s="521" t="s">
        <v>412</v>
      </c>
      <c r="CQ6" s="522" t="s">
        <v>413</v>
      </c>
      <c r="CR6" s="523" t="s">
        <v>414</v>
      </c>
      <c r="CS6" s="521" t="s">
        <v>412</v>
      </c>
      <c r="CT6" s="523" t="s">
        <v>413</v>
      </c>
      <c r="CU6" s="523" t="s">
        <v>414</v>
      </c>
      <c r="CV6" s="545"/>
      <c r="CW6" s="533"/>
      <c r="CX6" s="521" t="s">
        <v>417</v>
      </c>
      <c r="CY6" s="522" t="s">
        <v>418</v>
      </c>
      <c r="CZ6" s="891" t="s">
        <v>75</v>
      </c>
      <c r="DA6" s="521" t="s">
        <v>417</v>
      </c>
      <c r="DB6" s="522" t="s">
        <v>418</v>
      </c>
      <c r="DC6" s="891" t="s">
        <v>75</v>
      </c>
      <c r="DD6" s="521" t="s">
        <v>417</v>
      </c>
      <c r="DE6" s="522" t="s">
        <v>418</v>
      </c>
      <c r="DF6" s="891" t="s">
        <v>75</v>
      </c>
      <c r="DG6" s="521" t="s">
        <v>417</v>
      </c>
      <c r="DH6" s="522" t="s">
        <v>418</v>
      </c>
      <c r="DI6" s="891" t="s">
        <v>75</v>
      </c>
      <c r="DJ6" s="521" t="s">
        <v>417</v>
      </c>
      <c r="DK6" s="522" t="s">
        <v>418</v>
      </c>
      <c r="DL6" s="891" t="s">
        <v>75</v>
      </c>
      <c r="DM6" s="521" t="s">
        <v>417</v>
      </c>
      <c r="DN6" s="522" t="s">
        <v>418</v>
      </c>
      <c r="DO6" s="891" t="s">
        <v>75</v>
      </c>
      <c r="DP6" s="521" t="s">
        <v>417</v>
      </c>
      <c r="DQ6" s="522" t="s">
        <v>418</v>
      </c>
      <c r="DR6" s="891" t="s">
        <v>75</v>
      </c>
      <c r="DS6" s="522" t="s">
        <v>413</v>
      </c>
      <c r="DT6" s="238"/>
      <c r="DU6" s="576" t="s">
        <v>419</v>
      </c>
      <c r="DV6" s="577"/>
      <c r="DW6" s="578" t="s">
        <v>420</v>
      </c>
      <c r="DX6" s="579"/>
      <c r="DY6" s="579" t="s">
        <v>421</v>
      </c>
      <c r="DZ6" s="1489" t="s">
        <v>422</v>
      </c>
      <c r="EA6" s="1490"/>
      <c r="EB6" s="1489" t="s">
        <v>423</v>
      </c>
      <c r="EC6" s="1489"/>
      <c r="ED6" s="579" t="s">
        <v>421</v>
      </c>
      <c r="EE6" s="1489" t="s">
        <v>422</v>
      </c>
      <c r="EF6" s="1490"/>
      <c r="EG6" s="235"/>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row>
    <row r="7" spans="1:187" s="45" customFormat="1" ht="10.5" x14ac:dyDescent="0.25">
      <c r="A7" s="238"/>
      <c r="B7" s="445" t="s">
        <v>424</v>
      </c>
      <c r="C7" s="446" t="s">
        <v>425</v>
      </c>
      <c r="D7" s="447">
        <v>779.00886864000006</v>
      </c>
      <c r="E7" s="448">
        <v>927.14227320000009</v>
      </c>
      <c r="F7" s="448">
        <v>1117.4151519999998</v>
      </c>
      <c r="G7" s="448">
        <v>1326.1814940000002</v>
      </c>
      <c r="H7" s="449">
        <v>1475.1573139200002</v>
      </c>
      <c r="I7" s="447">
        <v>177.90499999999997</v>
      </c>
      <c r="J7" s="448">
        <v>229.46000000000004</v>
      </c>
      <c r="K7" s="448">
        <v>300.43200000000002</v>
      </c>
      <c r="L7" s="448">
        <v>522.35956666666664</v>
      </c>
      <c r="M7" s="449">
        <v>637.21409803921551</v>
      </c>
      <c r="N7" s="447">
        <v>447.04999999999984</v>
      </c>
      <c r="O7" s="448">
        <v>562.31999999999994</v>
      </c>
      <c r="P7" s="448">
        <v>687.31499999999994</v>
      </c>
      <c r="Q7" s="448">
        <v>912.55499999999961</v>
      </c>
      <c r="R7" s="449">
        <v>1145.5599999999997</v>
      </c>
      <c r="S7" s="447">
        <v>475.18749999999983</v>
      </c>
      <c r="T7" s="448">
        <v>570.93750000000034</v>
      </c>
      <c r="U7" s="448">
        <v>612.14999999999986</v>
      </c>
      <c r="V7" s="448">
        <v>651.48</v>
      </c>
      <c r="W7" s="449">
        <v>683.2399999999999</v>
      </c>
      <c r="X7" s="447">
        <v>230.22699999999995</v>
      </c>
      <c r="Y7" s="448">
        <v>309.04928571428559</v>
      </c>
      <c r="Z7" s="448">
        <v>400.71546428571412</v>
      </c>
      <c r="AA7" s="448">
        <v>612.5167142857141</v>
      </c>
      <c r="AB7" s="449">
        <v>713.54399999999998</v>
      </c>
      <c r="AC7" s="447">
        <v>-164.34000000000009</v>
      </c>
      <c r="AD7" s="448">
        <v>-2.6926027397263255</v>
      </c>
      <c r="AE7" s="448">
        <v>259.43207091055569</v>
      </c>
      <c r="AF7" s="448">
        <v>660.44712328767082</v>
      </c>
      <c r="AG7" s="449">
        <v>895.80250000000012</v>
      </c>
      <c r="AH7" s="447">
        <v>75.403166666666621</v>
      </c>
      <c r="AI7" s="448">
        <v>139.85833333333335</v>
      </c>
      <c r="AJ7" s="448">
        <v>216.00533333333334</v>
      </c>
      <c r="AK7" s="448">
        <v>338.56733333333318</v>
      </c>
      <c r="AL7" s="449">
        <v>501.01333333333326</v>
      </c>
      <c r="AM7" s="447">
        <v>109.86857142857146</v>
      </c>
      <c r="AN7" s="448">
        <v>172.66734047619036</v>
      </c>
      <c r="AO7" s="448">
        <v>261.30905059523803</v>
      </c>
      <c r="AP7" s="448">
        <v>385.96798571428565</v>
      </c>
      <c r="AQ7" s="449">
        <v>497.70590476190478</v>
      </c>
      <c r="AR7" s="447">
        <v>458.35399999999998</v>
      </c>
      <c r="AS7" s="448">
        <v>519.93562500000007</v>
      </c>
      <c r="AT7" s="448">
        <v>605.5350000000002</v>
      </c>
      <c r="AU7" s="448">
        <v>686.87125000000015</v>
      </c>
      <c r="AV7" s="449">
        <v>750.87300000000016</v>
      </c>
      <c r="AW7" s="447">
        <v>258.89999999999952</v>
      </c>
      <c r="AX7" s="448">
        <v>342.34890410958866</v>
      </c>
      <c r="AY7" s="448">
        <v>470.27139403706616</v>
      </c>
      <c r="AZ7" s="448">
        <v>593.96054794520489</v>
      </c>
      <c r="BA7" s="449">
        <v>711.47499999999923</v>
      </c>
      <c r="BB7" s="447">
        <v>90.870899999999963</v>
      </c>
      <c r="BC7" s="448">
        <v>118.99666666666661</v>
      </c>
      <c r="BD7" s="449">
        <v>169.44913333333335</v>
      </c>
      <c r="BE7" s="447">
        <v>361.23</v>
      </c>
      <c r="BF7" s="448">
        <f>BF50</f>
        <v>378.77499999999998</v>
      </c>
      <c r="BG7" s="449">
        <v>999.6999999999997</v>
      </c>
      <c r="BH7" s="447">
        <v>279.84000000000003</v>
      </c>
      <c r="BI7" s="448">
        <v>403.14749999999998</v>
      </c>
      <c r="BJ7" s="448">
        <v>517.89</v>
      </c>
      <c r="BK7" s="448">
        <v>636.72750000000008</v>
      </c>
      <c r="BL7" s="449">
        <v>799.19999999999982</v>
      </c>
      <c r="BM7" s="447">
        <v>169.42099999999996</v>
      </c>
      <c r="BN7" s="448">
        <v>325.68384800000001</v>
      </c>
      <c r="BO7" s="448">
        <v>642.71350000000007</v>
      </c>
      <c r="BP7" s="448">
        <v>951.16131000000019</v>
      </c>
      <c r="BQ7" s="449">
        <v>1400.568</v>
      </c>
      <c r="BR7" s="447">
        <v>475.19999999999993</v>
      </c>
      <c r="BS7" s="448">
        <v>571.0379999999999</v>
      </c>
      <c r="BT7" s="448">
        <v>745.07999999999993</v>
      </c>
      <c r="BU7" s="448">
        <v>937.70999999999992</v>
      </c>
      <c r="BV7" s="449">
        <v>1065.5999999999999</v>
      </c>
      <c r="BW7" s="447">
        <v>29.403000000000006</v>
      </c>
      <c r="BX7" s="448">
        <v>160.97227999999984</v>
      </c>
      <c r="BY7" s="448">
        <v>338.319075</v>
      </c>
      <c r="BZ7" s="448">
        <v>428.83551999999997</v>
      </c>
      <c r="CA7" s="449">
        <v>561.42585000000008</v>
      </c>
      <c r="CB7" s="447">
        <v>-38.999999999999972</v>
      </c>
      <c r="CC7" s="448">
        <v>108.89999999999998</v>
      </c>
      <c r="CD7" s="448">
        <v>345.15</v>
      </c>
      <c r="CE7" s="448">
        <v>635.4</v>
      </c>
      <c r="CF7" s="449">
        <v>561</v>
      </c>
      <c r="CG7" s="447">
        <v>3634.4000000000005</v>
      </c>
      <c r="CH7" s="448">
        <v>6784.2000000000007</v>
      </c>
      <c r="CI7" s="449">
        <v>10474.68</v>
      </c>
      <c r="CJ7" s="447">
        <v>93.85599999999971</v>
      </c>
      <c r="CK7" s="448">
        <v>147.0599999999996</v>
      </c>
      <c r="CL7" s="449">
        <v>501.90000000000009</v>
      </c>
      <c r="CM7" s="447">
        <v>355.80260346399234</v>
      </c>
      <c r="CN7" s="448">
        <v>543.72126389460607</v>
      </c>
      <c r="CO7" s="449">
        <v>1009.5604370761114</v>
      </c>
      <c r="CP7" s="447">
        <v>4763.9999999999973</v>
      </c>
      <c r="CQ7" s="448">
        <v>6299.5</v>
      </c>
      <c r="CR7" s="449">
        <v>8037.5999999999995</v>
      </c>
      <c r="CS7" s="447">
        <v>1247.3749999999995</v>
      </c>
      <c r="CT7" s="449">
        <v>2094.5000000000005</v>
      </c>
      <c r="CU7" s="449">
        <v>2915.9250000000006</v>
      </c>
      <c r="CV7" s="545"/>
      <c r="CW7" s="533"/>
      <c r="CX7" s="447">
        <f>CX50</f>
        <v>992</v>
      </c>
      <c r="CY7" s="448">
        <f t="shared" ref="CY7:DR7" si="0">CY50</f>
        <v>1220</v>
      </c>
      <c r="CZ7" s="449">
        <f t="shared" si="0"/>
        <v>1932.562947882185</v>
      </c>
      <c r="DA7" s="447">
        <f t="shared" si="0"/>
        <v>1088.9684210526314</v>
      </c>
      <c r="DB7" s="448">
        <f t="shared" si="0"/>
        <v>1164.1157894736841</v>
      </c>
      <c r="DC7" s="449">
        <f t="shared" si="0"/>
        <v>1885.5711842904198</v>
      </c>
      <c r="DD7" s="447">
        <f t="shared" si="0"/>
        <v>283.29824561403507</v>
      </c>
      <c r="DE7" s="448">
        <f t="shared" si="0"/>
        <v>343.29824561403507</v>
      </c>
      <c r="DF7" s="449">
        <f t="shared" si="0"/>
        <v>319.23742690058475</v>
      </c>
      <c r="DG7" s="447">
        <f t="shared" si="0"/>
        <v>74.703947368421055</v>
      </c>
      <c r="DH7" s="448">
        <f t="shared" si="0"/>
        <v>103.95394736842105</v>
      </c>
      <c r="DI7" s="449">
        <f t="shared" si="0"/>
        <v>89.865614035087702</v>
      </c>
      <c r="DJ7" s="447">
        <f t="shared" si="0"/>
        <v>374.8547368421053</v>
      </c>
      <c r="DK7" s="448">
        <f t="shared" si="0"/>
        <v>502.8547368421053</v>
      </c>
      <c r="DL7" s="449">
        <f t="shared" si="0"/>
        <v>337.88560000000012</v>
      </c>
      <c r="DM7" s="447">
        <f t="shared" si="0"/>
        <v>250.75519999999997</v>
      </c>
      <c r="DN7" s="448">
        <f t="shared" si="0"/>
        <v>290.48631999999998</v>
      </c>
      <c r="DO7" s="449">
        <f t="shared" si="0"/>
        <v>569.42823888888904</v>
      </c>
      <c r="DP7" s="447">
        <f t="shared" si="0"/>
        <v>138.58000000000004</v>
      </c>
      <c r="DQ7" s="448">
        <f t="shared" si="0"/>
        <v>180.22542280078133</v>
      </c>
      <c r="DR7" s="449">
        <f t="shared" si="0"/>
        <v>71.148102322048601</v>
      </c>
      <c r="DS7" s="448">
        <v>6299.5</v>
      </c>
      <c r="DT7" s="238"/>
      <c r="DU7" s="592" t="s">
        <v>426</v>
      </c>
      <c r="DV7" s="593" t="s">
        <v>427</v>
      </c>
      <c r="DW7" s="146">
        <v>7500</v>
      </c>
      <c r="DX7" s="133">
        <v>8000</v>
      </c>
      <c r="DY7" s="133">
        <v>8000</v>
      </c>
      <c r="DZ7" s="133">
        <v>8000</v>
      </c>
      <c r="EA7" s="147">
        <v>8500</v>
      </c>
      <c r="EB7" s="133">
        <v>5400</v>
      </c>
      <c r="EC7" s="133">
        <v>5450</v>
      </c>
      <c r="ED7" s="133">
        <v>5450</v>
      </c>
      <c r="EE7" s="133">
        <v>5450</v>
      </c>
      <c r="EF7" s="147">
        <v>5500</v>
      </c>
      <c r="EG7" s="235"/>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row>
    <row r="8" spans="1:187" s="45" customFormat="1" ht="10.5" x14ac:dyDescent="0.25">
      <c r="A8" s="238"/>
      <c r="B8" s="468" t="s">
        <v>428</v>
      </c>
      <c r="C8" s="36" t="s">
        <v>429</v>
      </c>
      <c r="D8" s="127">
        <v>0.71599999999999997</v>
      </c>
      <c r="E8" s="128">
        <v>0.77566666666666673</v>
      </c>
      <c r="F8" s="128">
        <v>0.83533333333333326</v>
      </c>
      <c r="G8" s="128">
        <v>0.89500000000000002</v>
      </c>
      <c r="H8" s="129">
        <v>0.95466666666666677</v>
      </c>
      <c r="I8" s="127">
        <v>1.125</v>
      </c>
      <c r="J8" s="128">
        <v>1.2374999999999998</v>
      </c>
      <c r="K8" s="128">
        <v>1.35</v>
      </c>
      <c r="L8" s="128">
        <v>1.6500000000000001</v>
      </c>
      <c r="M8" s="129">
        <v>1.7249999999999999</v>
      </c>
      <c r="N8" s="127">
        <v>1.625</v>
      </c>
      <c r="O8" s="128">
        <v>1.7875000000000001</v>
      </c>
      <c r="P8" s="128">
        <v>1.9500000000000002</v>
      </c>
      <c r="Q8" s="128">
        <v>2.2749999999999999</v>
      </c>
      <c r="R8" s="129">
        <v>2.6</v>
      </c>
      <c r="S8" s="127">
        <v>1.625</v>
      </c>
      <c r="T8" s="128">
        <v>1.885</v>
      </c>
      <c r="U8" s="128">
        <v>1.9500000000000002</v>
      </c>
      <c r="V8" s="128">
        <v>1.9824999999999999</v>
      </c>
      <c r="W8" s="129">
        <v>2.0150000000000001</v>
      </c>
      <c r="X8" s="127">
        <v>1.0499999999999998</v>
      </c>
      <c r="Y8" s="128">
        <v>1.125</v>
      </c>
      <c r="Z8" s="128">
        <v>1.2374999999999998</v>
      </c>
      <c r="AA8" s="128">
        <v>1.5</v>
      </c>
      <c r="AB8" s="129">
        <v>1.5750000000000002</v>
      </c>
      <c r="AC8" s="127">
        <v>1.5</v>
      </c>
      <c r="AD8" s="128">
        <v>1.7087671232876711</v>
      </c>
      <c r="AE8" s="128">
        <v>2.0103142626913777</v>
      </c>
      <c r="AF8" s="128">
        <v>2.2783561643835619</v>
      </c>
      <c r="AG8" s="129">
        <v>2.375</v>
      </c>
      <c r="AH8" s="127">
        <v>0.82500000000000007</v>
      </c>
      <c r="AI8" s="128">
        <v>0.97500000000000009</v>
      </c>
      <c r="AJ8" s="128">
        <v>1.2000000000000002</v>
      </c>
      <c r="AK8" s="128">
        <v>1.4249999999999998</v>
      </c>
      <c r="AL8" s="129">
        <v>1.6500000000000001</v>
      </c>
      <c r="AM8" s="127">
        <v>0.67500000000000004</v>
      </c>
      <c r="AN8" s="128">
        <v>0.75</v>
      </c>
      <c r="AO8" s="128">
        <v>0.9375</v>
      </c>
      <c r="AP8" s="128">
        <v>1.125</v>
      </c>
      <c r="AQ8" s="129">
        <v>1.2000000000000002</v>
      </c>
      <c r="AR8" s="127">
        <v>1.6900000000000002</v>
      </c>
      <c r="AS8" s="128">
        <v>1.7875000000000001</v>
      </c>
      <c r="AT8" s="128">
        <v>1.9500000000000002</v>
      </c>
      <c r="AU8" s="128">
        <v>2.1125000000000003</v>
      </c>
      <c r="AV8" s="129">
        <v>2.21</v>
      </c>
      <c r="AW8" s="127">
        <v>1.9500000000000002</v>
      </c>
      <c r="AX8" s="128">
        <v>2.2438356164383562</v>
      </c>
      <c r="AY8" s="128">
        <v>2.6398066075745366</v>
      </c>
      <c r="AZ8" s="128">
        <v>2.9917808219178088</v>
      </c>
      <c r="BA8" s="129">
        <v>3.25</v>
      </c>
      <c r="BB8" s="127">
        <v>0.72000000000000008</v>
      </c>
      <c r="BC8" s="128">
        <v>0.8</v>
      </c>
      <c r="BD8" s="129">
        <v>0.88000000000000012</v>
      </c>
      <c r="BE8" s="127">
        <v>1.2000000000000002</v>
      </c>
      <c r="BF8" s="128">
        <v>1</v>
      </c>
      <c r="BG8" s="129">
        <v>2</v>
      </c>
      <c r="BH8" s="127">
        <v>1.32</v>
      </c>
      <c r="BI8" s="128">
        <v>1.65</v>
      </c>
      <c r="BJ8" s="128">
        <v>1.65</v>
      </c>
      <c r="BK8" s="128">
        <v>1.65</v>
      </c>
      <c r="BL8" s="129">
        <v>1.98</v>
      </c>
      <c r="BM8" s="127">
        <v>0.77</v>
      </c>
      <c r="BN8" s="128">
        <v>0.88</v>
      </c>
      <c r="BO8" s="128">
        <v>1.1000000000000001</v>
      </c>
      <c r="BP8" s="128">
        <v>1.21</v>
      </c>
      <c r="BQ8" s="129">
        <v>1.43</v>
      </c>
      <c r="BR8" s="127">
        <v>0.96</v>
      </c>
      <c r="BS8" s="128">
        <v>1.04</v>
      </c>
      <c r="BT8" s="128">
        <v>1.1200000000000001</v>
      </c>
      <c r="BU8" s="128">
        <v>1.2</v>
      </c>
      <c r="BV8" s="129">
        <v>1.28</v>
      </c>
      <c r="BW8" s="127">
        <v>0.24</v>
      </c>
      <c r="BX8" s="128">
        <v>0.56000000000000005</v>
      </c>
      <c r="BY8" s="128">
        <v>0.6</v>
      </c>
      <c r="BZ8" s="128">
        <v>0.64</v>
      </c>
      <c r="CA8" s="129">
        <v>0.72</v>
      </c>
      <c r="CB8" s="127">
        <v>0.89999999999999991</v>
      </c>
      <c r="CC8" s="128">
        <v>0.89999999999999991</v>
      </c>
      <c r="CD8" s="128">
        <v>0.89999999999999991</v>
      </c>
      <c r="CE8" s="128">
        <v>0.89999999999999991</v>
      </c>
      <c r="CF8" s="129">
        <v>0.89999999999999991</v>
      </c>
      <c r="CG8" s="127">
        <v>8.8000000000000007</v>
      </c>
      <c r="CH8" s="128">
        <v>8.8000000000000007</v>
      </c>
      <c r="CI8" s="129">
        <v>8.8000000000000007</v>
      </c>
      <c r="CJ8" s="127">
        <v>4.7600000000000007</v>
      </c>
      <c r="CK8" s="128">
        <v>5.1000000000000005</v>
      </c>
      <c r="CL8" s="129">
        <v>5.95</v>
      </c>
      <c r="CM8" s="127">
        <v>4.8000000000000007</v>
      </c>
      <c r="CN8" s="128">
        <v>5</v>
      </c>
      <c r="CO8" s="129">
        <v>5.5</v>
      </c>
      <c r="CP8" s="127">
        <v>17</v>
      </c>
      <c r="CQ8" s="128">
        <v>17</v>
      </c>
      <c r="CR8" s="129">
        <v>17</v>
      </c>
      <c r="CS8" s="127">
        <v>17</v>
      </c>
      <c r="CT8" s="129">
        <v>17</v>
      </c>
      <c r="CU8" s="129">
        <v>17</v>
      </c>
      <c r="CV8" s="545"/>
      <c r="CW8" s="533"/>
      <c r="CX8" s="874">
        <v>1</v>
      </c>
      <c r="CY8" s="879">
        <v>1</v>
      </c>
      <c r="CZ8" s="880">
        <f>CY8*1.625</f>
        <v>1.625</v>
      </c>
      <c r="DA8" s="874">
        <v>0.71599999999999997</v>
      </c>
      <c r="DB8" s="879">
        <v>0.77566666666666673</v>
      </c>
      <c r="DC8" s="880">
        <f>DB8*1.625</f>
        <v>1.2604583333333335</v>
      </c>
      <c r="DD8" s="874">
        <v>1</v>
      </c>
      <c r="DE8" s="879">
        <v>1</v>
      </c>
      <c r="DF8" s="880">
        <f>DE8*1.625</f>
        <v>1.625</v>
      </c>
      <c r="DG8" s="874">
        <v>0.5625</v>
      </c>
      <c r="DH8" s="879">
        <v>0.5625</v>
      </c>
      <c r="DI8" s="880">
        <v>0.5625</v>
      </c>
      <c r="DJ8" s="874">
        <v>0.96</v>
      </c>
      <c r="DK8" s="879">
        <v>0.96</v>
      </c>
      <c r="DL8" s="880">
        <f>DK8*1.625</f>
        <v>1.56</v>
      </c>
      <c r="DM8" s="874">
        <v>0.50600000000000001</v>
      </c>
      <c r="DN8" s="879">
        <v>0.51700000000000002</v>
      </c>
      <c r="DO8" s="880">
        <f>DN8*1.625</f>
        <v>0.84012500000000001</v>
      </c>
      <c r="DP8" s="874">
        <v>0.52</v>
      </c>
      <c r="DQ8" s="879">
        <v>0.53600000000000003</v>
      </c>
      <c r="DR8" s="880">
        <v>0.4</v>
      </c>
      <c r="DS8" s="128">
        <v>17</v>
      </c>
      <c r="DT8" s="238"/>
      <c r="DU8" s="580" t="s">
        <v>430</v>
      </c>
      <c r="DV8" s="156" t="s">
        <v>431</v>
      </c>
      <c r="DW8" s="139">
        <v>27.5</v>
      </c>
      <c r="DX8" s="131">
        <v>27.5</v>
      </c>
      <c r="DY8" s="131">
        <v>28</v>
      </c>
      <c r="DZ8" s="131">
        <v>28.5</v>
      </c>
      <c r="EA8" s="140">
        <v>29</v>
      </c>
      <c r="EB8" s="131">
        <v>35</v>
      </c>
      <c r="EC8" s="131">
        <v>35.5</v>
      </c>
      <c r="ED8" s="131">
        <v>36</v>
      </c>
      <c r="EE8" s="131">
        <v>36.5</v>
      </c>
      <c r="EF8" s="140">
        <v>37</v>
      </c>
      <c r="EG8" s="235"/>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row>
    <row r="9" spans="1:187" s="45" customFormat="1" ht="10.5" x14ac:dyDescent="0.25">
      <c r="A9" s="238"/>
      <c r="B9" s="46" t="s">
        <v>216</v>
      </c>
      <c r="C9" s="19" t="s">
        <v>432</v>
      </c>
      <c r="D9" s="127">
        <v>16.291318855999997</v>
      </c>
      <c r="E9" s="128">
        <v>15.96192272</v>
      </c>
      <c r="F9" s="128">
        <v>15.673926400000001</v>
      </c>
      <c r="G9" s="128">
        <v>15.365930079999998</v>
      </c>
      <c r="H9" s="129">
        <v>15.079333576</v>
      </c>
      <c r="I9" s="127">
        <v>70.254599999999996</v>
      </c>
      <c r="J9" s="128">
        <v>70.14800000000001</v>
      </c>
      <c r="K9" s="128">
        <v>70.019199999999998</v>
      </c>
      <c r="L9" s="128">
        <v>69.865009999999998</v>
      </c>
      <c r="M9" s="129">
        <v>69.779399999999995</v>
      </c>
      <c r="N9" s="127">
        <v>32.549999999999997</v>
      </c>
      <c r="O9" s="128">
        <v>32.4512</v>
      </c>
      <c r="P9" s="128">
        <v>32.343000000000004</v>
      </c>
      <c r="Q9" s="128">
        <v>32.094799999999999</v>
      </c>
      <c r="R9" s="129">
        <v>31.995999999999999</v>
      </c>
      <c r="S9" s="127">
        <v>31.842500000000001</v>
      </c>
      <c r="T9" s="128">
        <v>31.782500000000002</v>
      </c>
      <c r="U9" s="128">
        <v>31.715</v>
      </c>
      <c r="V9" s="128">
        <v>31.6</v>
      </c>
      <c r="W9" s="129">
        <v>31.54</v>
      </c>
      <c r="X9" s="127">
        <v>71.2928</v>
      </c>
      <c r="Y9" s="128">
        <v>71.159800000000004</v>
      </c>
      <c r="Z9" s="128">
        <v>70.985699999999994</v>
      </c>
      <c r="AA9" s="128">
        <v>70.836640000000003</v>
      </c>
      <c r="AB9" s="129">
        <v>70.684799999999996</v>
      </c>
      <c r="AC9" s="127">
        <v>35.040999999999997</v>
      </c>
      <c r="AD9" s="128">
        <v>34.835000000000001</v>
      </c>
      <c r="AE9" s="128">
        <v>34.526000000000003</v>
      </c>
      <c r="AF9" s="128">
        <v>33.880000000000003</v>
      </c>
      <c r="AG9" s="129">
        <v>33.700000000000003</v>
      </c>
      <c r="AH9" s="127">
        <v>70.412500000000009</v>
      </c>
      <c r="AI9" s="128">
        <v>70.288200000000003</v>
      </c>
      <c r="AJ9" s="128">
        <v>70.159800000000004</v>
      </c>
      <c r="AK9" s="128">
        <v>70.007199999999997</v>
      </c>
      <c r="AL9" s="129">
        <v>69.876000000000005</v>
      </c>
      <c r="AM9" s="127">
        <v>71.400000000000006</v>
      </c>
      <c r="AN9" s="128">
        <v>71.300977000000003</v>
      </c>
      <c r="AO9" s="128">
        <v>71.126979000000006</v>
      </c>
      <c r="AP9" s="128">
        <v>70.977484000000004</v>
      </c>
      <c r="AQ9" s="129">
        <v>70.90100000000001</v>
      </c>
      <c r="AR9" s="127">
        <v>28.276399999999999</v>
      </c>
      <c r="AS9" s="128">
        <v>28.145299999999999</v>
      </c>
      <c r="AT9" s="128">
        <v>28.014199999999995</v>
      </c>
      <c r="AU9" s="128">
        <v>28.014199999999995</v>
      </c>
      <c r="AV9" s="129">
        <v>28.014199999999995</v>
      </c>
      <c r="AW9" s="127">
        <v>32.781800000000004</v>
      </c>
      <c r="AX9" s="128">
        <v>32.646899999999995</v>
      </c>
      <c r="AY9" s="128">
        <v>32.436999999999998</v>
      </c>
      <c r="AZ9" s="128">
        <v>32.362000000000002</v>
      </c>
      <c r="BA9" s="129">
        <v>32.286999999999999</v>
      </c>
      <c r="BB9" s="127">
        <v>57.342500000000001</v>
      </c>
      <c r="BC9" s="128">
        <v>57.307200000000002</v>
      </c>
      <c r="BD9" s="129">
        <v>57.307200000000002</v>
      </c>
      <c r="BE9" s="127">
        <v>23.307200000000002</v>
      </c>
      <c r="BF9" s="128">
        <v>23.231999999999999</v>
      </c>
      <c r="BG9" s="129">
        <v>23.192799999999998</v>
      </c>
      <c r="BH9" s="127">
        <v>3.6830000000000003</v>
      </c>
      <c r="BI9" s="128">
        <v>3.8343899999999995</v>
      </c>
      <c r="BJ9" s="128">
        <v>3.8214000000000001</v>
      </c>
      <c r="BK9" s="128">
        <v>3.8029499999999996</v>
      </c>
      <c r="BL9" s="129">
        <v>4.0304000000000002</v>
      </c>
      <c r="BM9" s="127">
        <v>6.5907799999999996</v>
      </c>
      <c r="BN9" s="128">
        <v>6.5815165799999997</v>
      </c>
      <c r="BO9" s="128">
        <v>6.5679330000000009</v>
      </c>
      <c r="BP9" s="128">
        <v>6.5571326000000001</v>
      </c>
      <c r="BQ9" s="129">
        <v>6.5492400000000002</v>
      </c>
      <c r="BR9" s="127">
        <v>2.46</v>
      </c>
      <c r="BS9" s="128">
        <v>2.4617400000000003</v>
      </c>
      <c r="BT9" s="128">
        <v>2.4588000000000001</v>
      </c>
      <c r="BU9" s="128">
        <v>2.4558600000000004</v>
      </c>
      <c r="BV9" s="129">
        <v>2.46</v>
      </c>
      <c r="BW9" s="127">
        <v>6.0250000000000004</v>
      </c>
      <c r="BX9" s="128">
        <v>6.0150000000000006</v>
      </c>
      <c r="BY9" s="128">
        <v>5.97</v>
      </c>
      <c r="BZ9" s="128">
        <v>6.0350000000000001</v>
      </c>
      <c r="CA9" s="129">
        <v>6.0250000000000004</v>
      </c>
      <c r="CB9" s="127">
        <v>0.44799999999999995</v>
      </c>
      <c r="CC9" s="128">
        <v>0.44560000000000005</v>
      </c>
      <c r="CD9" s="128">
        <v>0.44560000000000005</v>
      </c>
      <c r="CE9" s="128">
        <v>0.44560000000000005</v>
      </c>
      <c r="CF9" s="129">
        <v>0.44799999999999995</v>
      </c>
      <c r="CG9" s="127">
        <v>28.454000000000001</v>
      </c>
      <c r="CH9" s="128">
        <v>27.896000000000001</v>
      </c>
      <c r="CI9" s="129">
        <v>26.684719999999999</v>
      </c>
      <c r="CJ9" s="127">
        <v>3.5729600000000001</v>
      </c>
      <c r="CK9" s="128">
        <v>3.5673599999999999</v>
      </c>
      <c r="CL9" s="129">
        <v>3.3344</v>
      </c>
      <c r="CM9" s="127">
        <v>2.1502617319963537</v>
      </c>
      <c r="CN9" s="128">
        <v>2.0464872128447924</v>
      </c>
      <c r="CO9" s="129">
        <v>1.7103125847776941</v>
      </c>
      <c r="CP9" s="127">
        <v>0.45849999999999996</v>
      </c>
      <c r="CQ9" s="128">
        <v>0.45849999999999996</v>
      </c>
      <c r="CR9" s="129">
        <v>0.45849999999999996</v>
      </c>
      <c r="CS9" s="127">
        <v>8.1290000000000015E-2</v>
      </c>
      <c r="CT9" s="129">
        <v>7.2859999999999994E-2</v>
      </c>
      <c r="CU9" s="129">
        <v>6.4943999999999988E-2</v>
      </c>
      <c r="CV9" s="545"/>
      <c r="CW9" s="534"/>
      <c r="CX9" s="127">
        <f t="shared" ref="CX9:DC9" si="1">((CX22)+(CX46/2))*4%</f>
        <v>81.36</v>
      </c>
      <c r="CY9" s="128">
        <f t="shared" si="1"/>
        <v>79.400000000000006</v>
      </c>
      <c r="CZ9" s="129">
        <f t="shared" si="1"/>
        <v>68.914609872219259</v>
      </c>
      <c r="DA9" s="127">
        <f t="shared" si="1"/>
        <v>19.600526315789477</v>
      </c>
      <c r="DB9" s="128">
        <f t="shared" si="1"/>
        <v>19.840526315789475</v>
      </c>
      <c r="DC9" s="129">
        <f t="shared" si="1"/>
        <v>16.98543849192502</v>
      </c>
      <c r="DD9" s="899">
        <v>68.950526315789475</v>
      </c>
      <c r="DE9" s="900">
        <v>68.85052631578948</v>
      </c>
      <c r="DF9" s="901">
        <v>68.650526315789477</v>
      </c>
      <c r="DG9" s="899">
        <v>68.707894736842107</v>
      </c>
      <c r="DH9" s="900">
        <v>68.527894736842114</v>
      </c>
      <c r="DI9" s="901">
        <v>68.90789473684211</v>
      </c>
      <c r="DJ9" s="127">
        <f>((DJ22)+(DJ46/2))*4%</f>
        <v>27.302894736842106</v>
      </c>
      <c r="DK9" s="128">
        <f>((DK22)+(DK46/2))*4%</f>
        <v>27.502894736842105</v>
      </c>
      <c r="DL9" s="901">
        <v>27.502894736842105</v>
      </c>
      <c r="DM9" s="899">
        <v>7.8968000000000007</v>
      </c>
      <c r="DN9" s="900">
        <v>7.8768000000000011</v>
      </c>
      <c r="DO9" s="901">
        <v>7.8568000000000007</v>
      </c>
      <c r="DP9" s="899">
        <v>6.6160000000000005</v>
      </c>
      <c r="DQ9" s="900">
        <v>6.5441736632812502</v>
      </c>
      <c r="DR9" s="901">
        <v>6.5360000000000005</v>
      </c>
      <c r="DS9" s="128">
        <v>0.45849999999999996</v>
      </c>
      <c r="DT9" s="238"/>
      <c r="DU9" s="581" t="s">
        <v>433</v>
      </c>
      <c r="DV9" s="157" t="s">
        <v>434</v>
      </c>
      <c r="DW9" s="144">
        <v>131</v>
      </c>
      <c r="DX9" s="132">
        <v>131</v>
      </c>
      <c r="DY9" s="132">
        <v>132</v>
      </c>
      <c r="DZ9" s="132">
        <v>134</v>
      </c>
      <c r="EA9" s="145">
        <v>134</v>
      </c>
      <c r="EB9" s="132">
        <v>75</v>
      </c>
      <c r="EC9" s="132">
        <v>75</v>
      </c>
      <c r="ED9" s="132">
        <v>76</v>
      </c>
      <c r="EE9" s="132">
        <v>77</v>
      </c>
      <c r="EF9" s="145">
        <v>77</v>
      </c>
      <c r="EG9" s="235"/>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row>
    <row r="10" spans="1:187" s="45" customFormat="1" ht="10.5" x14ac:dyDescent="0.25">
      <c r="A10" s="238"/>
      <c r="B10" s="465" t="s">
        <v>435</v>
      </c>
      <c r="C10" s="19" t="s">
        <v>436</v>
      </c>
      <c r="D10" s="29">
        <v>1.2</v>
      </c>
      <c r="E10" s="18">
        <v>1.3</v>
      </c>
      <c r="F10" s="18">
        <v>1.4</v>
      </c>
      <c r="G10" s="18">
        <v>1.5</v>
      </c>
      <c r="H10" s="19">
        <v>1.6</v>
      </c>
      <c r="I10" s="29">
        <v>1.5</v>
      </c>
      <c r="J10" s="18">
        <v>1.65</v>
      </c>
      <c r="K10" s="18">
        <v>1.8</v>
      </c>
      <c r="L10" s="18">
        <v>2.2000000000000002</v>
      </c>
      <c r="M10" s="19">
        <v>2.2999999999999998</v>
      </c>
      <c r="N10" s="29">
        <v>2.5</v>
      </c>
      <c r="O10" s="18">
        <v>2.75</v>
      </c>
      <c r="P10" s="18">
        <v>3</v>
      </c>
      <c r="Q10" s="18">
        <v>3.5</v>
      </c>
      <c r="R10" s="19">
        <v>4</v>
      </c>
      <c r="S10" s="29">
        <v>2.5</v>
      </c>
      <c r="T10" s="18">
        <v>2.9</v>
      </c>
      <c r="U10" s="18">
        <v>3</v>
      </c>
      <c r="V10" s="18">
        <v>3.05</v>
      </c>
      <c r="W10" s="19">
        <v>3.1</v>
      </c>
      <c r="X10" s="29">
        <v>1.4</v>
      </c>
      <c r="Y10" s="18">
        <v>1.5</v>
      </c>
      <c r="Z10" s="18">
        <v>1.65</v>
      </c>
      <c r="AA10" s="18">
        <v>2</v>
      </c>
      <c r="AB10" s="19">
        <v>2.1</v>
      </c>
      <c r="AC10" s="24">
        <v>3</v>
      </c>
      <c r="AD10" s="23">
        <v>3.4520547945205475</v>
      </c>
      <c r="AE10" s="23">
        <v>4.0612409347300558</v>
      </c>
      <c r="AF10" s="23">
        <v>4.6027397260273979</v>
      </c>
      <c r="AG10" s="25">
        <v>4.75</v>
      </c>
      <c r="AH10" s="24">
        <v>1.1000000000000001</v>
      </c>
      <c r="AI10" s="18">
        <v>1.3</v>
      </c>
      <c r="AJ10" s="18">
        <v>1.6</v>
      </c>
      <c r="AK10" s="18">
        <v>1.9</v>
      </c>
      <c r="AL10" s="19">
        <v>2.2000000000000002</v>
      </c>
      <c r="AM10" s="29">
        <v>0.9</v>
      </c>
      <c r="AN10" s="18">
        <v>1</v>
      </c>
      <c r="AO10" s="18">
        <v>1.25</v>
      </c>
      <c r="AP10" s="18">
        <v>1.5</v>
      </c>
      <c r="AQ10" s="19">
        <v>1.6</v>
      </c>
      <c r="AR10" s="29">
        <v>2.6</v>
      </c>
      <c r="AS10" s="18">
        <v>2.75</v>
      </c>
      <c r="AT10" s="18">
        <v>3</v>
      </c>
      <c r="AU10" s="18">
        <v>3.25</v>
      </c>
      <c r="AV10" s="19">
        <v>3.4</v>
      </c>
      <c r="AW10" s="24">
        <v>3</v>
      </c>
      <c r="AX10" s="23">
        <v>3.4520547945205475</v>
      </c>
      <c r="AY10" s="23">
        <v>4.0612409347300558</v>
      </c>
      <c r="AZ10" s="23">
        <v>4.6027397260273979</v>
      </c>
      <c r="BA10" s="25">
        <v>5</v>
      </c>
      <c r="BB10" s="29">
        <v>0.9</v>
      </c>
      <c r="BC10" s="18">
        <v>1</v>
      </c>
      <c r="BD10" s="19">
        <v>1.1000000000000001</v>
      </c>
      <c r="BE10" s="29">
        <v>1.5</v>
      </c>
      <c r="BF10" s="18">
        <f>BF8/BF11</f>
        <v>1.25</v>
      </c>
      <c r="BG10" s="19">
        <v>2.5</v>
      </c>
      <c r="BH10" s="29">
        <v>12</v>
      </c>
      <c r="BI10" s="18">
        <v>15</v>
      </c>
      <c r="BJ10" s="18">
        <v>15</v>
      </c>
      <c r="BK10" s="18">
        <v>15</v>
      </c>
      <c r="BL10" s="19">
        <v>18</v>
      </c>
      <c r="BM10" s="29">
        <v>7</v>
      </c>
      <c r="BN10" s="18">
        <v>8</v>
      </c>
      <c r="BO10" s="18">
        <v>10</v>
      </c>
      <c r="BP10" s="18">
        <v>11</v>
      </c>
      <c r="BQ10" s="19">
        <v>13</v>
      </c>
      <c r="BR10" s="29">
        <v>24</v>
      </c>
      <c r="BS10" s="18">
        <v>26</v>
      </c>
      <c r="BT10" s="18">
        <v>28</v>
      </c>
      <c r="BU10" s="18">
        <v>30</v>
      </c>
      <c r="BV10" s="19">
        <v>32</v>
      </c>
      <c r="BW10" s="29">
        <v>3</v>
      </c>
      <c r="BX10" s="18">
        <v>7</v>
      </c>
      <c r="BY10" s="18">
        <v>7.5</v>
      </c>
      <c r="BZ10" s="18">
        <v>8</v>
      </c>
      <c r="CA10" s="19">
        <v>9</v>
      </c>
      <c r="CB10" s="29">
        <v>15</v>
      </c>
      <c r="CC10" s="18">
        <v>15</v>
      </c>
      <c r="CD10" s="18">
        <v>15</v>
      </c>
      <c r="CE10" s="18">
        <v>15</v>
      </c>
      <c r="CF10" s="19">
        <v>15</v>
      </c>
      <c r="CG10" s="29">
        <v>20</v>
      </c>
      <c r="CH10" s="18">
        <v>20</v>
      </c>
      <c r="CI10" s="19">
        <v>20</v>
      </c>
      <c r="CJ10" s="29">
        <v>28</v>
      </c>
      <c r="CK10" s="18">
        <v>30</v>
      </c>
      <c r="CL10" s="19">
        <v>35</v>
      </c>
      <c r="CM10" s="29">
        <v>24</v>
      </c>
      <c r="CN10" s="18">
        <v>25</v>
      </c>
      <c r="CO10" s="19">
        <v>27.5</v>
      </c>
      <c r="CP10" s="29">
        <v>1000</v>
      </c>
      <c r="CQ10" s="18">
        <v>1000</v>
      </c>
      <c r="CR10" s="19">
        <v>1000</v>
      </c>
      <c r="CS10" s="29">
        <v>1000</v>
      </c>
      <c r="CT10" s="19">
        <v>1000</v>
      </c>
      <c r="CU10" s="19">
        <v>1000</v>
      </c>
      <c r="CV10" s="534"/>
      <c r="CW10" s="534"/>
      <c r="CX10" s="111">
        <f>CX8/CX11</f>
        <v>1</v>
      </c>
      <c r="CY10" s="112">
        <f t="shared" ref="CY10:DR10" si="2">CY8/CY11</f>
        <v>1</v>
      </c>
      <c r="CZ10" s="99">
        <f t="shared" si="2"/>
        <v>1.625</v>
      </c>
      <c r="DA10" s="111">
        <f t="shared" si="2"/>
        <v>1.2</v>
      </c>
      <c r="DB10" s="112">
        <f t="shared" si="2"/>
        <v>1.3</v>
      </c>
      <c r="DC10" s="99">
        <f t="shared" si="2"/>
        <v>2.1125000000000003</v>
      </c>
      <c r="DD10" s="102">
        <f t="shared" si="2"/>
        <v>1.3333333333333333</v>
      </c>
      <c r="DE10" s="103">
        <f t="shared" si="2"/>
        <v>1.3333333333333333</v>
      </c>
      <c r="DF10" s="243">
        <f t="shared" si="2"/>
        <v>2.1666666666666665</v>
      </c>
      <c r="DG10" s="111">
        <f t="shared" si="2"/>
        <v>0.75</v>
      </c>
      <c r="DH10" s="112">
        <f t="shared" si="2"/>
        <v>0.75</v>
      </c>
      <c r="DI10" s="99">
        <f t="shared" si="2"/>
        <v>0.75</v>
      </c>
      <c r="DJ10" s="111">
        <f t="shared" si="2"/>
        <v>1.28</v>
      </c>
      <c r="DK10" s="112">
        <f t="shared" si="2"/>
        <v>1.28</v>
      </c>
      <c r="DL10" s="99">
        <f t="shared" si="2"/>
        <v>2.08</v>
      </c>
      <c r="DM10" s="111">
        <f t="shared" si="2"/>
        <v>4.5999999999999996</v>
      </c>
      <c r="DN10" s="112">
        <f t="shared" si="2"/>
        <v>4.7</v>
      </c>
      <c r="DO10" s="99">
        <f t="shared" si="2"/>
        <v>7.6375000000000002</v>
      </c>
      <c r="DP10" s="111">
        <f t="shared" si="2"/>
        <v>6.5</v>
      </c>
      <c r="DQ10" s="112">
        <f t="shared" si="2"/>
        <v>6.7</v>
      </c>
      <c r="DR10" s="99">
        <f t="shared" si="2"/>
        <v>5</v>
      </c>
      <c r="DS10" s="18">
        <v>1000</v>
      </c>
      <c r="DT10" s="238"/>
      <c r="DU10" s="581" t="s">
        <v>437</v>
      </c>
      <c r="DV10" s="157" t="s">
        <v>438</v>
      </c>
      <c r="DW10" s="144">
        <v>420</v>
      </c>
      <c r="DX10" s="132">
        <v>410</v>
      </c>
      <c r="DY10" s="132">
        <v>400</v>
      </c>
      <c r="DZ10" s="132">
        <v>385</v>
      </c>
      <c r="EA10" s="145">
        <v>375</v>
      </c>
      <c r="EB10" s="132">
        <v>410</v>
      </c>
      <c r="EC10" s="132">
        <v>400</v>
      </c>
      <c r="ED10" s="132">
        <v>385</v>
      </c>
      <c r="EE10" s="132">
        <v>370</v>
      </c>
      <c r="EF10" s="145">
        <v>365</v>
      </c>
      <c r="EG10" s="235"/>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row>
    <row r="11" spans="1:187" s="45" customFormat="1" ht="11" thickBot="1" x14ac:dyDescent="0.3">
      <c r="A11" s="238"/>
      <c r="B11" s="469" t="s">
        <v>439</v>
      </c>
      <c r="C11" s="450" t="s">
        <v>440</v>
      </c>
      <c r="D11" s="451">
        <v>0.59666666666666668</v>
      </c>
      <c r="E11" s="452">
        <v>0.59666666666666668</v>
      </c>
      <c r="F11" s="452">
        <v>0.59666666666666668</v>
      </c>
      <c r="G11" s="452">
        <v>0.59666666666666668</v>
      </c>
      <c r="H11" s="450">
        <v>0.59666666666666668</v>
      </c>
      <c r="I11" s="451">
        <v>0.75</v>
      </c>
      <c r="J11" s="452">
        <v>0.75</v>
      </c>
      <c r="K11" s="452">
        <v>0.75</v>
      </c>
      <c r="L11" s="452">
        <v>0.75</v>
      </c>
      <c r="M11" s="450">
        <v>0.75</v>
      </c>
      <c r="N11" s="451">
        <v>0.65</v>
      </c>
      <c r="O11" s="452">
        <v>0.65</v>
      </c>
      <c r="P11" s="452">
        <v>0.65</v>
      </c>
      <c r="Q11" s="452">
        <v>0.65</v>
      </c>
      <c r="R11" s="450">
        <v>0.65</v>
      </c>
      <c r="S11" s="451">
        <v>0.65</v>
      </c>
      <c r="T11" s="452">
        <v>0.65</v>
      </c>
      <c r="U11" s="452">
        <v>0.65</v>
      </c>
      <c r="V11" s="452">
        <v>0.65</v>
      </c>
      <c r="W11" s="450">
        <v>0.65</v>
      </c>
      <c r="X11" s="451">
        <v>0.75</v>
      </c>
      <c r="Y11" s="452">
        <v>0.75</v>
      </c>
      <c r="Z11" s="452">
        <v>0.75</v>
      </c>
      <c r="AA11" s="452">
        <v>0.75</v>
      </c>
      <c r="AB11" s="450">
        <v>0.75</v>
      </c>
      <c r="AC11" s="451">
        <v>0.5</v>
      </c>
      <c r="AD11" s="452">
        <v>0.495</v>
      </c>
      <c r="AE11" s="452">
        <v>0.495</v>
      </c>
      <c r="AF11" s="452">
        <v>0.495</v>
      </c>
      <c r="AG11" s="450">
        <v>0.5</v>
      </c>
      <c r="AH11" s="451">
        <v>0.75</v>
      </c>
      <c r="AI11" s="452">
        <v>0.75</v>
      </c>
      <c r="AJ11" s="452">
        <v>0.75</v>
      </c>
      <c r="AK11" s="452">
        <v>0.75</v>
      </c>
      <c r="AL11" s="450">
        <v>0.75</v>
      </c>
      <c r="AM11" s="451">
        <v>0.75</v>
      </c>
      <c r="AN11" s="452">
        <v>0.75</v>
      </c>
      <c r="AO11" s="452">
        <v>0.75</v>
      </c>
      <c r="AP11" s="452">
        <v>0.75</v>
      </c>
      <c r="AQ11" s="450">
        <v>0.75</v>
      </c>
      <c r="AR11" s="451">
        <v>0.65</v>
      </c>
      <c r="AS11" s="452">
        <v>0.65</v>
      </c>
      <c r="AT11" s="452">
        <v>0.65</v>
      </c>
      <c r="AU11" s="452">
        <v>0.65</v>
      </c>
      <c r="AV11" s="450">
        <v>0.65</v>
      </c>
      <c r="AW11" s="451">
        <v>0.65</v>
      </c>
      <c r="AX11" s="452">
        <v>0.65</v>
      </c>
      <c r="AY11" s="452">
        <v>0.65</v>
      </c>
      <c r="AZ11" s="452">
        <v>0.65</v>
      </c>
      <c r="BA11" s="450">
        <v>0.65</v>
      </c>
      <c r="BB11" s="451">
        <v>0.8</v>
      </c>
      <c r="BC11" s="452">
        <v>0.8</v>
      </c>
      <c r="BD11" s="450">
        <v>0.8</v>
      </c>
      <c r="BE11" s="451">
        <v>0.8</v>
      </c>
      <c r="BF11" s="452">
        <v>0.8</v>
      </c>
      <c r="BG11" s="450">
        <v>0.8</v>
      </c>
      <c r="BH11" s="451">
        <v>0.11</v>
      </c>
      <c r="BI11" s="452">
        <v>0.11</v>
      </c>
      <c r="BJ11" s="452">
        <v>0.11</v>
      </c>
      <c r="BK11" s="452">
        <v>0.11</v>
      </c>
      <c r="BL11" s="450">
        <v>0.11</v>
      </c>
      <c r="BM11" s="451">
        <v>0.11</v>
      </c>
      <c r="BN11" s="452">
        <v>0.11</v>
      </c>
      <c r="BO11" s="452">
        <v>0.11</v>
      </c>
      <c r="BP11" s="452">
        <v>0.11</v>
      </c>
      <c r="BQ11" s="450">
        <v>0.11</v>
      </c>
      <c r="BR11" s="451">
        <v>0.04</v>
      </c>
      <c r="BS11" s="452">
        <v>0.04</v>
      </c>
      <c r="BT11" s="452">
        <v>0.04</v>
      </c>
      <c r="BU11" s="452">
        <v>0.04</v>
      </c>
      <c r="BV11" s="450">
        <v>0.04</v>
      </c>
      <c r="BW11" s="451">
        <v>0.08</v>
      </c>
      <c r="BX11" s="452">
        <v>0.08</v>
      </c>
      <c r="BY11" s="452">
        <v>0.08</v>
      </c>
      <c r="BZ11" s="452">
        <v>0.08</v>
      </c>
      <c r="CA11" s="450">
        <v>0.08</v>
      </c>
      <c r="CB11" s="451">
        <v>0.06</v>
      </c>
      <c r="CC11" s="452">
        <v>0.06</v>
      </c>
      <c r="CD11" s="452">
        <v>0.06</v>
      </c>
      <c r="CE11" s="452">
        <v>0.06</v>
      </c>
      <c r="CF11" s="450">
        <v>0.06</v>
      </c>
      <c r="CG11" s="451">
        <v>0.44</v>
      </c>
      <c r="CH11" s="452">
        <v>0.44</v>
      </c>
      <c r="CI11" s="450">
        <v>0.44</v>
      </c>
      <c r="CJ11" s="451">
        <v>0.17</v>
      </c>
      <c r="CK11" s="452">
        <v>0.17</v>
      </c>
      <c r="CL11" s="450">
        <v>0.17</v>
      </c>
      <c r="CM11" s="451">
        <v>0.2</v>
      </c>
      <c r="CN11" s="452">
        <v>0.2</v>
      </c>
      <c r="CO11" s="450">
        <v>0.2</v>
      </c>
      <c r="CP11" s="451">
        <v>1.7000000000000001E-2</v>
      </c>
      <c r="CQ11" s="452">
        <v>1.7000000000000001E-2</v>
      </c>
      <c r="CR11" s="450">
        <v>1.7000000000000001E-2</v>
      </c>
      <c r="CS11" s="451">
        <v>1.7000000000000001E-2</v>
      </c>
      <c r="CT11" s="450">
        <v>1.7000000000000001E-2</v>
      </c>
      <c r="CU11" s="450">
        <v>1.7000000000000001E-2</v>
      </c>
      <c r="CV11" s="546"/>
      <c r="CW11" s="547"/>
      <c r="CX11" s="875">
        <v>1</v>
      </c>
      <c r="CY11" s="890">
        <v>1</v>
      </c>
      <c r="CZ11" s="889">
        <v>1</v>
      </c>
      <c r="DA11" s="876">
        <v>0.59666666666666668</v>
      </c>
      <c r="DB11" s="877">
        <v>0.59666666666666668</v>
      </c>
      <c r="DC11" s="878">
        <v>0.59666666666666668</v>
      </c>
      <c r="DD11" s="876">
        <v>0.75</v>
      </c>
      <c r="DE11" s="877">
        <v>0.75</v>
      </c>
      <c r="DF11" s="878">
        <v>0.75</v>
      </c>
      <c r="DG11" s="876">
        <v>0.75</v>
      </c>
      <c r="DH11" s="877">
        <v>0.75</v>
      </c>
      <c r="DI11" s="878">
        <v>0.75</v>
      </c>
      <c r="DJ11" s="876">
        <v>0.75</v>
      </c>
      <c r="DK11" s="877">
        <v>0.75</v>
      </c>
      <c r="DL11" s="878">
        <v>0.75</v>
      </c>
      <c r="DM11" s="876">
        <v>0.11</v>
      </c>
      <c r="DN11" s="877">
        <v>0.11</v>
      </c>
      <c r="DO11" s="878">
        <v>0.11</v>
      </c>
      <c r="DP11" s="876">
        <v>0.08</v>
      </c>
      <c r="DQ11" s="877">
        <v>0.08</v>
      </c>
      <c r="DR11" s="878">
        <v>0.08</v>
      </c>
      <c r="DS11" s="452">
        <v>1.7000000000000001E-2</v>
      </c>
      <c r="DT11" s="238"/>
      <c r="DU11" s="582" t="s">
        <v>441</v>
      </c>
      <c r="DV11" s="41" t="s">
        <v>442</v>
      </c>
      <c r="DW11" s="37">
        <v>1500</v>
      </c>
      <c r="DX11" s="38">
        <v>1500</v>
      </c>
      <c r="DY11" s="38">
        <v>1500</v>
      </c>
      <c r="DZ11" s="38">
        <v>1500</v>
      </c>
      <c r="EA11" s="39">
        <v>1500</v>
      </c>
      <c r="EB11" s="38">
        <v>1150</v>
      </c>
      <c r="EC11" s="38">
        <v>1150</v>
      </c>
      <c r="ED11" s="38">
        <v>1150</v>
      </c>
      <c r="EE11" s="38">
        <v>1150</v>
      </c>
      <c r="EF11" s="39">
        <v>1150</v>
      </c>
      <c r="EG11" s="235"/>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row>
    <row r="12" spans="1:187" s="45" customFormat="1" ht="11" thickBot="1" x14ac:dyDescent="0.3">
      <c r="A12" s="238"/>
      <c r="B12" s="470"/>
      <c r="C12" s="25"/>
      <c r="D12" s="24"/>
      <c r="E12" s="23"/>
      <c r="F12" s="23"/>
      <c r="G12" s="23"/>
      <c r="H12" s="25"/>
      <c r="I12" s="24"/>
      <c r="J12" s="23"/>
      <c r="K12" s="23"/>
      <c r="L12" s="23"/>
      <c r="M12" s="25"/>
      <c r="N12" s="24"/>
      <c r="O12" s="23"/>
      <c r="P12" s="23"/>
      <c r="Q12" s="23"/>
      <c r="R12" s="25"/>
      <c r="S12" s="24"/>
      <c r="T12" s="23"/>
      <c r="U12" s="23"/>
      <c r="V12" s="23"/>
      <c r="W12" s="25"/>
      <c r="X12" s="24"/>
      <c r="Y12" s="23"/>
      <c r="Z12" s="23"/>
      <c r="AA12" s="23"/>
      <c r="AB12" s="25"/>
      <c r="AC12" s="24"/>
      <c r="AD12" s="23"/>
      <c r="AE12" s="23"/>
      <c r="AF12" s="23"/>
      <c r="AG12" s="25"/>
      <c r="AH12" s="24"/>
      <c r="AI12" s="23"/>
      <c r="AJ12" s="23"/>
      <c r="AK12" s="23"/>
      <c r="AL12" s="25"/>
      <c r="AM12" s="24"/>
      <c r="AN12" s="23"/>
      <c r="AO12" s="23"/>
      <c r="AP12" s="23"/>
      <c r="AQ12" s="25"/>
      <c r="AR12" s="24"/>
      <c r="AS12" s="23"/>
      <c r="AT12" s="23"/>
      <c r="AU12" s="23"/>
      <c r="AV12" s="25"/>
      <c r="AW12" s="24"/>
      <c r="AX12" s="23"/>
      <c r="AY12" s="23"/>
      <c r="AZ12" s="23"/>
      <c r="BA12" s="25"/>
      <c r="BB12" s="24"/>
      <c r="BC12" s="23"/>
      <c r="BD12" s="25"/>
      <c r="BE12" s="24"/>
      <c r="BF12" s="23"/>
      <c r="BG12" s="25"/>
      <c r="BH12" s="24"/>
      <c r="BI12" s="23"/>
      <c r="BJ12" s="23"/>
      <c r="BK12" s="23"/>
      <c r="BL12" s="25"/>
      <c r="BM12" s="24"/>
      <c r="BN12" s="23"/>
      <c r="BO12" s="23"/>
      <c r="BP12" s="23"/>
      <c r="BQ12" s="25"/>
      <c r="BR12" s="24"/>
      <c r="BS12" s="23"/>
      <c r="BT12" s="23"/>
      <c r="BU12" s="23"/>
      <c r="BV12" s="25"/>
      <c r="BW12" s="24"/>
      <c r="BX12" s="23"/>
      <c r="BY12" s="23"/>
      <c r="BZ12" s="23"/>
      <c r="CA12" s="25"/>
      <c r="CB12" s="24"/>
      <c r="CC12" s="23"/>
      <c r="CD12" s="23"/>
      <c r="CE12" s="23"/>
      <c r="CF12" s="25"/>
      <c r="CG12" s="24"/>
      <c r="CH12" s="23"/>
      <c r="CI12" s="25"/>
      <c r="CJ12" s="24"/>
      <c r="CK12" s="23"/>
      <c r="CL12" s="25"/>
      <c r="CM12" s="24"/>
      <c r="CN12" s="23"/>
      <c r="CO12" s="25"/>
      <c r="CP12" s="24"/>
      <c r="CQ12" s="23"/>
      <c r="CR12" s="25"/>
      <c r="CS12" s="24"/>
      <c r="CT12" s="25"/>
      <c r="CU12" s="25"/>
      <c r="CV12" s="546"/>
      <c r="CW12" s="547"/>
      <c r="CX12" s="850"/>
      <c r="CY12" s="851"/>
      <c r="CZ12" s="852"/>
      <c r="DA12" s="853"/>
      <c r="DB12" s="854"/>
      <c r="DC12" s="855"/>
      <c r="DD12" s="853"/>
      <c r="DE12" s="854"/>
      <c r="DF12" s="855"/>
      <c r="DG12" s="853"/>
      <c r="DH12" s="854"/>
      <c r="DI12" s="855"/>
      <c r="DJ12" s="853"/>
      <c r="DK12" s="854"/>
      <c r="DL12" s="855"/>
      <c r="DM12" s="853"/>
      <c r="DN12" s="854"/>
      <c r="DO12" s="855"/>
      <c r="DP12" s="853"/>
      <c r="DQ12" s="854"/>
      <c r="DR12" s="855"/>
      <c r="DS12" s="23"/>
      <c r="DT12" s="238"/>
      <c r="DU12" s="582"/>
      <c r="DV12" s="41"/>
      <c r="DW12" s="37"/>
      <c r="DX12" s="38"/>
      <c r="DY12" s="38"/>
      <c r="DZ12" s="38"/>
      <c r="EA12" s="39"/>
      <c r="EB12" s="38"/>
      <c r="EC12" s="38"/>
      <c r="ED12" s="38"/>
      <c r="EE12" s="38"/>
      <c r="EF12" s="39"/>
      <c r="EG12" s="235"/>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row>
    <row r="13" spans="1:187" s="45" customFormat="1" ht="10.5" x14ac:dyDescent="0.25">
      <c r="A13" s="238"/>
      <c r="B13" s="453" t="s">
        <v>443</v>
      </c>
      <c r="C13" s="454" t="s">
        <v>444</v>
      </c>
      <c r="D13" s="455"/>
      <c r="E13" s="456"/>
      <c r="F13" s="456"/>
      <c r="G13" s="457"/>
      <c r="H13" s="458"/>
      <c r="I13" s="459"/>
      <c r="J13" s="456"/>
      <c r="K13" s="456"/>
      <c r="L13" s="457"/>
      <c r="M13" s="458"/>
      <c r="N13" s="459"/>
      <c r="O13" s="456"/>
      <c r="P13" s="456"/>
      <c r="Q13" s="457"/>
      <c r="R13" s="458"/>
      <c r="S13" s="459"/>
      <c r="T13" s="456"/>
      <c r="U13" s="460"/>
      <c r="V13" s="457"/>
      <c r="W13" s="458"/>
      <c r="X13" s="459"/>
      <c r="Y13" s="456"/>
      <c r="Z13" s="456"/>
      <c r="AA13" s="457"/>
      <c r="AB13" s="458"/>
      <c r="AC13" s="459"/>
      <c r="AD13" s="456"/>
      <c r="AE13" s="456"/>
      <c r="AF13" s="457"/>
      <c r="AG13" s="458"/>
      <c r="AH13" s="459"/>
      <c r="AI13" s="456"/>
      <c r="AJ13" s="456"/>
      <c r="AK13" s="457"/>
      <c r="AL13" s="458"/>
      <c r="AM13" s="459"/>
      <c r="AN13" s="456"/>
      <c r="AO13" s="456"/>
      <c r="AP13" s="457"/>
      <c r="AQ13" s="458"/>
      <c r="AR13" s="459"/>
      <c r="AS13" s="460" t="s">
        <v>445</v>
      </c>
      <c r="AT13" s="456"/>
      <c r="AU13" s="457"/>
      <c r="AV13" s="458"/>
      <c r="AW13" s="459"/>
      <c r="AX13" s="460" t="s">
        <v>446</v>
      </c>
      <c r="AY13" s="456"/>
      <c r="AZ13" s="457"/>
      <c r="BA13" s="458"/>
      <c r="BB13" s="445"/>
      <c r="BC13" s="461"/>
      <c r="BD13" s="458"/>
      <c r="BE13" s="445"/>
      <c r="BF13" s="460" t="s">
        <v>447</v>
      </c>
      <c r="BG13" s="458"/>
      <c r="BH13" s="459"/>
      <c r="BI13" s="456"/>
      <c r="BJ13" s="456"/>
      <c r="BK13" s="457"/>
      <c r="BL13" s="458"/>
      <c r="BM13" s="459"/>
      <c r="BN13" s="456"/>
      <c r="BO13" s="456"/>
      <c r="BP13" s="457"/>
      <c r="BQ13" s="458"/>
      <c r="BR13" s="459"/>
      <c r="BS13" s="456"/>
      <c r="BT13" s="456"/>
      <c r="BU13" s="457"/>
      <c r="BV13" s="458"/>
      <c r="BW13" s="459"/>
      <c r="BX13" s="456"/>
      <c r="BY13" s="456"/>
      <c r="BZ13" s="457"/>
      <c r="CA13" s="458"/>
      <c r="CB13" s="459"/>
      <c r="CC13" s="456"/>
      <c r="CD13" s="456"/>
      <c r="CE13" s="457"/>
      <c r="CF13" s="458"/>
      <c r="CG13" s="445"/>
      <c r="CH13" s="456"/>
      <c r="CI13" s="458"/>
      <c r="CJ13" s="445"/>
      <c r="CK13" s="456"/>
      <c r="CL13" s="458"/>
      <c r="CM13" s="445"/>
      <c r="CN13" s="456"/>
      <c r="CO13" s="458"/>
      <c r="CP13" s="445"/>
      <c r="CQ13" s="456"/>
      <c r="CR13" s="458"/>
      <c r="CS13" s="445"/>
      <c r="CT13" s="462"/>
      <c r="CU13" s="458"/>
      <c r="CV13" s="545"/>
      <c r="CW13" s="534"/>
      <c r="CX13" s="847"/>
      <c r="CY13" s="848"/>
      <c r="CZ13" s="849"/>
      <c r="DA13" s="856"/>
      <c r="DB13" s="857"/>
      <c r="DC13" s="849"/>
      <c r="DD13" s="847"/>
      <c r="DE13" s="848"/>
      <c r="DF13" s="849"/>
      <c r="DG13" s="847"/>
      <c r="DH13" s="848"/>
      <c r="DI13" s="849"/>
      <c r="DJ13" s="847"/>
      <c r="DK13" s="848"/>
      <c r="DL13" s="849"/>
      <c r="DM13" s="865"/>
      <c r="DN13" s="866"/>
      <c r="DO13" s="867"/>
      <c r="DP13" s="865"/>
      <c r="DQ13" s="866"/>
      <c r="DR13" s="867"/>
      <c r="DS13" s="456"/>
      <c r="DT13" s="238"/>
      <c r="DU13" s="582" t="s">
        <v>448</v>
      </c>
      <c r="DV13" s="41" t="s">
        <v>449</v>
      </c>
      <c r="DW13" s="161">
        <v>0.32</v>
      </c>
      <c r="DX13" s="162">
        <v>0.3</v>
      </c>
      <c r="DY13" s="162">
        <v>0.25</v>
      </c>
      <c r="DZ13" s="162">
        <v>0.2</v>
      </c>
      <c r="EA13" s="163">
        <v>0.2</v>
      </c>
      <c r="EB13" s="162">
        <v>0.32</v>
      </c>
      <c r="EC13" s="162">
        <v>0.3</v>
      </c>
      <c r="ED13" s="162">
        <v>0.25</v>
      </c>
      <c r="EE13" s="162">
        <v>0.2</v>
      </c>
      <c r="EF13" s="163">
        <v>0.2</v>
      </c>
      <c r="EG13" s="235"/>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row>
    <row r="14" spans="1:187" s="45" customFormat="1" ht="10.75" customHeight="1" x14ac:dyDescent="0.25">
      <c r="A14" s="238"/>
      <c r="B14" s="467" t="s">
        <v>450</v>
      </c>
      <c r="C14" s="28" t="s">
        <v>451</v>
      </c>
      <c r="D14" s="26">
        <v>36</v>
      </c>
      <c r="E14" s="27">
        <v>36</v>
      </c>
      <c r="F14" s="27">
        <v>36</v>
      </c>
      <c r="G14" s="27">
        <v>36</v>
      </c>
      <c r="H14" s="28">
        <v>36</v>
      </c>
      <c r="I14" s="26"/>
      <c r="J14" s="27"/>
      <c r="K14" s="27"/>
      <c r="L14" s="27"/>
      <c r="M14" s="28"/>
      <c r="N14" s="26">
        <v>18</v>
      </c>
      <c r="O14" s="27">
        <v>18</v>
      </c>
      <c r="P14" s="27">
        <v>18</v>
      </c>
      <c r="Q14" s="27">
        <v>18</v>
      </c>
      <c r="R14" s="28">
        <v>18</v>
      </c>
      <c r="S14" s="26">
        <v>18.5</v>
      </c>
      <c r="T14" s="27">
        <v>18.5</v>
      </c>
      <c r="U14" s="27">
        <v>18.5</v>
      </c>
      <c r="V14" s="27">
        <v>18.5</v>
      </c>
      <c r="W14" s="28">
        <v>18.5</v>
      </c>
      <c r="X14" s="26">
        <v>12</v>
      </c>
      <c r="Y14" s="27">
        <v>12</v>
      </c>
      <c r="Z14" s="27">
        <v>12</v>
      </c>
      <c r="AA14" s="27">
        <v>12</v>
      </c>
      <c r="AB14" s="28">
        <v>12</v>
      </c>
      <c r="AC14" s="26">
        <v>18</v>
      </c>
      <c r="AD14" s="27">
        <v>18</v>
      </c>
      <c r="AE14" s="27">
        <v>18</v>
      </c>
      <c r="AF14" s="27">
        <v>18</v>
      </c>
      <c r="AG14" s="28">
        <v>18</v>
      </c>
      <c r="AH14" s="26"/>
      <c r="AI14" s="27"/>
      <c r="AJ14" s="27"/>
      <c r="AK14" s="27"/>
      <c r="AL14" s="28"/>
      <c r="AM14" s="26">
        <v>12</v>
      </c>
      <c r="AN14" s="27">
        <v>12</v>
      </c>
      <c r="AO14" s="27">
        <v>12</v>
      </c>
      <c r="AP14" s="27">
        <v>12</v>
      </c>
      <c r="AQ14" s="28">
        <v>12</v>
      </c>
      <c r="AR14" s="26">
        <v>24</v>
      </c>
      <c r="AS14" s="27">
        <v>24</v>
      </c>
      <c r="AT14" s="27">
        <v>24</v>
      </c>
      <c r="AU14" s="27">
        <v>24</v>
      </c>
      <c r="AV14" s="28">
        <v>24</v>
      </c>
      <c r="AW14" s="26">
        <v>24</v>
      </c>
      <c r="AX14" s="27">
        <v>24</v>
      </c>
      <c r="AY14" s="27">
        <v>24</v>
      </c>
      <c r="AZ14" s="27">
        <v>24</v>
      </c>
      <c r="BA14" s="28">
        <v>24</v>
      </c>
      <c r="BB14" s="26">
        <v>8</v>
      </c>
      <c r="BC14" s="27">
        <v>8</v>
      </c>
      <c r="BD14" s="28">
        <v>8</v>
      </c>
      <c r="BE14" s="26"/>
      <c r="BF14" s="27" t="s">
        <v>452</v>
      </c>
      <c r="BG14" s="28"/>
      <c r="BH14" s="26"/>
      <c r="BI14" s="27"/>
      <c r="BJ14" s="27"/>
      <c r="BK14" s="27"/>
      <c r="BL14" s="28"/>
      <c r="BM14" s="26"/>
      <c r="BN14" s="27"/>
      <c r="BO14" s="27"/>
      <c r="BP14" s="27"/>
      <c r="BQ14" s="28"/>
      <c r="BR14" s="26"/>
      <c r="BS14" s="27"/>
      <c r="BT14" s="27"/>
      <c r="BU14" s="27"/>
      <c r="BV14" s="28"/>
      <c r="BW14" s="26"/>
      <c r="BX14" s="27"/>
      <c r="BY14" s="27"/>
      <c r="BZ14" s="27"/>
      <c r="CA14" s="28"/>
      <c r="CB14" s="26"/>
      <c r="CC14" s="27"/>
      <c r="CD14" s="27"/>
      <c r="CE14" s="27"/>
      <c r="CF14" s="28"/>
      <c r="CG14" s="26"/>
      <c r="CH14" s="27"/>
      <c r="CI14" s="28"/>
      <c r="CJ14" s="26"/>
      <c r="CK14" s="27"/>
      <c r="CL14" s="28"/>
      <c r="CM14" s="26"/>
      <c r="CN14" s="27"/>
      <c r="CO14" s="28"/>
      <c r="CP14" s="26"/>
      <c r="CQ14" s="27"/>
      <c r="CR14" s="28"/>
      <c r="CS14" s="26" t="s">
        <v>453</v>
      </c>
      <c r="CT14" s="28" t="s">
        <v>453</v>
      </c>
      <c r="CU14" s="28" t="s">
        <v>453</v>
      </c>
      <c r="CV14" s="545"/>
      <c r="CW14" s="534"/>
      <c r="CX14" s="884"/>
      <c r="CY14" s="885"/>
      <c r="CZ14" s="886"/>
      <c r="DA14" s="884"/>
      <c r="DB14" s="885">
        <v>27</v>
      </c>
      <c r="DC14" s="886"/>
      <c r="DD14" s="884"/>
      <c r="DE14" s="885"/>
      <c r="DF14" s="886"/>
      <c r="DG14" s="884"/>
      <c r="DH14" s="885"/>
      <c r="DI14" s="886"/>
      <c r="DJ14" s="884"/>
      <c r="DK14" s="885"/>
      <c r="DL14" s="886"/>
      <c r="DM14" s="847"/>
      <c r="DN14" s="848"/>
      <c r="DO14" s="849"/>
      <c r="DP14" s="847"/>
      <c r="DQ14" s="848"/>
      <c r="DR14" s="849"/>
      <c r="DS14" s="27"/>
      <c r="DT14" s="238"/>
      <c r="DU14" s="582" t="s">
        <v>454</v>
      </c>
      <c r="DV14" s="41" t="s">
        <v>442</v>
      </c>
      <c r="DW14" s="141">
        <v>5.3</v>
      </c>
      <c r="DX14" s="142">
        <v>5.25</v>
      </c>
      <c r="DY14" s="142">
        <v>4.6222222222222218</v>
      </c>
      <c r="DZ14" s="142">
        <v>4.3829787234042552</v>
      </c>
      <c r="EA14" s="143">
        <v>4.3829787234042552</v>
      </c>
      <c r="EB14" s="142">
        <v>5.25</v>
      </c>
      <c r="EC14" s="142">
        <v>5.2</v>
      </c>
      <c r="ED14" s="142">
        <v>4.5777777777777775</v>
      </c>
      <c r="EE14" s="142">
        <v>4.3191489361702127</v>
      </c>
      <c r="EF14" s="143">
        <v>4.3404255319148932</v>
      </c>
      <c r="EG14" s="235"/>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row>
    <row r="15" spans="1:187" s="45" customFormat="1" ht="10.5" x14ac:dyDescent="0.25">
      <c r="A15" s="238"/>
      <c r="B15" s="467" t="s">
        <v>455</v>
      </c>
      <c r="C15" s="28" t="s">
        <v>456</v>
      </c>
      <c r="D15" s="26"/>
      <c r="E15" s="27"/>
      <c r="F15" s="27"/>
      <c r="G15" s="27"/>
      <c r="H15" s="28"/>
      <c r="I15" s="26">
        <v>270</v>
      </c>
      <c r="J15" s="27">
        <v>274</v>
      </c>
      <c r="K15" s="27">
        <v>280</v>
      </c>
      <c r="L15" s="27">
        <v>309</v>
      </c>
      <c r="M15" s="28">
        <v>340</v>
      </c>
      <c r="N15" s="26">
        <v>580</v>
      </c>
      <c r="O15" s="27">
        <v>591.20000000000005</v>
      </c>
      <c r="P15" s="27">
        <v>597.5</v>
      </c>
      <c r="Q15" s="27">
        <v>603.79999999999995</v>
      </c>
      <c r="R15" s="28">
        <v>615</v>
      </c>
      <c r="S15" s="26">
        <v>550</v>
      </c>
      <c r="T15" s="27">
        <v>550</v>
      </c>
      <c r="U15" s="27">
        <v>550</v>
      </c>
      <c r="V15" s="27">
        <v>550</v>
      </c>
      <c r="W15" s="28">
        <v>550</v>
      </c>
      <c r="X15" s="26">
        <v>355</v>
      </c>
      <c r="Y15" s="27">
        <v>363</v>
      </c>
      <c r="Z15" s="27">
        <v>371</v>
      </c>
      <c r="AA15" s="27">
        <v>385</v>
      </c>
      <c r="AB15" s="28">
        <v>395</v>
      </c>
      <c r="AC15" s="26">
        <v>515</v>
      </c>
      <c r="AD15" s="27">
        <v>538</v>
      </c>
      <c r="AE15" s="27">
        <v>560</v>
      </c>
      <c r="AF15" s="27">
        <v>581</v>
      </c>
      <c r="AG15" s="28">
        <v>600</v>
      </c>
      <c r="AH15" s="26">
        <v>260</v>
      </c>
      <c r="AI15" s="27">
        <v>267</v>
      </c>
      <c r="AJ15" s="27">
        <v>273</v>
      </c>
      <c r="AK15" s="27">
        <v>280</v>
      </c>
      <c r="AL15" s="28">
        <v>290</v>
      </c>
      <c r="AM15" s="26">
        <v>345</v>
      </c>
      <c r="AN15" s="27">
        <v>356</v>
      </c>
      <c r="AO15" s="27">
        <v>364</v>
      </c>
      <c r="AP15" s="27">
        <v>370</v>
      </c>
      <c r="AQ15" s="28">
        <v>380</v>
      </c>
      <c r="AR15" s="26">
        <v>485</v>
      </c>
      <c r="AS15" s="27">
        <v>490</v>
      </c>
      <c r="AT15" s="27">
        <v>495</v>
      </c>
      <c r="AU15" s="27">
        <v>500</v>
      </c>
      <c r="AV15" s="28">
        <v>505</v>
      </c>
      <c r="AW15" s="26">
        <v>546</v>
      </c>
      <c r="AX15" s="27">
        <v>551</v>
      </c>
      <c r="AY15" s="27">
        <v>556</v>
      </c>
      <c r="AZ15" s="27">
        <v>561</v>
      </c>
      <c r="BA15" s="28">
        <v>566</v>
      </c>
      <c r="BB15" s="26">
        <v>256</v>
      </c>
      <c r="BC15" s="27">
        <v>260</v>
      </c>
      <c r="BD15" s="28">
        <v>268</v>
      </c>
      <c r="BE15" s="26">
        <v>515</v>
      </c>
      <c r="BF15" s="27">
        <v>530</v>
      </c>
      <c r="BG15" s="28">
        <v>566</v>
      </c>
      <c r="BH15" s="26"/>
      <c r="BI15" s="27"/>
      <c r="BJ15" s="27"/>
      <c r="BK15" s="27"/>
      <c r="BL15" s="28"/>
      <c r="BM15" s="26">
        <v>40</v>
      </c>
      <c r="BN15" s="27">
        <v>40</v>
      </c>
      <c r="BO15" s="27">
        <v>40</v>
      </c>
      <c r="BP15" s="27">
        <v>40</v>
      </c>
      <c r="BQ15" s="28">
        <v>40</v>
      </c>
      <c r="BR15" s="26">
        <v>40</v>
      </c>
      <c r="BS15" s="27">
        <v>41</v>
      </c>
      <c r="BT15" s="27">
        <v>43</v>
      </c>
      <c r="BU15" s="27">
        <v>45</v>
      </c>
      <c r="BV15" s="28">
        <v>46</v>
      </c>
      <c r="BW15" s="26">
        <v>35</v>
      </c>
      <c r="BX15" s="27">
        <v>36</v>
      </c>
      <c r="BY15" s="27">
        <v>37</v>
      </c>
      <c r="BZ15" s="27">
        <v>38</v>
      </c>
      <c r="CA15" s="28">
        <v>39</v>
      </c>
      <c r="CB15" s="26"/>
      <c r="CC15" s="27"/>
      <c r="CD15" s="27"/>
      <c r="CE15" s="27"/>
      <c r="CF15" s="28"/>
      <c r="CG15" s="26"/>
      <c r="CH15" s="27"/>
      <c r="CI15" s="28"/>
      <c r="CJ15" s="26">
        <v>111</v>
      </c>
      <c r="CK15" s="27">
        <v>112</v>
      </c>
      <c r="CL15" s="28">
        <v>110</v>
      </c>
      <c r="CM15" s="26"/>
      <c r="CN15" s="27"/>
      <c r="CO15" s="28"/>
      <c r="CP15" s="26"/>
      <c r="CQ15" s="27"/>
      <c r="CR15" s="28"/>
      <c r="CS15" s="26">
        <v>2.27</v>
      </c>
      <c r="CT15" s="28">
        <v>2.27</v>
      </c>
      <c r="CU15" s="28">
        <v>2.27</v>
      </c>
      <c r="CV15" s="545"/>
      <c r="CW15" s="534"/>
      <c r="CX15" s="847"/>
      <c r="CY15" s="848"/>
      <c r="CZ15" s="849"/>
      <c r="DA15" s="847"/>
      <c r="DB15" s="848"/>
      <c r="DC15" s="849"/>
      <c r="DD15" s="847"/>
      <c r="DE15" s="848"/>
      <c r="DF15" s="849"/>
      <c r="DG15" s="847"/>
      <c r="DH15" s="848"/>
      <c r="DI15" s="849"/>
      <c r="DJ15" s="847"/>
      <c r="DK15" s="848"/>
      <c r="DL15" s="849"/>
      <c r="DM15" s="884">
        <f>38*0.46</f>
        <v>17.48</v>
      </c>
      <c r="DN15" s="885">
        <f>38*0.46</f>
        <v>17.48</v>
      </c>
      <c r="DO15" s="886">
        <f>38*0.46</f>
        <v>17.48</v>
      </c>
      <c r="DP15" s="847"/>
      <c r="DQ15" s="848"/>
      <c r="DR15" s="849"/>
      <c r="DS15" s="27"/>
      <c r="DT15" s="238"/>
      <c r="DU15" s="581" t="s">
        <v>457</v>
      </c>
      <c r="DV15" s="157" t="s">
        <v>458</v>
      </c>
      <c r="DW15" s="164">
        <v>650</v>
      </c>
      <c r="DX15" s="136">
        <v>650</v>
      </c>
      <c r="DY15" s="136">
        <v>650</v>
      </c>
      <c r="DZ15" s="136">
        <v>650</v>
      </c>
      <c r="EA15" s="165">
        <v>650</v>
      </c>
      <c r="EB15" s="136">
        <v>375</v>
      </c>
      <c r="EC15" s="136">
        <v>375</v>
      </c>
      <c r="ED15" s="136">
        <v>375</v>
      </c>
      <c r="EE15" s="136">
        <v>375</v>
      </c>
      <c r="EF15" s="165">
        <v>375</v>
      </c>
      <c r="EG15" s="235"/>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row>
    <row r="16" spans="1:187" s="45" customFormat="1" ht="10.5" x14ac:dyDescent="0.25">
      <c r="A16" s="238"/>
      <c r="B16" s="465" t="s">
        <v>459</v>
      </c>
      <c r="C16" s="34" t="s">
        <v>460</v>
      </c>
      <c r="D16" s="32"/>
      <c r="E16" s="33"/>
      <c r="F16" s="33"/>
      <c r="G16" s="33"/>
      <c r="H16" s="34"/>
      <c r="I16" s="32">
        <v>2</v>
      </c>
      <c r="J16" s="33">
        <v>2</v>
      </c>
      <c r="K16" s="33">
        <v>2</v>
      </c>
      <c r="L16" s="33">
        <v>2</v>
      </c>
      <c r="M16" s="34">
        <v>2</v>
      </c>
      <c r="N16" s="32">
        <v>1.85</v>
      </c>
      <c r="O16" s="33">
        <v>1.85</v>
      </c>
      <c r="P16" s="33">
        <v>1.85</v>
      </c>
      <c r="Q16" s="33">
        <v>1.85</v>
      </c>
      <c r="R16" s="34">
        <v>1.85</v>
      </c>
      <c r="S16" s="32">
        <v>1.9</v>
      </c>
      <c r="T16" s="33">
        <v>1.9</v>
      </c>
      <c r="U16" s="33">
        <v>1.9</v>
      </c>
      <c r="V16" s="33">
        <v>1.9</v>
      </c>
      <c r="W16" s="34">
        <v>1.9</v>
      </c>
      <c r="X16" s="32">
        <v>1.95</v>
      </c>
      <c r="Y16" s="33">
        <v>2</v>
      </c>
      <c r="Z16" s="33">
        <v>2</v>
      </c>
      <c r="AA16" s="33">
        <v>2.0499999999999998</v>
      </c>
      <c r="AB16" s="34">
        <v>2.0499999999999998</v>
      </c>
      <c r="AC16" s="32">
        <v>1.9</v>
      </c>
      <c r="AD16" s="33">
        <v>1.9</v>
      </c>
      <c r="AE16" s="33">
        <v>1.9</v>
      </c>
      <c r="AF16" s="33">
        <v>1.9</v>
      </c>
      <c r="AG16" s="34">
        <v>1.9</v>
      </c>
      <c r="AH16" s="32">
        <v>1.95</v>
      </c>
      <c r="AI16" s="33">
        <v>2</v>
      </c>
      <c r="AJ16" s="33">
        <v>2</v>
      </c>
      <c r="AK16" s="33">
        <v>2.0499999999999998</v>
      </c>
      <c r="AL16" s="34">
        <v>2.1</v>
      </c>
      <c r="AM16" s="32">
        <v>1.95</v>
      </c>
      <c r="AN16" s="33">
        <v>2</v>
      </c>
      <c r="AO16" s="33">
        <v>2</v>
      </c>
      <c r="AP16" s="33">
        <v>2.0499999999999998</v>
      </c>
      <c r="AQ16" s="34">
        <v>2.1</v>
      </c>
      <c r="AR16" s="32">
        <v>1.9</v>
      </c>
      <c r="AS16" s="33">
        <v>1.9</v>
      </c>
      <c r="AT16" s="33">
        <v>1.9</v>
      </c>
      <c r="AU16" s="33">
        <v>1.9</v>
      </c>
      <c r="AV16" s="34">
        <v>1.9</v>
      </c>
      <c r="AW16" s="32">
        <v>1.9</v>
      </c>
      <c r="AX16" s="33">
        <v>1.9</v>
      </c>
      <c r="AY16" s="33">
        <v>1.9</v>
      </c>
      <c r="AZ16" s="33">
        <v>1.9</v>
      </c>
      <c r="BA16" s="34">
        <v>1.9</v>
      </c>
      <c r="BB16" s="32">
        <v>1.9</v>
      </c>
      <c r="BC16" s="33">
        <v>1.9</v>
      </c>
      <c r="BD16" s="34">
        <v>1.95</v>
      </c>
      <c r="BE16" s="32">
        <v>1.8</v>
      </c>
      <c r="BF16" s="33">
        <v>1.85</v>
      </c>
      <c r="BG16" s="34">
        <v>1.9</v>
      </c>
      <c r="BH16" s="32"/>
      <c r="BI16" s="33"/>
      <c r="BJ16" s="33"/>
      <c r="BK16" s="33"/>
      <c r="BL16" s="34"/>
      <c r="BM16" s="32">
        <v>1.8</v>
      </c>
      <c r="BN16" s="33">
        <v>1.9474999999999998</v>
      </c>
      <c r="BO16" s="33">
        <v>2.0499999999999998</v>
      </c>
      <c r="BP16" s="33">
        <v>2.1524999999999999</v>
      </c>
      <c r="BQ16" s="34">
        <v>2.2999999999999998</v>
      </c>
      <c r="BR16" s="32">
        <v>2.25</v>
      </c>
      <c r="BS16" s="33">
        <v>2.25</v>
      </c>
      <c r="BT16" s="33">
        <v>2.25</v>
      </c>
      <c r="BU16" s="33">
        <v>2.25</v>
      </c>
      <c r="BV16" s="34">
        <v>2.25</v>
      </c>
      <c r="BW16" s="32">
        <v>1.9</v>
      </c>
      <c r="BX16" s="33">
        <v>1.9</v>
      </c>
      <c r="BY16" s="33">
        <v>1.9</v>
      </c>
      <c r="BZ16" s="33">
        <v>1.9</v>
      </c>
      <c r="CA16" s="34">
        <v>1.9</v>
      </c>
      <c r="CB16" s="32"/>
      <c r="CC16" s="33"/>
      <c r="CD16" s="33"/>
      <c r="CE16" s="33"/>
      <c r="CF16" s="34"/>
      <c r="CG16" s="32"/>
      <c r="CH16" s="33"/>
      <c r="CI16" s="34"/>
      <c r="CJ16" s="32">
        <v>1.1599999999999999</v>
      </c>
      <c r="CK16" s="33">
        <v>1.1599999999999999</v>
      </c>
      <c r="CL16" s="34">
        <v>1.1599999999999999</v>
      </c>
      <c r="CM16" s="32"/>
      <c r="CN16" s="33"/>
      <c r="CO16" s="34"/>
      <c r="CP16" s="32"/>
      <c r="CQ16" s="33"/>
      <c r="CR16" s="34"/>
      <c r="CS16" s="32">
        <v>2.0625</v>
      </c>
      <c r="CT16" s="34">
        <v>2.25</v>
      </c>
      <c r="CU16" s="34">
        <v>2.4375</v>
      </c>
      <c r="CV16" s="545"/>
      <c r="CW16" s="547"/>
      <c r="CX16" s="856"/>
      <c r="CY16" s="857"/>
      <c r="CZ16" s="858"/>
      <c r="DA16" s="856"/>
      <c r="DB16" s="857"/>
      <c r="DC16" s="858"/>
      <c r="DD16" s="856"/>
      <c r="DE16" s="857"/>
      <c r="DF16" s="858"/>
      <c r="DG16" s="856"/>
      <c r="DH16" s="857"/>
      <c r="DI16" s="858"/>
      <c r="DJ16" s="856"/>
      <c r="DK16" s="857"/>
      <c r="DL16" s="859" t="s">
        <v>461</v>
      </c>
      <c r="DM16" s="856"/>
      <c r="DN16" s="857"/>
      <c r="DO16" s="858"/>
      <c r="DP16" s="856"/>
      <c r="DQ16" s="857"/>
      <c r="DR16" s="858"/>
      <c r="DS16" s="33"/>
      <c r="DT16" s="238"/>
      <c r="DU16" s="581" t="s">
        <v>462</v>
      </c>
      <c r="DV16" s="157" t="s">
        <v>449</v>
      </c>
      <c r="DW16" s="166">
        <v>0.06</v>
      </c>
      <c r="DX16" s="167">
        <v>0.05</v>
      </c>
      <c r="DY16" s="167">
        <v>0.04</v>
      </c>
      <c r="DZ16" s="167">
        <v>0.03</v>
      </c>
      <c r="EA16" s="168">
        <v>0.03</v>
      </c>
      <c r="EB16" s="167">
        <v>0.05</v>
      </c>
      <c r="EC16" s="167">
        <v>0.04</v>
      </c>
      <c r="ED16" s="167">
        <v>0.03</v>
      </c>
      <c r="EE16" s="167">
        <v>1.4999999999999999E-2</v>
      </c>
      <c r="EF16" s="168">
        <v>0.02</v>
      </c>
      <c r="EG16" s="235"/>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row>
    <row r="17" spans="1:169" s="45" customFormat="1" ht="10.5" x14ac:dyDescent="0.25">
      <c r="A17" s="238"/>
      <c r="B17" s="464" t="s">
        <v>463</v>
      </c>
      <c r="C17" s="13" t="s">
        <v>464</v>
      </c>
      <c r="D17" s="11">
        <v>1400</v>
      </c>
      <c r="E17" s="12">
        <v>1425</v>
      </c>
      <c r="F17" s="12">
        <v>1500</v>
      </c>
      <c r="G17" s="12">
        <v>1575</v>
      </c>
      <c r="H17" s="13">
        <v>1600</v>
      </c>
      <c r="I17" s="11">
        <v>540</v>
      </c>
      <c r="J17" s="12">
        <v>548</v>
      </c>
      <c r="K17" s="12">
        <v>560</v>
      </c>
      <c r="L17" s="12">
        <v>618</v>
      </c>
      <c r="M17" s="13">
        <v>680</v>
      </c>
      <c r="N17" s="11">
        <v>1073</v>
      </c>
      <c r="O17" s="12">
        <v>1093.72</v>
      </c>
      <c r="P17" s="12">
        <v>1105.375</v>
      </c>
      <c r="Q17" s="12">
        <v>1117.03</v>
      </c>
      <c r="R17" s="13">
        <v>1137.75</v>
      </c>
      <c r="S17" s="11">
        <v>1045</v>
      </c>
      <c r="T17" s="12">
        <v>1045</v>
      </c>
      <c r="U17" s="12">
        <v>1045</v>
      </c>
      <c r="V17" s="12">
        <v>1045</v>
      </c>
      <c r="W17" s="13">
        <v>1045</v>
      </c>
      <c r="X17" s="11">
        <v>692.25</v>
      </c>
      <c r="Y17" s="12">
        <v>726</v>
      </c>
      <c r="Z17" s="12">
        <v>742</v>
      </c>
      <c r="AA17" s="12">
        <v>789.24999999999989</v>
      </c>
      <c r="AB17" s="13">
        <v>809.74999999999989</v>
      </c>
      <c r="AC17" s="11">
        <v>978.5</v>
      </c>
      <c r="AD17" s="12">
        <v>1022.1999999999999</v>
      </c>
      <c r="AE17" s="12">
        <v>1064</v>
      </c>
      <c r="AF17" s="12">
        <v>1103.8999999999999</v>
      </c>
      <c r="AG17" s="13">
        <v>1140</v>
      </c>
      <c r="AH17" s="11">
        <v>507</v>
      </c>
      <c r="AI17" s="12">
        <v>534</v>
      </c>
      <c r="AJ17" s="12">
        <v>546</v>
      </c>
      <c r="AK17" s="12">
        <v>574</v>
      </c>
      <c r="AL17" s="13">
        <v>609</v>
      </c>
      <c r="AM17" s="11">
        <v>672.75</v>
      </c>
      <c r="AN17" s="12">
        <v>712</v>
      </c>
      <c r="AO17" s="12">
        <v>728</v>
      </c>
      <c r="AP17" s="12">
        <v>758.49999999999989</v>
      </c>
      <c r="AQ17" s="13">
        <v>798</v>
      </c>
      <c r="AR17" s="11">
        <v>921.5</v>
      </c>
      <c r="AS17" s="12">
        <v>931</v>
      </c>
      <c r="AT17" s="12">
        <v>940.5</v>
      </c>
      <c r="AU17" s="12">
        <v>950</v>
      </c>
      <c r="AV17" s="13">
        <v>959.5</v>
      </c>
      <c r="AW17" s="11">
        <v>1037.3999999999999</v>
      </c>
      <c r="AX17" s="12">
        <v>1046.8999999999999</v>
      </c>
      <c r="AY17" s="12">
        <v>1056.3999999999999</v>
      </c>
      <c r="AZ17" s="12">
        <v>1065.8999999999999</v>
      </c>
      <c r="BA17" s="13">
        <v>1075.3999999999999</v>
      </c>
      <c r="BB17" s="11">
        <v>486.4</v>
      </c>
      <c r="BC17" s="12">
        <v>494</v>
      </c>
      <c r="BD17" s="13">
        <v>522.6</v>
      </c>
      <c r="BE17" s="11">
        <v>927</v>
      </c>
      <c r="BF17" s="12">
        <v>980.5</v>
      </c>
      <c r="BG17" s="13">
        <v>1075.3999999999999</v>
      </c>
      <c r="BH17" s="11">
        <v>131</v>
      </c>
      <c r="BI17" s="12">
        <v>138</v>
      </c>
      <c r="BJ17" s="12">
        <v>145</v>
      </c>
      <c r="BK17" s="12">
        <v>152</v>
      </c>
      <c r="BL17" s="13">
        <v>160</v>
      </c>
      <c r="BM17" s="11">
        <v>72</v>
      </c>
      <c r="BN17" s="12">
        <v>77.899999999999991</v>
      </c>
      <c r="BO17" s="12">
        <v>82</v>
      </c>
      <c r="BP17" s="12">
        <v>86.1</v>
      </c>
      <c r="BQ17" s="13">
        <v>92</v>
      </c>
      <c r="BR17" s="11">
        <v>90</v>
      </c>
      <c r="BS17" s="12">
        <v>92.25</v>
      </c>
      <c r="BT17" s="12">
        <v>96.75</v>
      </c>
      <c r="BU17" s="12">
        <v>101.25</v>
      </c>
      <c r="BV17" s="13">
        <v>103.5</v>
      </c>
      <c r="BW17" s="11">
        <v>66.5</v>
      </c>
      <c r="BX17" s="12">
        <v>68.399999999999991</v>
      </c>
      <c r="BY17" s="12">
        <v>70.3</v>
      </c>
      <c r="BZ17" s="12">
        <v>72.2</v>
      </c>
      <c r="CA17" s="13">
        <v>74.099999999999994</v>
      </c>
      <c r="CB17" s="11">
        <v>35</v>
      </c>
      <c r="CC17" s="12">
        <v>41</v>
      </c>
      <c r="CD17" s="12">
        <v>53</v>
      </c>
      <c r="CE17" s="12">
        <v>65</v>
      </c>
      <c r="CF17" s="13">
        <v>70</v>
      </c>
      <c r="CG17" s="11">
        <v>55</v>
      </c>
      <c r="CH17" s="12">
        <v>55</v>
      </c>
      <c r="CI17" s="13">
        <v>55</v>
      </c>
      <c r="CJ17" s="11">
        <v>128.76</v>
      </c>
      <c r="CK17" s="12">
        <v>129.91999999999999</v>
      </c>
      <c r="CL17" s="13">
        <v>127.6</v>
      </c>
      <c r="CM17" s="11"/>
      <c r="CN17" s="12"/>
      <c r="CO17" s="13"/>
      <c r="CP17" s="32">
        <v>1.01</v>
      </c>
      <c r="CQ17" s="33">
        <v>1.01</v>
      </c>
      <c r="CR17" s="34">
        <v>1.01</v>
      </c>
      <c r="CS17" s="32">
        <v>4.6818749999999998</v>
      </c>
      <c r="CT17" s="34">
        <v>5.1074999999999999</v>
      </c>
      <c r="CU17" s="34">
        <v>5.5331250000000001</v>
      </c>
      <c r="CV17" s="545"/>
      <c r="CW17" s="534"/>
      <c r="CX17" s="884"/>
      <c r="CY17" s="885"/>
      <c r="CZ17" s="886"/>
      <c r="DA17" s="884">
        <v>1650</v>
      </c>
      <c r="DB17" s="885">
        <v>1650</v>
      </c>
      <c r="DC17" s="886">
        <v>1650</v>
      </c>
      <c r="DD17" s="884"/>
      <c r="DE17" s="885"/>
      <c r="DF17" s="886"/>
      <c r="DG17" s="884"/>
      <c r="DH17" s="885"/>
      <c r="DI17" s="886"/>
      <c r="DJ17" s="884"/>
      <c r="DK17" s="885"/>
      <c r="DL17" s="849" t="s">
        <v>465</v>
      </c>
      <c r="DM17" s="847">
        <f>4*DM15</f>
        <v>69.92</v>
      </c>
      <c r="DN17" s="848">
        <f t="shared" ref="DN17:DO17" si="3">4*DN15</f>
        <v>69.92</v>
      </c>
      <c r="DO17" s="849">
        <f t="shared" si="3"/>
        <v>69.92</v>
      </c>
      <c r="DP17" s="847">
        <v>64.400000000000006</v>
      </c>
      <c r="DQ17" s="848">
        <v>64.400000000000006</v>
      </c>
      <c r="DR17" s="849">
        <v>64.400000000000006</v>
      </c>
      <c r="DS17" s="33">
        <v>1.01</v>
      </c>
      <c r="DT17" s="238"/>
      <c r="DU17" s="581"/>
      <c r="DV17" s="157"/>
      <c r="DW17" s="144"/>
      <c r="DX17" s="132"/>
      <c r="DY17" s="132"/>
      <c r="DZ17" s="132"/>
      <c r="EA17" s="145"/>
      <c r="EB17" s="132"/>
      <c r="EC17" s="132"/>
      <c r="ED17" s="132"/>
      <c r="EE17" s="132"/>
      <c r="EF17" s="145"/>
      <c r="EG17" s="235"/>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row>
    <row r="18" spans="1:169" s="45" customFormat="1" ht="21" x14ac:dyDescent="0.25">
      <c r="A18" s="238"/>
      <c r="B18" s="464" t="s">
        <v>466</v>
      </c>
      <c r="C18" s="7" t="s">
        <v>467</v>
      </c>
      <c r="D18" s="11"/>
      <c r="E18" s="12"/>
      <c r="F18" s="12"/>
      <c r="G18" s="12"/>
      <c r="H18" s="13"/>
      <c r="I18" s="32">
        <v>0.85</v>
      </c>
      <c r="J18" s="33">
        <v>0.85</v>
      </c>
      <c r="K18" s="33">
        <v>0.87</v>
      </c>
      <c r="L18" s="33">
        <v>0.89</v>
      </c>
      <c r="M18" s="34">
        <v>0.85</v>
      </c>
      <c r="N18" s="11"/>
      <c r="O18" s="12"/>
      <c r="P18" s="12"/>
      <c r="Q18" s="12"/>
      <c r="R18" s="13"/>
      <c r="S18" s="11"/>
      <c r="T18" s="12"/>
      <c r="U18" s="12"/>
      <c r="V18" s="12"/>
      <c r="W18" s="13"/>
      <c r="X18" s="32">
        <v>0.82</v>
      </c>
      <c r="Y18" s="33">
        <v>0.83</v>
      </c>
      <c r="Z18" s="33">
        <v>0.85</v>
      </c>
      <c r="AA18" s="33">
        <v>0.87</v>
      </c>
      <c r="AB18" s="34">
        <v>0.88</v>
      </c>
      <c r="AC18" s="11"/>
      <c r="AD18" s="12"/>
      <c r="AE18" s="12"/>
      <c r="AF18" s="12"/>
      <c r="AG18" s="13"/>
      <c r="AH18" s="32">
        <v>0.82</v>
      </c>
      <c r="AI18" s="33">
        <v>0.84</v>
      </c>
      <c r="AJ18" s="33">
        <v>0.86</v>
      </c>
      <c r="AK18" s="33">
        <v>0.88</v>
      </c>
      <c r="AL18" s="34">
        <v>0.9</v>
      </c>
      <c r="AM18" s="32">
        <v>0.8</v>
      </c>
      <c r="AN18" s="33">
        <v>0.82</v>
      </c>
      <c r="AO18" s="33">
        <v>0.84</v>
      </c>
      <c r="AP18" s="33">
        <v>0.86</v>
      </c>
      <c r="AQ18" s="34">
        <v>0.88</v>
      </c>
      <c r="AR18" s="32"/>
      <c r="AS18" s="12"/>
      <c r="AT18" s="12"/>
      <c r="AU18" s="12"/>
      <c r="AV18" s="13"/>
      <c r="AW18" s="11"/>
      <c r="AX18" s="12"/>
      <c r="AY18" s="12"/>
      <c r="AZ18" s="12"/>
      <c r="BA18" s="13"/>
      <c r="BB18" s="32">
        <v>0.84</v>
      </c>
      <c r="BC18" s="33">
        <v>0.86</v>
      </c>
      <c r="BD18" s="34">
        <v>0.88</v>
      </c>
      <c r="BE18" s="11"/>
      <c r="BF18" s="12"/>
      <c r="BG18" s="13"/>
      <c r="BH18" s="11"/>
      <c r="BI18" s="12"/>
      <c r="BJ18" s="12"/>
      <c r="BK18" s="12"/>
      <c r="BL18" s="13"/>
      <c r="BM18" s="32">
        <v>1.35</v>
      </c>
      <c r="BN18" s="33">
        <v>1.47</v>
      </c>
      <c r="BO18" s="33">
        <v>1.66</v>
      </c>
      <c r="BP18" s="33">
        <v>1.84</v>
      </c>
      <c r="BQ18" s="34">
        <v>1.95</v>
      </c>
      <c r="BR18" s="11"/>
      <c r="BS18" s="12"/>
      <c r="BT18" s="12"/>
      <c r="BU18" s="12"/>
      <c r="BV18" s="13"/>
      <c r="BW18" s="32">
        <v>1.2</v>
      </c>
      <c r="BX18" s="33">
        <v>1.38</v>
      </c>
      <c r="BY18" s="33">
        <v>1.63</v>
      </c>
      <c r="BZ18" s="33">
        <v>1.79</v>
      </c>
      <c r="CA18" s="34">
        <v>1.85</v>
      </c>
      <c r="CB18" s="32">
        <v>0.9</v>
      </c>
      <c r="CC18" s="33">
        <v>0.96</v>
      </c>
      <c r="CD18" s="33">
        <v>1.1299999999999999</v>
      </c>
      <c r="CE18" s="33">
        <v>1.28</v>
      </c>
      <c r="CF18" s="34">
        <v>1.35</v>
      </c>
      <c r="CG18" s="11">
        <v>21.94</v>
      </c>
      <c r="CH18" s="12">
        <v>24.29</v>
      </c>
      <c r="CI18" s="13">
        <v>26.54</v>
      </c>
      <c r="CJ18" s="11"/>
      <c r="CK18" s="12"/>
      <c r="CL18" s="13"/>
      <c r="CM18" s="11"/>
      <c r="CN18" s="12"/>
      <c r="CO18" s="13"/>
      <c r="CP18" s="32">
        <v>23.5</v>
      </c>
      <c r="CQ18" s="33">
        <v>25</v>
      </c>
      <c r="CR18" s="34">
        <v>26.66</v>
      </c>
      <c r="CS18" s="11"/>
      <c r="CT18" s="13"/>
      <c r="CU18" s="13"/>
      <c r="CV18" s="545"/>
      <c r="CW18" s="534"/>
      <c r="CX18" s="847"/>
      <c r="CY18" s="848"/>
      <c r="CZ18" s="849"/>
      <c r="DA18" s="847"/>
      <c r="DB18" s="848"/>
      <c r="DC18" s="849"/>
      <c r="DD18" s="847"/>
      <c r="DE18" s="848"/>
      <c r="DF18" s="849"/>
      <c r="DG18" s="847"/>
      <c r="DH18" s="848"/>
      <c r="DI18" s="849"/>
      <c r="DJ18" s="847"/>
      <c r="DK18" s="848"/>
      <c r="DL18" s="849" t="s">
        <v>468</v>
      </c>
      <c r="DM18" s="905">
        <v>50</v>
      </c>
      <c r="DN18" s="906">
        <v>50</v>
      </c>
      <c r="DO18" s="907">
        <v>50</v>
      </c>
      <c r="DP18" s="905">
        <v>50</v>
      </c>
      <c r="DQ18" s="906">
        <v>50</v>
      </c>
      <c r="DR18" s="907">
        <v>50</v>
      </c>
      <c r="DS18" s="33">
        <v>25</v>
      </c>
      <c r="DT18" s="238"/>
      <c r="DU18" s="580"/>
      <c r="DV18" s="156"/>
      <c r="DW18" s="146"/>
      <c r="DX18" s="133"/>
      <c r="DY18" s="133"/>
      <c r="DZ18" s="133"/>
      <c r="EA18" s="147"/>
      <c r="EB18" s="133"/>
      <c r="EC18" s="133"/>
      <c r="ED18" s="133"/>
      <c r="EE18" s="133"/>
      <c r="EF18" s="147"/>
      <c r="EG18" s="235"/>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row>
    <row r="19" spans="1:169" s="45" customFormat="1" ht="10.5" x14ac:dyDescent="0.25">
      <c r="A19" s="238"/>
      <c r="B19" s="464" t="s">
        <v>469</v>
      </c>
      <c r="C19" s="49" t="s">
        <v>449</v>
      </c>
      <c r="D19" s="50">
        <v>0.04</v>
      </c>
      <c r="E19" s="51">
        <v>0.03</v>
      </c>
      <c r="F19" s="51">
        <v>0.03</v>
      </c>
      <c r="G19" s="51">
        <v>0.03</v>
      </c>
      <c r="H19" s="52">
        <v>0.03</v>
      </c>
      <c r="I19" s="50"/>
      <c r="J19" s="51"/>
      <c r="K19" s="51"/>
      <c r="L19" s="51"/>
      <c r="M19" s="52"/>
      <c r="N19" s="50">
        <v>0.03</v>
      </c>
      <c r="O19" s="51">
        <v>0.03</v>
      </c>
      <c r="P19" s="51">
        <v>0.02</v>
      </c>
      <c r="Q19" s="51">
        <v>0.02</v>
      </c>
      <c r="R19" s="52">
        <v>0.02</v>
      </c>
      <c r="S19" s="53"/>
      <c r="T19" s="54"/>
      <c r="U19" s="54"/>
      <c r="V19" s="54"/>
      <c r="W19" s="55"/>
      <c r="X19" s="50"/>
      <c r="Y19" s="51"/>
      <c r="Z19" s="51"/>
      <c r="AA19" s="51"/>
      <c r="AB19" s="52"/>
      <c r="AC19" s="50"/>
      <c r="AD19" s="51"/>
      <c r="AE19" s="51"/>
      <c r="AF19" s="51"/>
      <c r="AG19" s="52"/>
      <c r="AH19" s="50"/>
      <c r="AI19" s="51"/>
      <c r="AJ19" s="51"/>
      <c r="AK19" s="51"/>
      <c r="AL19" s="52"/>
      <c r="AM19" s="50"/>
      <c r="AN19" s="51"/>
      <c r="AO19" s="51"/>
      <c r="AP19" s="51"/>
      <c r="AQ19" s="52"/>
      <c r="AR19" s="50"/>
      <c r="AS19" s="51"/>
      <c r="AT19" s="54"/>
      <c r="AU19" s="54"/>
      <c r="AV19" s="55"/>
      <c r="AW19" s="53"/>
      <c r="AX19" s="54"/>
      <c r="AY19" s="54"/>
      <c r="AZ19" s="51"/>
      <c r="BA19" s="52"/>
      <c r="BB19" s="50">
        <v>0.03</v>
      </c>
      <c r="BC19" s="51">
        <v>0.03</v>
      </c>
      <c r="BD19" s="52">
        <v>0.03</v>
      </c>
      <c r="BE19" s="50"/>
      <c r="BF19" s="51"/>
      <c r="BG19" s="52"/>
      <c r="BH19" s="50"/>
      <c r="BI19" s="51"/>
      <c r="BJ19" s="51"/>
      <c r="BK19" s="51"/>
      <c r="BL19" s="52"/>
      <c r="BM19" s="50">
        <v>0.05</v>
      </c>
      <c r="BN19" s="51">
        <v>0.05</v>
      </c>
      <c r="BO19" s="51">
        <v>0.05</v>
      </c>
      <c r="BP19" s="51">
        <v>0.05</v>
      </c>
      <c r="BQ19" s="52">
        <v>0.05</v>
      </c>
      <c r="BR19" s="50"/>
      <c r="BS19" s="51"/>
      <c r="BT19" s="51"/>
      <c r="BU19" s="51"/>
      <c r="BV19" s="52"/>
      <c r="BW19" s="50"/>
      <c r="BX19" s="51"/>
      <c r="BY19" s="51"/>
      <c r="BZ19" s="51"/>
      <c r="CA19" s="52"/>
      <c r="CB19" s="50">
        <v>0.08</v>
      </c>
      <c r="CC19" s="51">
        <v>0.08</v>
      </c>
      <c r="CD19" s="51">
        <v>0.08</v>
      </c>
      <c r="CE19" s="51">
        <v>0.08</v>
      </c>
      <c r="CF19" s="52">
        <v>0.08</v>
      </c>
      <c r="CG19" s="56">
        <v>0.06</v>
      </c>
      <c r="CH19" s="57">
        <v>5.1999999999999998E-2</v>
      </c>
      <c r="CI19" s="58">
        <v>4.7E-2</v>
      </c>
      <c r="CJ19" s="50"/>
      <c r="CK19" s="51"/>
      <c r="CL19" s="52"/>
      <c r="CM19" s="50"/>
      <c r="CN19" s="51"/>
      <c r="CO19" s="52"/>
      <c r="CP19" s="50">
        <v>0.06</v>
      </c>
      <c r="CQ19" s="57">
        <v>5.5E-2</v>
      </c>
      <c r="CR19" s="52">
        <v>0.04</v>
      </c>
      <c r="CS19" s="50">
        <v>0.1</v>
      </c>
      <c r="CT19" s="52">
        <v>0.1</v>
      </c>
      <c r="CU19" s="52">
        <v>0.1</v>
      </c>
      <c r="CV19" s="545"/>
      <c r="CW19" s="534"/>
      <c r="CX19" s="847"/>
      <c r="CY19" s="848"/>
      <c r="CZ19" s="849"/>
      <c r="DA19" s="847"/>
      <c r="DB19" s="848"/>
      <c r="DC19" s="849"/>
      <c r="DD19" s="847"/>
      <c r="DE19" s="848"/>
      <c r="DF19" s="849"/>
      <c r="DG19" s="847"/>
      <c r="DH19" s="848"/>
      <c r="DI19" s="849"/>
      <c r="DJ19" s="847"/>
      <c r="DK19" s="848"/>
      <c r="DL19" s="849" t="s">
        <v>470</v>
      </c>
      <c r="DM19" s="905">
        <v>60</v>
      </c>
      <c r="DN19" s="906">
        <v>60</v>
      </c>
      <c r="DO19" s="907">
        <v>60</v>
      </c>
      <c r="DP19" s="905">
        <v>30</v>
      </c>
      <c r="DQ19" s="906">
        <v>30</v>
      </c>
      <c r="DR19" s="907">
        <v>30</v>
      </c>
      <c r="DS19" s="57">
        <v>5.5E-2</v>
      </c>
      <c r="DT19" s="238"/>
      <c r="DU19" s="583" t="s">
        <v>471</v>
      </c>
      <c r="DV19" s="147" t="s">
        <v>472</v>
      </c>
      <c r="DW19" s="144">
        <v>2062.5</v>
      </c>
      <c r="DX19" s="132">
        <v>2200</v>
      </c>
      <c r="DY19" s="132">
        <v>2240</v>
      </c>
      <c r="DZ19" s="132">
        <v>2280</v>
      </c>
      <c r="EA19" s="145">
        <v>2465</v>
      </c>
      <c r="EB19" s="132">
        <v>1890</v>
      </c>
      <c r="EC19" s="132">
        <v>1934.75</v>
      </c>
      <c r="ED19" s="132">
        <v>1962</v>
      </c>
      <c r="EE19" s="132">
        <v>1989.25</v>
      </c>
      <c r="EF19" s="145">
        <v>2035</v>
      </c>
      <c r="EG19" s="235"/>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row>
    <row r="20" spans="1:169" s="45" customFormat="1" ht="10.5" x14ac:dyDescent="0.25">
      <c r="A20" s="238"/>
      <c r="B20" s="464" t="s">
        <v>473</v>
      </c>
      <c r="C20" s="49" t="s">
        <v>464</v>
      </c>
      <c r="D20" s="59">
        <v>300</v>
      </c>
      <c r="E20" s="60">
        <v>300</v>
      </c>
      <c r="F20" s="60">
        <v>300</v>
      </c>
      <c r="G20" s="60">
        <v>300</v>
      </c>
      <c r="H20" s="61">
        <v>300</v>
      </c>
      <c r="I20" s="59"/>
      <c r="J20" s="60"/>
      <c r="K20" s="60"/>
      <c r="L20" s="60"/>
      <c r="M20" s="61"/>
      <c r="N20" s="59"/>
      <c r="O20" s="60"/>
      <c r="P20" s="60"/>
      <c r="Q20" s="60"/>
      <c r="R20" s="61"/>
      <c r="S20" s="62"/>
      <c r="T20" s="63"/>
      <c r="U20" s="63"/>
      <c r="V20" s="63"/>
      <c r="W20" s="64"/>
      <c r="X20" s="59"/>
      <c r="Y20" s="60"/>
      <c r="Z20" s="60"/>
      <c r="AA20" s="60"/>
      <c r="AB20" s="61"/>
      <c r="AC20" s="59"/>
      <c r="AD20" s="60"/>
      <c r="AE20" s="60"/>
      <c r="AF20" s="60"/>
      <c r="AG20" s="61"/>
      <c r="AH20" s="59"/>
      <c r="AI20" s="60"/>
      <c r="AJ20" s="60"/>
      <c r="AK20" s="60"/>
      <c r="AL20" s="61"/>
      <c r="AM20" s="59"/>
      <c r="AN20" s="60"/>
      <c r="AO20" s="60"/>
      <c r="AP20" s="60"/>
      <c r="AQ20" s="61"/>
      <c r="AR20" s="59"/>
      <c r="AS20" s="60"/>
      <c r="AT20" s="63"/>
      <c r="AU20" s="63"/>
      <c r="AV20" s="64"/>
      <c r="AW20" s="62"/>
      <c r="AX20" s="63"/>
      <c r="AY20" s="63"/>
      <c r="AZ20" s="60"/>
      <c r="BA20" s="61"/>
      <c r="BB20" s="59"/>
      <c r="BC20" s="60"/>
      <c r="BD20" s="61"/>
      <c r="BE20" s="59"/>
      <c r="BF20" s="60"/>
      <c r="BG20" s="61"/>
      <c r="BH20" s="59">
        <v>75</v>
      </c>
      <c r="BI20" s="60">
        <v>78</v>
      </c>
      <c r="BJ20" s="60">
        <v>78</v>
      </c>
      <c r="BK20" s="60">
        <v>78</v>
      </c>
      <c r="BL20" s="61">
        <v>80</v>
      </c>
      <c r="BM20" s="59"/>
      <c r="BN20" s="60"/>
      <c r="BO20" s="60"/>
      <c r="BP20" s="60"/>
      <c r="BQ20" s="61"/>
      <c r="BR20" s="59"/>
      <c r="BS20" s="60"/>
      <c r="BT20" s="60"/>
      <c r="BU20" s="60"/>
      <c r="BV20" s="61"/>
      <c r="BW20" s="59"/>
      <c r="BX20" s="60"/>
      <c r="BY20" s="60"/>
      <c r="BZ20" s="60"/>
      <c r="CA20" s="61"/>
      <c r="CB20" s="59"/>
      <c r="CC20" s="60"/>
      <c r="CD20" s="60"/>
      <c r="CE20" s="60"/>
      <c r="CF20" s="61"/>
      <c r="CG20" s="59"/>
      <c r="CH20" s="60"/>
      <c r="CI20" s="61"/>
      <c r="CJ20" s="59"/>
      <c r="CK20" s="60"/>
      <c r="CL20" s="61"/>
      <c r="CM20" s="59"/>
      <c r="CN20" s="60"/>
      <c r="CO20" s="61"/>
      <c r="CP20" s="59"/>
      <c r="CQ20" s="60"/>
      <c r="CR20" s="61"/>
      <c r="CS20" s="59"/>
      <c r="CT20" s="61"/>
      <c r="CU20" s="61"/>
      <c r="CV20" s="545"/>
      <c r="CW20" s="534"/>
      <c r="CX20" s="847"/>
      <c r="CY20" s="848"/>
      <c r="CZ20" s="849"/>
      <c r="DA20" s="847"/>
      <c r="DB20" s="848"/>
      <c r="DC20" s="849"/>
      <c r="DD20" s="847"/>
      <c r="DE20" s="848"/>
      <c r="DF20" s="849"/>
      <c r="DG20" s="847"/>
      <c r="DH20" s="848"/>
      <c r="DI20" s="849"/>
      <c r="DJ20" s="847"/>
      <c r="DK20" s="848"/>
      <c r="DL20" s="849"/>
      <c r="DM20" s="847"/>
      <c r="DN20" s="848"/>
      <c r="DO20" s="849"/>
      <c r="DP20" s="847"/>
      <c r="DQ20" s="848"/>
      <c r="DR20" s="849"/>
      <c r="DS20" s="60"/>
      <c r="DT20" s="238"/>
      <c r="DU20" s="583" t="s">
        <v>474</v>
      </c>
      <c r="DV20" s="147" t="s">
        <v>472</v>
      </c>
      <c r="DW20" s="144">
        <v>113.8452380952381</v>
      </c>
      <c r="DX20" s="132">
        <v>116.6219512195122</v>
      </c>
      <c r="DY20" s="132">
        <v>120.45</v>
      </c>
      <c r="DZ20" s="132">
        <v>127.03896103896103</v>
      </c>
      <c r="EA20" s="145">
        <v>130.42666666666668</v>
      </c>
      <c r="EB20" s="132">
        <v>66.768292682926827</v>
      </c>
      <c r="EC20" s="132">
        <v>68.4375</v>
      </c>
      <c r="ED20" s="132">
        <v>72.05194805194806</v>
      </c>
      <c r="EE20" s="132">
        <v>75.959459459459467</v>
      </c>
      <c r="EF20" s="145">
        <v>77</v>
      </c>
      <c r="EG20" s="235"/>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row>
    <row r="21" spans="1:169" s="45" customFormat="1" ht="10.5" x14ac:dyDescent="0.25">
      <c r="A21" s="238"/>
      <c r="B21" s="46" t="s">
        <v>475</v>
      </c>
      <c r="C21" s="19" t="s">
        <v>476</v>
      </c>
      <c r="D21" s="29"/>
      <c r="E21" s="18"/>
      <c r="F21" s="18"/>
      <c r="G21" s="18"/>
      <c r="H21" s="19"/>
      <c r="I21" s="29"/>
      <c r="J21" s="18"/>
      <c r="K21" s="18"/>
      <c r="L21" s="18"/>
      <c r="M21" s="19"/>
      <c r="N21" s="29"/>
      <c r="O21" s="18"/>
      <c r="P21" s="18"/>
      <c r="Q21" s="18"/>
      <c r="R21" s="19"/>
      <c r="S21" s="29">
        <v>400</v>
      </c>
      <c r="T21" s="18">
        <v>400</v>
      </c>
      <c r="U21" s="18">
        <v>400</v>
      </c>
      <c r="V21" s="18">
        <v>400</v>
      </c>
      <c r="W21" s="19">
        <v>400</v>
      </c>
      <c r="X21" s="29"/>
      <c r="Y21" s="18"/>
      <c r="Z21" s="18"/>
      <c r="AA21" s="18"/>
      <c r="AB21" s="19"/>
      <c r="AC21" s="29"/>
      <c r="AD21" s="18"/>
      <c r="AE21" s="18"/>
      <c r="AF21" s="18"/>
      <c r="AG21" s="19"/>
      <c r="AH21" s="29"/>
      <c r="AI21" s="18"/>
      <c r="AJ21" s="18"/>
      <c r="AK21" s="18"/>
      <c r="AL21" s="19"/>
      <c r="AM21" s="29"/>
      <c r="AN21" s="18"/>
      <c r="AO21" s="18"/>
      <c r="AP21" s="18"/>
      <c r="AQ21" s="19"/>
      <c r="AR21" s="29">
        <v>345</v>
      </c>
      <c r="AS21" s="18">
        <v>345</v>
      </c>
      <c r="AT21" s="27">
        <v>345</v>
      </c>
      <c r="AU21" s="18">
        <v>345</v>
      </c>
      <c r="AV21" s="19">
        <v>345</v>
      </c>
      <c r="AW21" s="29">
        <v>355</v>
      </c>
      <c r="AX21" s="18">
        <v>355</v>
      </c>
      <c r="AY21" s="27">
        <v>355</v>
      </c>
      <c r="AZ21" s="18">
        <v>355</v>
      </c>
      <c r="BA21" s="19">
        <v>355</v>
      </c>
      <c r="BB21" s="29"/>
      <c r="BC21" s="18"/>
      <c r="BD21" s="19"/>
      <c r="BE21" s="29">
        <v>260</v>
      </c>
      <c r="BF21" s="18">
        <v>260</v>
      </c>
      <c r="BG21" s="19">
        <v>260</v>
      </c>
      <c r="BH21" s="29"/>
      <c r="BI21" s="18"/>
      <c r="BJ21" s="18"/>
      <c r="BK21" s="18"/>
      <c r="BL21" s="19"/>
      <c r="BM21" s="29"/>
      <c r="BN21" s="18"/>
      <c r="BO21" s="18"/>
      <c r="BP21" s="18"/>
      <c r="BQ21" s="19"/>
      <c r="BR21" s="29"/>
      <c r="BS21" s="18"/>
      <c r="BT21" s="18"/>
      <c r="BU21" s="18"/>
      <c r="BV21" s="19"/>
      <c r="BW21" s="29"/>
      <c r="BX21" s="18"/>
      <c r="BY21" s="18"/>
      <c r="BZ21" s="18"/>
      <c r="CA21" s="19"/>
      <c r="CB21" s="29"/>
      <c r="CC21" s="18"/>
      <c r="CD21" s="18"/>
      <c r="CE21" s="18"/>
      <c r="CF21" s="19"/>
      <c r="CG21" s="29"/>
      <c r="CH21" s="18"/>
      <c r="CI21" s="19"/>
      <c r="CJ21" s="29">
        <v>35</v>
      </c>
      <c r="CK21" s="18">
        <v>35</v>
      </c>
      <c r="CL21" s="19">
        <v>35</v>
      </c>
      <c r="CM21" s="29"/>
      <c r="CN21" s="18"/>
      <c r="CO21" s="19"/>
      <c r="CP21" s="29"/>
      <c r="CQ21" s="18"/>
      <c r="CR21" s="19"/>
      <c r="CS21" s="29"/>
      <c r="CT21" s="19"/>
      <c r="CU21" s="19"/>
      <c r="CV21" s="545"/>
      <c r="CW21" s="534"/>
      <c r="CX21" s="847"/>
      <c r="CY21" s="848"/>
      <c r="CZ21" s="849"/>
      <c r="DA21" s="847"/>
      <c r="DB21" s="848"/>
      <c r="DC21" s="849"/>
      <c r="DD21" s="847"/>
      <c r="DE21" s="848"/>
      <c r="DF21" s="849"/>
      <c r="DG21" s="847"/>
      <c r="DH21" s="848"/>
      <c r="DI21" s="849"/>
      <c r="DJ21" s="847"/>
      <c r="DK21" s="848"/>
      <c r="DL21" s="859" t="s">
        <v>477</v>
      </c>
      <c r="DM21" s="847"/>
      <c r="DN21" s="848"/>
      <c r="DO21" s="849"/>
      <c r="DP21" s="847"/>
      <c r="DQ21" s="848"/>
      <c r="DR21" s="849"/>
      <c r="DS21" s="18"/>
      <c r="DT21" s="238"/>
      <c r="DU21" s="583" t="s">
        <v>473</v>
      </c>
      <c r="DV21" s="147" t="s">
        <v>472</v>
      </c>
      <c r="DW21" s="148">
        <v>195.51999999999998</v>
      </c>
      <c r="DX21" s="134">
        <v>185.25</v>
      </c>
      <c r="DY21" s="134">
        <v>156</v>
      </c>
      <c r="DZ21" s="134">
        <v>126.1</v>
      </c>
      <c r="EA21" s="149">
        <v>126.1</v>
      </c>
      <c r="EB21" s="134">
        <v>114</v>
      </c>
      <c r="EC21" s="134">
        <v>108</v>
      </c>
      <c r="ED21" s="134">
        <v>90.9375</v>
      </c>
      <c r="EE21" s="134">
        <v>73.875</v>
      </c>
      <c r="EF21" s="149">
        <v>73.5</v>
      </c>
      <c r="EG21" s="235"/>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row>
    <row r="22" spans="1:169" s="45" customFormat="1" ht="11" thickBot="1" x14ac:dyDescent="0.3">
      <c r="A22" s="238"/>
      <c r="B22" s="46" t="s">
        <v>478</v>
      </c>
      <c r="C22" s="19" t="s">
        <v>458</v>
      </c>
      <c r="D22" s="29">
        <v>170</v>
      </c>
      <c r="E22" s="18">
        <v>170</v>
      </c>
      <c r="F22" s="18">
        <v>170</v>
      </c>
      <c r="G22" s="18">
        <v>170</v>
      </c>
      <c r="H22" s="19">
        <v>170</v>
      </c>
      <c r="I22" s="29">
        <v>170</v>
      </c>
      <c r="J22" s="18">
        <v>170</v>
      </c>
      <c r="K22" s="18">
        <v>170</v>
      </c>
      <c r="L22" s="18">
        <v>170</v>
      </c>
      <c r="M22" s="19">
        <v>170</v>
      </c>
      <c r="N22" s="29">
        <v>756</v>
      </c>
      <c r="O22" s="18">
        <v>756</v>
      </c>
      <c r="P22" s="18">
        <v>756</v>
      </c>
      <c r="Q22" s="18">
        <v>756</v>
      </c>
      <c r="R22" s="19">
        <v>756</v>
      </c>
      <c r="S22" s="29">
        <v>760</v>
      </c>
      <c r="T22" s="18">
        <v>760</v>
      </c>
      <c r="U22" s="18">
        <v>760</v>
      </c>
      <c r="V22" s="18">
        <v>760</v>
      </c>
      <c r="W22" s="19">
        <v>760</v>
      </c>
      <c r="X22" s="29">
        <v>170</v>
      </c>
      <c r="Y22" s="18">
        <v>170</v>
      </c>
      <c r="Z22" s="18">
        <v>170</v>
      </c>
      <c r="AA22" s="18">
        <v>170</v>
      </c>
      <c r="AB22" s="19">
        <v>170</v>
      </c>
      <c r="AC22" s="29">
        <v>741</v>
      </c>
      <c r="AD22" s="18">
        <v>741</v>
      </c>
      <c r="AE22" s="18">
        <v>741</v>
      </c>
      <c r="AF22" s="18">
        <v>741</v>
      </c>
      <c r="AG22" s="19">
        <v>741</v>
      </c>
      <c r="AH22" s="29">
        <v>170</v>
      </c>
      <c r="AI22" s="18">
        <v>170</v>
      </c>
      <c r="AJ22" s="18">
        <v>170</v>
      </c>
      <c r="AK22" s="18">
        <v>170</v>
      </c>
      <c r="AL22" s="19">
        <v>170</v>
      </c>
      <c r="AM22" s="29">
        <v>170</v>
      </c>
      <c r="AN22" s="18">
        <v>170</v>
      </c>
      <c r="AO22" s="18">
        <v>170</v>
      </c>
      <c r="AP22" s="18">
        <v>170</v>
      </c>
      <c r="AQ22" s="19">
        <v>170</v>
      </c>
      <c r="AR22" s="20">
        <v>668.61</v>
      </c>
      <c r="AS22" s="21">
        <v>665.33249999999998</v>
      </c>
      <c r="AT22" s="21">
        <v>662.05499999999995</v>
      </c>
      <c r="AU22" s="21">
        <v>662.05499999999995</v>
      </c>
      <c r="AV22" s="22">
        <v>662.05499999999995</v>
      </c>
      <c r="AW22" s="20">
        <v>687.99</v>
      </c>
      <c r="AX22" s="21">
        <v>684.61749999999995</v>
      </c>
      <c r="AY22" s="21">
        <v>681.245</v>
      </c>
      <c r="AZ22" s="21">
        <v>681.245</v>
      </c>
      <c r="BA22" s="22">
        <v>681.245</v>
      </c>
      <c r="BB22" s="29"/>
      <c r="BC22" s="18"/>
      <c r="BD22" s="19"/>
      <c r="BE22" s="29">
        <v>494</v>
      </c>
      <c r="BF22" s="21">
        <v>494</v>
      </c>
      <c r="BG22" s="19">
        <v>494</v>
      </c>
      <c r="BH22" s="29">
        <v>82</v>
      </c>
      <c r="BI22" s="18">
        <v>86.1</v>
      </c>
      <c r="BJ22" s="18">
        <v>86.1</v>
      </c>
      <c r="BK22" s="18">
        <v>86.1</v>
      </c>
      <c r="BL22" s="19">
        <v>92</v>
      </c>
      <c r="BM22" s="29"/>
      <c r="BN22" s="18"/>
      <c r="BO22" s="18"/>
      <c r="BP22" s="18"/>
      <c r="BQ22" s="19"/>
      <c r="BR22" s="29">
        <v>55</v>
      </c>
      <c r="BS22" s="18">
        <v>55</v>
      </c>
      <c r="BT22" s="18">
        <v>55</v>
      </c>
      <c r="BU22" s="18">
        <v>55</v>
      </c>
      <c r="BV22" s="19">
        <v>55</v>
      </c>
      <c r="BW22" s="29"/>
      <c r="BX22" s="18"/>
      <c r="BY22" s="18"/>
      <c r="BZ22" s="18"/>
      <c r="CA22" s="19"/>
      <c r="CB22" s="29"/>
      <c r="CC22" s="18"/>
      <c r="CD22" s="18"/>
      <c r="CE22" s="18"/>
      <c r="CF22" s="19"/>
      <c r="CG22" s="29"/>
      <c r="CH22" s="18"/>
      <c r="CI22" s="19"/>
      <c r="CJ22" s="20">
        <v>55</v>
      </c>
      <c r="CK22" s="21">
        <v>55</v>
      </c>
      <c r="CL22" s="22">
        <v>55</v>
      </c>
      <c r="CM22" s="29"/>
      <c r="CN22" s="18"/>
      <c r="CO22" s="19"/>
      <c r="CP22" s="29"/>
      <c r="CQ22" s="18"/>
      <c r="CR22" s="19"/>
      <c r="CS22" s="29">
        <v>0.7</v>
      </c>
      <c r="CT22" s="19">
        <v>0.7</v>
      </c>
      <c r="CU22" s="19">
        <v>0.7</v>
      </c>
      <c r="CV22" s="545"/>
      <c r="CW22" s="534"/>
      <c r="CX22" s="881">
        <v>1500</v>
      </c>
      <c r="CY22" s="882">
        <v>1500</v>
      </c>
      <c r="CZ22" s="883">
        <v>1500</v>
      </c>
      <c r="DA22" s="884">
        <v>250</v>
      </c>
      <c r="DB22" s="885">
        <v>250</v>
      </c>
      <c r="DC22" s="886">
        <v>250</v>
      </c>
      <c r="DD22" s="884"/>
      <c r="DE22" s="885"/>
      <c r="DF22" s="886"/>
      <c r="DG22" s="884"/>
      <c r="DH22" s="885"/>
      <c r="DI22" s="886"/>
      <c r="DJ22" s="884">
        <v>579</v>
      </c>
      <c r="DK22" s="885">
        <v>579</v>
      </c>
      <c r="DL22" s="849" t="s">
        <v>465</v>
      </c>
      <c r="DM22" s="884">
        <v>1.1000000000000001</v>
      </c>
      <c r="DN22" s="885">
        <v>1.18</v>
      </c>
      <c r="DO22" s="886">
        <v>1.25</v>
      </c>
      <c r="DP22" s="884">
        <v>0.8</v>
      </c>
      <c r="DQ22" s="885">
        <v>0.82</v>
      </c>
      <c r="DR22" s="886">
        <v>0.85</v>
      </c>
      <c r="DS22" s="18"/>
      <c r="DT22" s="238"/>
      <c r="DU22" s="584" t="s">
        <v>479</v>
      </c>
      <c r="DV22" s="147" t="s">
        <v>472</v>
      </c>
      <c r="DW22" s="148">
        <v>-485.3</v>
      </c>
      <c r="DX22" s="134">
        <v>-455.25</v>
      </c>
      <c r="DY22" s="134">
        <v>-379.62222222222221</v>
      </c>
      <c r="DZ22" s="134">
        <v>-304.38297872340428</v>
      </c>
      <c r="EA22" s="149">
        <v>-304.38297872340428</v>
      </c>
      <c r="EB22" s="134">
        <v>-373.25</v>
      </c>
      <c r="EC22" s="134">
        <v>-350.2</v>
      </c>
      <c r="ED22" s="134">
        <v>-292.07777777777778</v>
      </c>
      <c r="EE22" s="134">
        <v>-234.31914893617022</v>
      </c>
      <c r="EF22" s="149">
        <v>-234.34042553191489</v>
      </c>
      <c r="EG22" s="235"/>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row>
    <row r="23" spans="1:169" s="45" customFormat="1" ht="10.5" x14ac:dyDescent="0.25">
      <c r="A23" s="238"/>
      <c r="B23" s="46" t="s">
        <v>480</v>
      </c>
      <c r="C23" s="19" t="s">
        <v>449</v>
      </c>
      <c r="D23" s="65">
        <v>0.05</v>
      </c>
      <c r="E23" s="66">
        <v>0.05</v>
      </c>
      <c r="F23" s="66">
        <v>0.05</v>
      </c>
      <c r="G23" s="66">
        <v>0.05</v>
      </c>
      <c r="H23" s="67">
        <v>0.05</v>
      </c>
      <c r="I23" s="65">
        <v>0.03</v>
      </c>
      <c r="J23" s="66">
        <v>0.03</v>
      </c>
      <c r="K23" s="66">
        <v>0.03</v>
      </c>
      <c r="L23" s="66">
        <v>0.03</v>
      </c>
      <c r="M23" s="67">
        <v>0.03</v>
      </c>
      <c r="N23" s="65">
        <v>0.03</v>
      </c>
      <c r="O23" s="66">
        <v>0.03</v>
      </c>
      <c r="P23" s="66">
        <v>0.02</v>
      </c>
      <c r="Q23" s="66">
        <v>0.01</v>
      </c>
      <c r="R23" s="67">
        <v>0.01</v>
      </c>
      <c r="S23" s="65">
        <v>0.03</v>
      </c>
      <c r="T23" s="66">
        <v>2.5000000000000001E-2</v>
      </c>
      <c r="U23" s="66">
        <v>0.02</v>
      </c>
      <c r="V23" s="66">
        <v>1.4999999999999999E-2</v>
      </c>
      <c r="W23" s="67">
        <v>0.01</v>
      </c>
      <c r="X23" s="65">
        <v>0.04</v>
      </c>
      <c r="Y23" s="66">
        <v>0.04</v>
      </c>
      <c r="Z23" s="66">
        <v>0.04</v>
      </c>
      <c r="AA23" s="66">
        <v>0.04</v>
      </c>
      <c r="AB23" s="67">
        <v>0.04</v>
      </c>
      <c r="AC23" s="65">
        <v>0.03</v>
      </c>
      <c r="AD23" s="66">
        <v>0.03</v>
      </c>
      <c r="AE23" s="66">
        <v>0.02</v>
      </c>
      <c r="AF23" s="66">
        <v>0.01</v>
      </c>
      <c r="AG23" s="67">
        <v>0.01</v>
      </c>
      <c r="AH23" s="65">
        <v>0.03</v>
      </c>
      <c r="AI23" s="66">
        <v>0.03</v>
      </c>
      <c r="AJ23" s="66">
        <v>0.03</v>
      </c>
      <c r="AK23" s="66">
        <v>0.03</v>
      </c>
      <c r="AL23" s="67">
        <v>0.03</v>
      </c>
      <c r="AM23" s="65">
        <v>0.04</v>
      </c>
      <c r="AN23" s="66">
        <v>0.04</v>
      </c>
      <c r="AO23" s="66">
        <v>0.04</v>
      </c>
      <c r="AP23" s="66">
        <v>0.04</v>
      </c>
      <c r="AQ23" s="67">
        <v>0.04</v>
      </c>
      <c r="AR23" s="65">
        <v>0.02</v>
      </c>
      <c r="AS23" s="66">
        <v>1.4999999999999999E-2</v>
      </c>
      <c r="AT23" s="66">
        <v>0.01</v>
      </c>
      <c r="AU23" s="66">
        <v>0.01</v>
      </c>
      <c r="AV23" s="67">
        <v>0.01</v>
      </c>
      <c r="AW23" s="65">
        <v>0.02</v>
      </c>
      <c r="AX23" s="66">
        <v>1.4999999999999999E-2</v>
      </c>
      <c r="AY23" s="66">
        <v>0.01</v>
      </c>
      <c r="AZ23" s="66">
        <v>0.01</v>
      </c>
      <c r="BA23" s="67">
        <v>0.01</v>
      </c>
      <c r="BB23" s="65"/>
      <c r="BC23" s="66"/>
      <c r="BD23" s="67"/>
      <c r="BE23" s="68">
        <v>0.03</v>
      </c>
      <c r="BF23" s="66">
        <v>0.02</v>
      </c>
      <c r="BG23" s="31">
        <v>0.02</v>
      </c>
      <c r="BH23" s="68">
        <v>0.04</v>
      </c>
      <c r="BI23" s="66">
        <v>0.04</v>
      </c>
      <c r="BJ23" s="66">
        <v>0.04</v>
      </c>
      <c r="BK23" s="66">
        <v>0.04</v>
      </c>
      <c r="BL23" s="67">
        <v>0.04</v>
      </c>
      <c r="BM23" s="65">
        <v>0.14000000000000001</v>
      </c>
      <c r="BN23" s="66">
        <v>0.13</v>
      </c>
      <c r="BO23" s="66">
        <v>0.1</v>
      </c>
      <c r="BP23" s="66">
        <v>0.09</v>
      </c>
      <c r="BQ23" s="67">
        <v>0.08</v>
      </c>
      <c r="BR23" s="65">
        <v>0.04</v>
      </c>
      <c r="BS23" s="66">
        <v>0.04</v>
      </c>
      <c r="BT23" s="66">
        <v>0.04</v>
      </c>
      <c r="BU23" s="66">
        <v>0.04</v>
      </c>
      <c r="BV23" s="67">
        <v>0.04</v>
      </c>
      <c r="BW23" s="65">
        <v>0.13</v>
      </c>
      <c r="BX23" s="66">
        <v>0.13</v>
      </c>
      <c r="BY23" s="66">
        <v>0.11</v>
      </c>
      <c r="BZ23" s="66">
        <v>0.12</v>
      </c>
      <c r="CA23" s="67">
        <v>0.11</v>
      </c>
      <c r="CB23" s="65">
        <v>7.0000000000000007E-2</v>
      </c>
      <c r="CC23" s="66">
        <v>7.0000000000000007E-2</v>
      </c>
      <c r="CD23" s="66">
        <v>7.0000000000000007E-2</v>
      </c>
      <c r="CE23" s="66">
        <v>7.0000000000000007E-2</v>
      </c>
      <c r="CF23" s="67">
        <v>7.0000000000000007E-2</v>
      </c>
      <c r="CG23" s="65"/>
      <c r="CH23" s="66"/>
      <c r="CI23" s="67"/>
      <c r="CJ23" s="69">
        <v>3.2000000000000001E-2</v>
      </c>
      <c r="CK23" s="70">
        <v>0.03</v>
      </c>
      <c r="CL23" s="71">
        <v>2.8000000000000001E-2</v>
      </c>
      <c r="CM23" s="65"/>
      <c r="CN23" s="66"/>
      <c r="CO23" s="67"/>
      <c r="CP23" s="65"/>
      <c r="CQ23" s="66"/>
      <c r="CR23" s="67"/>
      <c r="CS23" s="65"/>
      <c r="CT23" s="67"/>
      <c r="CU23" s="67"/>
      <c r="CV23" s="545"/>
      <c r="CW23" s="534"/>
      <c r="CX23" s="884"/>
      <c r="CY23" s="885"/>
      <c r="CZ23" s="886"/>
      <c r="DA23" s="887">
        <v>0.05</v>
      </c>
      <c r="DB23" s="626">
        <v>0.05</v>
      </c>
      <c r="DC23" s="888">
        <v>0.05</v>
      </c>
      <c r="DD23" s="884"/>
      <c r="DE23" s="885"/>
      <c r="DF23" s="886"/>
      <c r="DG23" s="884"/>
      <c r="DH23" s="885"/>
      <c r="DI23" s="886"/>
      <c r="DJ23" s="884"/>
      <c r="DK23" s="885"/>
      <c r="DL23" s="849" t="s">
        <v>468</v>
      </c>
      <c r="DM23" s="887">
        <v>0.05</v>
      </c>
      <c r="DN23" s="626">
        <v>0.06</v>
      </c>
      <c r="DO23" s="888">
        <v>7.0000000000000007E-2</v>
      </c>
      <c r="DP23" s="887">
        <v>0.13</v>
      </c>
      <c r="DQ23" s="626">
        <v>0.14000000000000001</v>
      </c>
      <c r="DR23" s="888">
        <v>0.15</v>
      </c>
      <c r="DS23" s="66"/>
      <c r="DT23" s="238"/>
      <c r="DU23" s="610" t="s">
        <v>481</v>
      </c>
      <c r="DV23" s="506" t="s">
        <v>472</v>
      </c>
      <c r="DW23" s="507">
        <v>1886.5652380952381</v>
      </c>
      <c r="DX23" s="508">
        <v>2046.6219512195121</v>
      </c>
      <c r="DY23" s="508">
        <v>2136.8277777777798</v>
      </c>
      <c r="DZ23" s="508">
        <v>2228.7559823155566</v>
      </c>
      <c r="EA23" s="509">
        <v>2417.1436879432622</v>
      </c>
      <c r="EB23" s="508">
        <v>1697.5182926829268</v>
      </c>
      <c r="EC23" s="508">
        <v>1760.9875</v>
      </c>
      <c r="ED23" s="508">
        <v>1832.9116702741703</v>
      </c>
      <c r="EE23" s="508">
        <v>1904.7653105232894</v>
      </c>
      <c r="EF23" s="509">
        <v>1951.1595744680851</v>
      </c>
      <c r="EG23" s="235"/>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row>
    <row r="24" spans="1:169" s="45" customFormat="1" ht="11" thickBot="1" x14ac:dyDescent="0.3">
      <c r="A24" s="238"/>
      <c r="B24" s="465" t="s">
        <v>482</v>
      </c>
      <c r="C24" s="34" t="s">
        <v>458</v>
      </c>
      <c r="D24" s="32"/>
      <c r="E24" s="12"/>
      <c r="F24" s="12"/>
      <c r="G24" s="12"/>
      <c r="H24" s="13"/>
      <c r="I24" s="11">
        <v>1500</v>
      </c>
      <c r="J24" s="12">
        <v>1500</v>
      </c>
      <c r="K24" s="12">
        <v>1500</v>
      </c>
      <c r="L24" s="12">
        <v>1500</v>
      </c>
      <c r="M24" s="13">
        <v>1500</v>
      </c>
      <c r="N24" s="11"/>
      <c r="O24" s="12"/>
      <c r="P24" s="12"/>
      <c r="Q24" s="12"/>
      <c r="R24" s="13"/>
      <c r="S24" s="11"/>
      <c r="T24" s="12"/>
      <c r="U24" s="12"/>
      <c r="V24" s="12"/>
      <c r="W24" s="13"/>
      <c r="X24" s="11">
        <v>1500</v>
      </c>
      <c r="Y24" s="12">
        <v>1500</v>
      </c>
      <c r="Z24" s="12">
        <v>1500</v>
      </c>
      <c r="AA24" s="12">
        <v>1500</v>
      </c>
      <c r="AB24" s="13">
        <v>1500</v>
      </c>
      <c r="AC24" s="11"/>
      <c r="AD24" s="12"/>
      <c r="AE24" s="12"/>
      <c r="AF24" s="12"/>
      <c r="AG24" s="13"/>
      <c r="AH24" s="11">
        <v>1500</v>
      </c>
      <c r="AI24" s="12">
        <v>1500</v>
      </c>
      <c r="AJ24" s="12">
        <v>1500</v>
      </c>
      <c r="AK24" s="12">
        <v>1500</v>
      </c>
      <c r="AL24" s="13">
        <v>1500</v>
      </c>
      <c r="AM24" s="11">
        <v>1500</v>
      </c>
      <c r="AN24" s="12">
        <v>1500</v>
      </c>
      <c r="AO24" s="12">
        <v>1500</v>
      </c>
      <c r="AP24" s="12">
        <v>1500</v>
      </c>
      <c r="AQ24" s="13">
        <v>1500</v>
      </c>
      <c r="AR24" s="11"/>
      <c r="AS24" s="12"/>
      <c r="AT24" s="12"/>
      <c r="AU24" s="12"/>
      <c r="AV24" s="13"/>
      <c r="AW24" s="11"/>
      <c r="AX24" s="12"/>
      <c r="AY24" s="12"/>
      <c r="AZ24" s="12"/>
      <c r="BA24" s="13"/>
      <c r="BB24" s="11">
        <v>1350</v>
      </c>
      <c r="BC24" s="12">
        <v>1350</v>
      </c>
      <c r="BD24" s="13">
        <v>1350</v>
      </c>
      <c r="BE24" s="11"/>
      <c r="BF24" s="12"/>
      <c r="BG24" s="13"/>
      <c r="BH24" s="11"/>
      <c r="BI24" s="12"/>
      <c r="BJ24" s="12"/>
      <c r="BK24" s="12"/>
      <c r="BL24" s="13"/>
      <c r="BM24" s="11">
        <v>145</v>
      </c>
      <c r="BN24" s="12">
        <v>145</v>
      </c>
      <c r="BO24" s="12">
        <v>145</v>
      </c>
      <c r="BP24" s="12">
        <v>145</v>
      </c>
      <c r="BQ24" s="13">
        <v>145</v>
      </c>
      <c r="BR24" s="11"/>
      <c r="BS24" s="12"/>
      <c r="BT24" s="12"/>
      <c r="BU24" s="12"/>
      <c r="BV24" s="13"/>
      <c r="BW24" s="11">
        <v>135</v>
      </c>
      <c r="BX24" s="12">
        <v>135</v>
      </c>
      <c r="BY24" s="12">
        <v>135</v>
      </c>
      <c r="BZ24" s="12">
        <v>135</v>
      </c>
      <c r="CA24" s="13">
        <v>135</v>
      </c>
      <c r="CB24" s="11">
        <v>0</v>
      </c>
      <c r="CC24" s="12">
        <v>0.25</v>
      </c>
      <c r="CD24" s="12">
        <v>0.25</v>
      </c>
      <c r="CE24" s="12">
        <v>0.25</v>
      </c>
      <c r="CF24" s="13">
        <v>0</v>
      </c>
      <c r="CG24" s="11">
        <v>250</v>
      </c>
      <c r="CH24" s="12">
        <v>250</v>
      </c>
      <c r="CI24" s="13">
        <v>250</v>
      </c>
      <c r="CJ24" s="11"/>
      <c r="CK24" s="12"/>
      <c r="CL24" s="13"/>
      <c r="CM24" s="11"/>
      <c r="CN24" s="12"/>
      <c r="CO24" s="13"/>
      <c r="CP24" s="32">
        <v>4.0999999999999996</v>
      </c>
      <c r="CQ24" s="33">
        <v>4.0999999999999996</v>
      </c>
      <c r="CR24" s="34">
        <v>4.0999999999999996</v>
      </c>
      <c r="CS24" s="11"/>
      <c r="CT24" s="13"/>
      <c r="CU24" s="13"/>
      <c r="CV24" s="545"/>
      <c r="CW24" s="534"/>
      <c r="CX24" s="884"/>
      <c r="CY24" s="885"/>
      <c r="CZ24" s="886"/>
      <c r="DA24" s="884"/>
      <c r="DB24" s="885"/>
      <c r="DC24" s="886"/>
      <c r="DD24" s="884">
        <v>1620</v>
      </c>
      <c r="DE24" s="885">
        <v>1620</v>
      </c>
      <c r="DF24" s="886">
        <v>1620</v>
      </c>
      <c r="DG24" s="884">
        <v>1620</v>
      </c>
      <c r="DH24" s="885">
        <v>1620</v>
      </c>
      <c r="DI24" s="886">
        <v>1620</v>
      </c>
      <c r="DJ24" s="884"/>
      <c r="DK24" s="885"/>
      <c r="DL24" s="849" t="s">
        <v>470</v>
      </c>
      <c r="DM24" s="884">
        <v>0.21</v>
      </c>
      <c r="DN24" s="885">
        <v>0.21</v>
      </c>
      <c r="DO24" s="886">
        <v>0.21</v>
      </c>
      <c r="DP24" s="884">
        <v>0.26</v>
      </c>
      <c r="DQ24" s="885">
        <v>0.26</v>
      </c>
      <c r="DR24" s="886">
        <v>0.26</v>
      </c>
      <c r="DS24" s="33">
        <v>4.0999999999999996</v>
      </c>
      <c r="DT24" s="238"/>
      <c r="DU24" s="589"/>
      <c r="DV24" s="594" t="s">
        <v>425</v>
      </c>
      <c r="DW24" s="595">
        <f t="shared" ref="DW24:EF24" si="4">DW23*DW43</f>
        <v>3584.4739523809521</v>
      </c>
      <c r="DX24" s="511">
        <f t="shared" si="4"/>
        <v>4093.2439024390242</v>
      </c>
      <c r="DY24" s="511">
        <f>DY23*DY43</f>
        <v>4487.3383333333377</v>
      </c>
      <c r="DZ24" s="511">
        <f t="shared" si="4"/>
        <v>4903.2631610942253</v>
      </c>
      <c r="EA24" s="558">
        <f t="shared" si="4"/>
        <v>5317.7161134751768</v>
      </c>
      <c r="EB24" s="511">
        <f t="shared" si="4"/>
        <v>3904.2920731707313</v>
      </c>
      <c r="EC24" s="511">
        <f t="shared" si="4"/>
        <v>4226.37</v>
      </c>
      <c r="ED24" s="511">
        <f t="shared" si="4"/>
        <v>4582.2791756854258</v>
      </c>
      <c r="EE24" s="511">
        <f t="shared" si="4"/>
        <v>4952.3898073605524</v>
      </c>
      <c r="EF24" s="558">
        <f t="shared" si="4"/>
        <v>5268.1308510638301</v>
      </c>
      <c r="EG24" s="235"/>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row>
    <row r="25" spans="1:169" s="45" customFormat="1" ht="10.5" x14ac:dyDescent="0.25">
      <c r="A25" s="238"/>
      <c r="B25" s="465" t="s">
        <v>483</v>
      </c>
      <c r="C25" s="34" t="s">
        <v>458</v>
      </c>
      <c r="D25" s="32"/>
      <c r="E25" s="12"/>
      <c r="F25" s="12"/>
      <c r="G25" s="12"/>
      <c r="H25" s="13"/>
      <c r="I25" s="11">
        <v>500</v>
      </c>
      <c r="J25" s="12">
        <v>500</v>
      </c>
      <c r="K25" s="12">
        <v>500</v>
      </c>
      <c r="L25" s="12">
        <v>500</v>
      </c>
      <c r="M25" s="13">
        <v>500</v>
      </c>
      <c r="N25" s="11"/>
      <c r="O25" s="12"/>
      <c r="P25" s="12"/>
      <c r="Q25" s="12"/>
      <c r="R25" s="13"/>
      <c r="S25" s="11"/>
      <c r="T25" s="12"/>
      <c r="U25" s="12"/>
      <c r="V25" s="12"/>
      <c r="W25" s="13"/>
      <c r="X25" s="11">
        <v>500</v>
      </c>
      <c r="Y25" s="12">
        <v>500</v>
      </c>
      <c r="Z25" s="12">
        <v>500</v>
      </c>
      <c r="AA25" s="12">
        <v>500</v>
      </c>
      <c r="AB25" s="13">
        <v>500</v>
      </c>
      <c r="AC25" s="11"/>
      <c r="AD25" s="12"/>
      <c r="AE25" s="12"/>
      <c r="AF25" s="12"/>
      <c r="AG25" s="13"/>
      <c r="AH25" s="11">
        <v>500</v>
      </c>
      <c r="AI25" s="12">
        <v>500</v>
      </c>
      <c r="AJ25" s="12">
        <v>500</v>
      </c>
      <c r="AK25" s="12">
        <v>500</v>
      </c>
      <c r="AL25" s="13">
        <v>500</v>
      </c>
      <c r="AM25" s="11">
        <v>500</v>
      </c>
      <c r="AN25" s="12">
        <v>500</v>
      </c>
      <c r="AO25" s="12">
        <v>500</v>
      </c>
      <c r="AP25" s="12">
        <v>500</v>
      </c>
      <c r="AQ25" s="13">
        <v>500</v>
      </c>
      <c r="AR25" s="11"/>
      <c r="AS25" s="12"/>
      <c r="AT25" s="12"/>
      <c r="AU25" s="12"/>
      <c r="AV25" s="13"/>
      <c r="AW25" s="11"/>
      <c r="AX25" s="12"/>
      <c r="AY25" s="12"/>
      <c r="AZ25" s="12"/>
      <c r="BA25" s="13"/>
      <c r="BB25" s="11">
        <v>500</v>
      </c>
      <c r="BC25" s="12">
        <v>500</v>
      </c>
      <c r="BD25" s="13">
        <v>500</v>
      </c>
      <c r="BE25" s="11"/>
      <c r="BF25" s="12"/>
      <c r="BG25" s="13"/>
      <c r="BH25" s="11"/>
      <c r="BI25" s="12"/>
      <c r="BJ25" s="12"/>
      <c r="BK25" s="12"/>
      <c r="BL25" s="13"/>
      <c r="BM25" s="11">
        <v>65</v>
      </c>
      <c r="BN25" s="12">
        <v>65</v>
      </c>
      <c r="BO25" s="12">
        <v>65</v>
      </c>
      <c r="BP25" s="12">
        <v>65</v>
      </c>
      <c r="BQ25" s="13">
        <v>65</v>
      </c>
      <c r="BR25" s="11"/>
      <c r="BS25" s="12"/>
      <c r="BT25" s="12"/>
      <c r="BU25" s="12"/>
      <c r="BV25" s="13"/>
      <c r="BW25" s="11">
        <v>37.5</v>
      </c>
      <c r="BX25" s="12">
        <v>37.5</v>
      </c>
      <c r="BY25" s="12">
        <v>37.5</v>
      </c>
      <c r="BZ25" s="12">
        <v>37.5</v>
      </c>
      <c r="CA25" s="13">
        <v>37.5</v>
      </c>
      <c r="CB25" s="11">
        <v>42</v>
      </c>
      <c r="CC25" s="12">
        <v>42</v>
      </c>
      <c r="CD25" s="12">
        <v>42</v>
      </c>
      <c r="CE25" s="12">
        <v>42</v>
      </c>
      <c r="CF25" s="13">
        <v>42</v>
      </c>
      <c r="CG25" s="11">
        <v>86.4</v>
      </c>
      <c r="CH25" s="12">
        <v>86.4</v>
      </c>
      <c r="CI25" s="13">
        <v>86.4</v>
      </c>
      <c r="CJ25" s="11"/>
      <c r="CK25" s="12"/>
      <c r="CL25" s="13"/>
      <c r="CM25" s="11"/>
      <c r="CN25" s="12"/>
      <c r="CO25" s="13"/>
      <c r="CP25" s="32">
        <v>0.1</v>
      </c>
      <c r="CQ25" s="33">
        <v>0.1</v>
      </c>
      <c r="CR25" s="34">
        <v>0.1</v>
      </c>
      <c r="CS25" s="11"/>
      <c r="CT25" s="13"/>
      <c r="CU25" s="13"/>
      <c r="CV25" s="545"/>
      <c r="CW25" s="534"/>
      <c r="CX25" s="884">
        <v>650</v>
      </c>
      <c r="CY25" s="885">
        <v>650</v>
      </c>
      <c r="CZ25" s="886">
        <v>650</v>
      </c>
      <c r="DA25" s="884"/>
      <c r="DB25" s="885"/>
      <c r="DC25" s="886"/>
      <c r="DD25" s="884"/>
      <c r="DE25" s="885"/>
      <c r="DF25" s="886"/>
      <c r="DG25" s="884"/>
      <c r="DH25" s="885"/>
      <c r="DI25" s="886"/>
      <c r="DJ25" s="884"/>
      <c r="DK25" s="885"/>
      <c r="DL25" s="849"/>
      <c r="DM25" s="847"/>
      <c r="DN25" s="848"/>
      <c r="DO25" s="849"/>
      <c r="DP25" s="847"/>
      <c r="DQ25" s="848"/>
      <c r="DR25" s="849"/>
      <c r="DS25" s="33">
        <v>0.1</v>
      </c>
      <c r="DT25" s="238"/>
      <c r="DU25" s="585"/>
      <c r="DV25" s="555"/>
      <c r="DW25" s="554"/>
      <c r="EA25" s="555"/>
      <c r="EF25" s="555"/>
      <c r="EG25" s="235"/>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row>
    <row r="26" spans="1:169" s="45" customFormat="1" ht="10.5" x14ac:dyDescent="0.25">
      <c r="A26" s="238"/>
      <c r="B26" s="464" t="s">
        <v>484</v>
      </c>
      <c r="C26" s="13" t="s">
        <v>485</v>
      </c>
      <c r="D26" s="11"/>
      <c r="E26" s="12"/>
      <c r="F26" s="12"/>
      <c r="G26" s="12"/>
      <c r="H26" s="13"/>
      <c r="I26" s="73">
        <v>7.5</v>
      </c>
      <c r="J26" s="12">
        <v>8</v>
      </c>
      <c r="K26" s="12">
        <v>8</v>
      </c>
      <c r="L26" s="12">
        <v>8</v>
      </c>
      <c r="M26" s="74">
        <v>8.5</v>
      </c>
      <c r="N26" s="11"/>
      <c r="O26" s="12"/>
      <c r="P26" s="12"/>
      <c r="Q26" s="12"/>
      <c r="R26" s="13"/>
      <c r="S26" s="11"/>
      <c r="T26" s="12"/>
      <c r="U26" s="12"/>
      <c r="V26" s="12"/>
      <c r="W26" s="13"/>
      <c r="X26" s="11">
        <v>7</v>
      </c>
      <c r="Y26" s="12">
        <v>7</v>
      </c>
      <c r="Z26" s="12">
        <v>7</v>
      </c>
      <c r="AA26" s="12">
        <v>7</v>
      </c>
      <c r="AB26" s="13">
        <v>7</v>
      </c>
      <c r="AC26" s="11"/>
      <c r="AD26" s="12"/>
      <c r="AE26" s="12"/>
      <c r="AF26" s="12"/>
      <c r="AG26" s="13"/>
      <c r="AH26" s="11">
        <v>8</v>
      </c>
      <c r="AI26" s="12">
        <v>8</v>
      </c>
      <c r="AJ26" s="12">
        <v>8</v>
      </c>
      <c r="AK26" s="12">
        <v>8</v>
      </c>
      <c r="AL26" s="13">
        <v>8</v>
      </c>
      <c r="AM26" s="11">
        <v>7</v>
      </c>
      <c r="AN26" s="12">
        <v>7</v>
      </c>
      <c r="AO26" s="12">
        <v>7</v>
      </c>
      <c r="AP26" s="12">
        <v>7</v>
      </c>
      <c r="AQ26" s="13">
        <v>7</v>
      </c>
      <c r="AR26" s="11"/>
      <c r="AS26" s="12"/>
      <c r="AT26" s="12"/>
      <c r="AU26" s="12"/>
      <c r="AV26" s="13"/>
      <c r="AW26" s="11"/>
      <c r="AX26" s="12"/>
      <c r="AY26" s="12"/>
      <c r="AZ26" s="12"/>
      <c r="BA26" s="13"/>
      <c r="BB26" s="11">
        <v>8</v>
      </c>
      <c r="BC26" s="12">
        <v>8</v>
      </c>
      <c r="BD26" s="13">
        <v>8</v>
      </c>
      <c r="BE26" s="11"/>
      <c r="BF26" s="12"/>
      <c r="BG26" s="13"/>
      <c r="BH26" s="11"/>
      <c r="BI26" s="12"/>
      <c r="BJ26" s="12"/>
      <c r="BK26" s="12"/>
      <c r="BL26" s="13"/>
      <c r="BM26" s="11">
        <v>5</v>
      </c>
      <c r="BN26" s="12">
        <v>5</v>
      </c>
      <c r="BO26" s="12">
        <v>5</v>
      </c>
      <c r="BP26" s="12">
        <v>5</v>
      </c>
      <c r="BQ26" s="13">
        <v>5</v>
      </c>
      <c r="BR26" s="11"/>
      <c r="BS26" s="12"/>
      <c r="BT26" s="12"/>
      <c r="BU26" s="12"/>
      <c r="BV26" s="13"/>
      <c r="BW26" s="11">
        <v>4</v>
      </c>
      <c r="BX26" s="12">
        <v>4</v>
      </c>
      <c r="BY26" s="12">
        <v>4</v>
      </c>
      <c r="BZ26" s="12">
        <v>4</v>
      </c>
      <c r="CA26" s="13">
        <v>4</v>
      </c>
      <c r="CB26" s="11">
        <v>4</v>
      </c>
      <c r="CC26" s="12">
        <v>4</v>
      </c>
      <c r="CD26" s="12">
        <v>4</v>
      </c>
      <c r="CE26" s="12">
        <v>4</v>
      </c>
      <c r="CF26" s="13">
        <v>4</v>
      </c>
      <c r="CG26" s="50">
        <v>0.49</v>
      </c>
      <c r="CH26" s="51">
        <v>0.49</v>
      </c>
      <c r="CI26" s="52">
        <v>0.49</v>
      </c>
      <c r="CJ26" s="11"/>
      <c r="CK26" s="12"/>
      <c r="CL26" s="13"/>
      <c r="CM26" s="11"/>
      <c r="CN26" s="12"/>
      <c r="CO26" s="13"/>
      <c r="CP26" s="11"/>
      <c r="CQ26" s="12"/>
      <c r="CR26" s="13"/>
      <c r="CS26" s="11"/>
      <c r="CT26" s="13"/>
      <c r="CU26" s="13"/>
      <c r="CV26" s="545"/>
      <c r="CW26" s="534"/>
      <c r="CX26" s="884"/>
      <c r="CY26" s="885"/>
      <c r="CZ26" s="886"/>
      <c r="DA26" s="884"/>
      <c r="DB26" s="885"/>
      <c r="DC26" s="886"/>
      <c r="DD26" s="884"/>
      <c r="DE26" s="885"/>
      <c r="DF26" s="886"/>
      <c r="DG26" s="884"/>
      <c r="DH26" s="885"/>
      <c r="DI26" s="886"/>
      <c r="DJ26" s="884"/>
      <c r="DK26" s="885"/>
      <c r="DL26" s="859" t="s">
        <v>486</v>
      </c>
      <c r="DM26" s="847"/>
      <c r="DN26" s="848"/>
      <c r="DO26" s="849"/>
      <c r="DP26" s="847"/>
      <c r="DQ26" s="848"/>
      <c r="DR26" s="849"/>
      <c r="DS26" s="12"/>
      <c r="DT26" s="238"/>
      <c r="DU26" s="583" t="s">
        <v>487</v>
      </c>
      <c r="DV26" s="154"/>
      <c r="DW26" s="144"/>
      <c r="DX26" s="132"/>
      <c r="DY26" s="132"/>
      <c r="DZ26" s="132"/>
      <c r="EA26" s="145"/>
      <c r="EB26" s="132"/>
      <c r="EC26" s="132"/>
      <c r="ED26" s="132"/>
      <c r="EE26" s="132"/>
      <c r="EF26" s="145"/>
      <c r="EG26" s="235"/>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row>
    <row r="27" spans="1:169" s="45" customFormat="1" ht="10.5" x14ac:dyDescent="0.25">
      <c r="A27" s="238"/>
      <c r="B27" s="466" t="s">
        <v>488</v>
      </c>
      <c r="C27" s="30" t="s">
        <v>489</v>
      </c>
      <c r="D27" s="35"/>
      <c r="E27" s="17"/>
      <c r="F27" s="17"/>
      <c r="G27" s="17"/>
      <c r="H27" s="30"/>
      <c r="I27" s="35">
        <v>23</v>
      </c>
      <c r="J27" s="17">
        <v>23</v>
      </c>
      <c r="K27" s="17">
        <v>23</v>
      </c>
      <c r="L27" s="17">
        <v>23</v>
      </c>
      <c r="M27" s="30">
        <v>23</v>
      </c>
      <c r="N27" s="35"/>
      <c r="O27" s="17"/>
      <c r="P27" s="17"/>
      <c r="Q27" s="17"/>
      <c r="R27" s="30"/>
      <c r="S27" s="35"/>
      <c r="T27" s="17"/>
      <c r="U27" s="17"/>
      <c r="V27" s="17"/>
      <c r="W27" s="30"/>
      <c r="X27" s="35">
        <v>22.666666666666668</v>
      </c>
      <c r="Y27" s="17">
        <v>22.666666666666668</v>
      </c>
      <c r="Z27" s="17">
        <v>22.666666666666668</v>
      </c>
      <c r="AA27" s="17">
        <v>22.666666666666668</v>
      </c>
      <c r="AB27" s="30">
        <v>22.666666666666668</v>
      </c>
      <c r="AC27" s="35"/>
      <c r="AD27" s="17"/>
      <c r="AE27" s="17"/>
      <c r="AF27" s="17"/>
      <c r="AG27" s="30"/>
      <c r="AH27" s="35">
        <v>30</v>
      </c>
      <c r="AI27" s="17">
        <v>30</v>
      </c>
      <c r="AJ27" s="17">
        <v>30</v>
      </c>
      <c r="AK27" s="17">
        <v>30</v>
      </c>
      <c r="AL27" s="30">
        <v>30</v>
      </c>
      <c r="AM27" s="35">
        <v>30</v>
      </c>
      <c r="AN27" s="17">
        <v>30</v>
      </c>
      <c r="AO27" s="17">
        <v>30</v>
      </c>
      <c r="AP27" s="17">
        <v>30</v>
      </c>
      <c r="AQ27" s="30">
        <v>30</v>
      </c>
      <c r="AR27" s="35"/>
      <c r="AS27" s="17"/>
      <c r="AT27" s="17"/>
      <c r="AU27" s="17"/>
      <c r="AV27" s="30"/>
      <c r="AW27" s="35"/>
      <c r="AX27" s="17"/>
      <c r="AY27" s="17"/>
      <c r="AZ27" s="17"/>
      <c r="BA27" s="30"/>
      <c r="BB27" s="29">
        <v>24</v>
      </c>
      <c r="BC27" s="18">
        <v>24</v>
      </c>
      <c r="BD27" s="19">
        <v>24</v>
      </c>
      <c r="BE27" s="35"/>
      <c r="BF27" s="17"/>
      <c r="BG27" s="30"/>
      <c r="BH27" s="35"/>
      <c r="BI27" s="17"/>
      <c r="BJ27" s="17"/>
      <c r="BK27" s="17"/>
      <c r="BL27" s="30"/>
      <c r="BM27" s="35">
        <v>2.8</v>
      </c>
      <c r="BN27" s="17">
        <v>2.79</v>
      </c>
      <c r="BO27" s="17">
        <v>2.79</v>
      </c>
      <c r="BP27" s="17">
        <v>2.79</v>
      </c>
      <c r="BQ27" s="30">
        <v>2.8</v>
      </c>
      <c r="BR27" s="35"/>
      <c r="BS27" s="17"/>
      <c r="BT27" s="17"/>
      <c r="BU27" s="17"/>
      <c r="BV27" s="30"/>
      <c r="BW27" s="11">
        <v>5</v>
      </c>
      <c r="BX27" s="12">
        <v>5</v>
      </c>
      <c r="BY27" s="17">
        <v>5</v>
      </c>
      <c r="BZ27" s="12">
        <v>5</v>
      </c>
      <c r="CA27" s="13">
        <v>5</v>
      </c>
      <c r="CB27" s="35">
        <v>5.7</v>
      </c>
      <c r="CC27" s="17">
        <v>5.71</v>
      </c>
      <c r="CD27" s="17">
        <v>5.71</v>
      </c>
      <c r="CE27" s="17">
        <v>5.71</v>
      </c>
      <c r="CF27" s="30">
        <v>5.7</v>
      </c>
      <c r="CG27" s="29">
        <v>19.579999999999998</v>
      </c>
      <c r="CH27" s="18">
        <v>19.579999999999998</v>
      </c>
      <c r="CI27" s="19">
        <v>19.579999999999998</v>
      </c>
      <c r="CJ27" s="35"/>
      <c r="CK27" s="17"/>
      <c r="CL27" s="30"/>
      <c r="CM27" s="35"/>
      <c r="CN27" s="17"/>
      <c r="CO27" s="30"/>
      <c r="CP27" s="35"/>
      <c r="CQ27" s="17"/>
      <c r="CR27" s="30"/>
      <c r="CS27" s="35"/>
      <c r="CT27" s="30"/>
      <c r="CU27" s="30"/>
      <c r="CV27" s="545"/>
      <c r="CW27" s="534"/>
      <c r="CX27" s="884"/>
      <c r="CY27" s="885"/>
      <c r="CZ27" s="886"/>
      <c r="DA27" s="884"/>
      <c r="DB27" s="885"/>
      <c r="DC27" s="886"/>
      <c r="DD27" s="884"/>
      <c r="DE27" s="885"/>
      <c r="DF27" s="886"/>
      <c r="DG27" s="884"/>
      <c r="DH27" s="885"/>
      <c r="DI27" s="886"/>
      <c r="DJ27" s="884"/>
      <c r="DK27" s="885"/>
      <c r="DL27" s="849" t="s">
        <v>465</v>
      </c>
      <c r="DM27" s="860">
        <f>DM17*DM22</f>
        <v>76.912000000000006</v>
      </c>
      <c r="DN27" s="628">
        <f t="shared" ref="DN27:DR29" si="5">DN17*DN22</f>
        <v>82.505600000000001</v>
      </c>
      <c r="DO27" s="861">
        <f t="shared" si="5"/>
        <v>87.4</v>
      </c>
      <c r="DP27" s="860">
        <f t="shared" si="5"/>
        <v>51.52000000000001</v>
      </c>
      <c r="DQ27" s="628">
        <f t="shared" si="5"/>
        <v>52.808</v>
      </c>
      <c r="DR27" s="861">
        <f t="shared" si="5"/>
        <v>54.74</v>
      </c>
      <c r="DS27" s="17"/>
      <c r="DT27" s="238"/>
      <c r="DU27" s="583" t="s">
        <v>490</v>
      </c>
      <c r="DV27" s="154" t="s">
        <v>491</v>
      </c>
      <c r="DW27" s="169">
        <v>0.35499999999999998</v>
      </c>
      <c r="DX27" s="170">
        <v>0.34</v>
      </c>
      <c r="DY27" s="170">
        <v>0.32500000000000001</v>
      </c>
      <c r="DZ27" s="170">
        <v>0.31</v>
      </c>
      <c r="EA27" s="171">
        <v>0.3</v>
      </c>
      <c r="EB27" s="170">
        <v>0.35499999999999998</v>
      </c>
      <c r="EC27" s="170">
        <v>0.34</v>
      </c>
      <c r="ED27" s="170">
        <v>0.32</v>
      </c>
      <c r="EE27" s="170">
        <v>0.31</v>
      </c>
      <c r="EF27" s="171">
        <v>0.3</v>
      </c>
      <c r="EG27" s="235"/>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row>
    <row r="28" spans="1:169" s="45" customFormat="1" ht="10.5" x14ac:dyDescent="0.25">
      <c r="A28" s="238"/>
      <c r="B28" s="466" t="s">
        <v>492</v>
      </c>
      <c r="C28" s="19"/>
      <c r="D28" s="29"/>
      <c r="E28" s="18"/>
      <c r="F28" s="18"/>
      <c r="G28" s="18"/>
      <c r="H28" s="19"/>
      <c r="I28" s="29">
        <v>187</v>
      </c>
      <c r="J28" s="18">
        <v>187</v>
      </c>
      <c r="K28" s="18">
        <v>187</v>
      </c>
      <c r="L28" s="18">
        <v>187</v>
      </c>
      <c r="M28" s="19">
        <v>187</v>
      </c>
      <c r="N28" s="29"/>
      <c r="O28" s="18"/>
      <c r="P28" s="18"/>
      <c r="Q28" s="18"/>
      <c r="R28" s="19"/>
      <c r="S28" s="29"/>
      <c r="T28" s="18"/>
      <c r="U28" s="18"/>
      <c r="V28" s="18"/>
      <c r="W28" s="19"/>
      <c r="X28" s="29">
        <v>187</v>
      </c>
      <c r="Y28" s="18">
        <v>187</v>
      </c>
      <c r="Z28" s="18">
        <v>187</v>
      </c>
      <c r="AA28" s="18">
        <v>187</v>
      </c>
      <c r="AB28" s="19">
        <v>187</v>
      </c>
      <c r="AC28" s="29"/>
      <c r="AD28" s="18"/>
      <c r="AE28" s="18"/>
      <c r="AF28" s="18"/>
      <c r="AG28" s="19"/>
      <c r="AH28" s="29">
        <v>194</v>
      </c>
      <c r="AI28" s="18">
        <v>194</v>
      </c>
      <c r="AJ28" s="18">
        <v>194</v>
      </c>
      <c r="AK28" s="18">
        <v>194</v>
      </c>
      <c r="AL28" s="19">
        <v>194</v>
      </c>
      <c r="AM28" s="29">
        <v>194</v>
      </c>
      <c r="AN28" s="18">
        <v>194</v>
      </c>
      <c r="AO28" s="18">
        <v>194</v>
      </c>
      <c r="AP28" s="18">
        <v>194</v>
      </c>
      <c r="AQ28" s="19">
        <v>194</v>
      </c>
      <c r="AR28" s="29"/>
      <c r="AS28" s="18"/>
      <c r="AT28" s="18"/>
      <c r="AU28" s="18"/>
      <c r="AV28" s="19"/>
      <c r="AW28" s="29"/>
      <c r="AX28" s="18"/>
      <c r="AY28" s="18"/>
      <c r="AZ28" s="18"/>
      <c r="BA28" s="19"/>
      <c r="BB28" s="42">
        <v>154</v>
      </c>
      <c r="BC28" s="43">
        <v>154</v>
      </c>
      <c r="BD28" s="36">
        <v>154</v>
      </c>
      <c r="BE28" s="29"/>
      <c r="BF28" s="18"/>
      <c r="BG28" s="19"/>
      <c r="BH28" s="29"/>
      <c r="BI28" s="18"/>
      <c r="BJ28" s="18"/>
      <c r="BK28" s="18"/>
      <c r="BL28" s="19"/>
      <c r="BM28" s="29"/>
      <c r="BN28" s="18"/>
      <c r="BO28" s="18"/>
      <c r="BP28" s="18"/>
      <c r="BQ28" s="19"/>
      <c r="BR28" s="29"/>
      <c r="BS28" s="18"/>
      <c r="BT28" s="18"/>
      <c r="BU28" s="18"/>
      <c r="BV28" s="19"/>
      <c r="BW28" s="29"/>
      <c r="BX28" s="18"/>
      <c r="BY28" s="18"/>
      <c r="BZ28" s="18"/>
      <c r="CA28" s="19"/>
      <c r="CB28" s="29"/>
      <c r="CC28" s="18"/>
      <c r="CD28" s="18"/>
      <c r="CE28" s="18"/>
      <c r="CF28" s="19"/>
      <c r="CG28" s="29"/>
      <c r="CH28" s="40"/>
      <c r="CI28" s="19"/>
      <c r="CJ28" s="29"/>
      <c r="CK28" s="18"/>
      <c r="CL28" s="19"/>
      <c r="CM28" s="29"/>
      <c r="CN28" s="18"/>
      <c r="CO28" s="19"/>
      <c r="CP28" s="29"/>
      <c r="CQ28" s="18"/>
      <c r="CR28" s="19"/>
      <c r="CS28" s="29"/>
      <c r="CT28" s="19"/>
      <c r="CU28" s="19"/>
      <c r="CV28" s="545"/>
      <c r="CW28" s="534" t="s">
        <v>493</v>
      </c>
      <c r="CX28" s="884">
        <v>6000</v>
      </c>
      <c r="CY28" s="885">
        <v>6000</v>
      </c>
      <c r="CZ28" s="886">
        <f>CY28</f>
        <v>6000</v>
      </c>
      <c r="DA28" s="884"/>
      <c r="DB28" s="885"/>
      <c r="DC28" s="886"/>
      <c r="DD28" s="884"/>
      <c r="DE28" s="885"/>
      <c r="DF28" s="886"/>
      <c r="DG28" s="884"/>
      <c r="DH28" s="885"/>
      <c r="DI28" s="886"/>
      <c r="DJ28" s="884"/>
      <c r="DK28" s="885"/>
      <c r="DL28" s="849" t="s">
        <v>468</v>
      </c>
      <c r="DM28" s="847">
        <f>DM18*DM23</f>
        <v>2.5</v>
      </c>
      <c r="DN28" s="848">
        <f t="shared" si="5"/>
        <v>3</v>
      </c>
      <c r="DO28" s="849">
        <f t="shared" si="5"/>
        <v>3.5000000000000004</v>
      </c>
      <c r="DP28" s="847">
        <f t="shared" si="5"/>
        <v>6.5</v>
      </c>
      <c r="DQ28" s="848">
        <f t="shared" si="5"/>
        <v>7.0000000000000009</v>
      </c>
      <c r="DR28" s="849">
        <f t="shared" si="5"/>
        <v>7.5</v>
      </c>
      <c r="DS28" s="18"/>
      <c r="DT28" s="238"/>
      <c r="DU28" s="583" t="s">
        <v>494</v>
      </c>
      <c r="DV28" s="154" t="s">
        <v>495</v>
      </c>
      <c r="DW28" s="144">
        <v>235</v>
      </c>
      <c r="DX28" s="132">
        <v>235</v>
      </c>
      <c r="DY28" s="132">
        <v>235</v>
      </c>
      <c r="DZ28" s="132">
        <v>235</v>
      </c>
      <c r="EA28" s="145">
        <v>235</v>
      </c>
      <c r="EB28" s="132">
        <v>240</v>
      </c>
      <c r="EC28" s="132">
        <v>240</v>
      </c>
      <c r="ED28" s="132">
        <v>240</v>
      </c>
      <c r="EE28" s="132">
        <v>240</v>
      </c>
      <c r="EF28" s="145">
        <v>240</v>
      </c>
      <c r="EG28" s="235"/>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row>
    <row r="29" spans="1:169" s="45" customFormat="1" ht="10.5" x14ac:dyDescent="0.25">
      <c r="A29" s="238"/>
      <c r="B29" s="464" t="s">
        <v>496</v>
      </c>
      <c r="C29" s="13"/>
      <c r="D29" s="11"/>
      <c r="E29" s="12"/>
      <c r="F29" s="12"/>
      <c r="G29" s="12"/>
      <c r="H29" s="13"/>
      <c r="I29" s="11"/>
      <c r="J29" s="12"/>
      <c r="K29" s="12"/>
      <c r="L29" s="12"/>
      <c r="M29" s="13"/>
      <c r="N29" s="11"/>
      <c r="O29" s="12"/>
      <c r="P29" s="12"/>
      <c r="Q29" s="12"/>
      <c r="R29" s="13"/>
      <c r="S29" s="11"/>
      <c r="T29" s="12"/>
      <c r="U29" s="12"/>
      <c r="V29" s="12"/>
      <c r="W29" s="13"/>
      <c r="X29" s="11"/>
      <c r="Y29" s="12"/>
      <c r="Z29" s="12"/>
      <c r="AA29" s="12"/>
      <c r="AB29" s="13"/>
      <c r="AC29" s="11"/>
      <c r="AD29" s="12"/>
      <c r="AE29" s="12"/>
      <c r="AF29" s="12"/>
      <c r="AG29" s="13"/>
      <c r="AH29" s="11"/>
      <c r="AI29" s="12"/>
      <c r="AJ29" s="12"/>
      <c r="AK29" s="12"/>
      <c r="AL29" s="13"/>
      <c r="AM29" s="11"/>
      <c r="AN29" s="12"/>
      <c r="AO29" s="12"/>
      <c r="AP29" s="12"/>
      <c r="AQ29" s="13"/>
      <c r="AR29" s="11"/>
      <c r="AS29" s="12"/>
      <c r="AT29" s="12"/>
      <c r="AU29" s="12"/>
      <c r="AV29" s="13"/>
      <c r="AW29" s="11"/>
      <c r="AX29" s="12"/>
      <c r="AY29" s="12"/>
      <c r="AZ29" s="12"/>
      <c r="BA29" s="13"/>
      <c r="BB29" s="11"/>
      <c r="BC29" s="12"/>
      <c r="BD29" s="13"/>
      <c r="BE29" s="11"/>
      <c r="BF29" s="12"/>
      <c r="BG29" s="13"/>
      <c r="BH29" s="11">
        <v>0</v>
      </c>
      <c r="BI29" s="12">
        <v>0.28000000000000003</v>
      </c>
      <c r="BJ29" s="12">
        <v>0.28000000000000003</v>
      </c>
      <c r="BK29" s="12">
        <v>0.28000000000000003</v>
      </c>
      <c r="BL29" s="13">
        <v>0</v>
      </c>
      <c r="BM29" s="11"/>
      <c r="BN29" s="12"/>
      <c r="BO29" s="12"/>
      <c r="BP29" s="12"/>
      <c r="BQ29" s="13"/>
      <c r="BR29" s="11"/>
      <c r="BS29" s="12"/>
      <c r="BT29" s="12"/>
      <c r="BU29" s="12"/>
      <c r="BV29" s="13"/>
      <c r="BW29" s="11">
        <v>1</v>
      </c>
      <c r="BX29" s="12">
        <v>1</v>
      </c>
      <c r="BY29" s="12">
        <v>1</v>
      </c>
      <c r="BZ29" s="12">
        <v>1</v>
      </c>
      <c r="CA29" s="13">
        <v>1</v>
      </c>
      <c r="CB29" s="73">
        <v>0.8</v>
      </c>
      <c r="CC29" s="75">
        <v>0.75</v>
      </c>
      <c r="CD29" s="75">
        <v>0.75</v>
      </c>
      <c r="CE29" s="75">
        <v>0.75</v>
      </c>
      <c r="CF29" s="74">
        <v>0.8</v>
      </c>
      <c r="CG29" s="11"/>
      <c r="CH29" s="12"/>
      <c r="CI29" s="13"/>
      <c r="CJ29" s="11"/>
      <c r="CK29" s="40"/>
      <c r="CL29" s="13"/>
      <c r="CM29" s="11"/>
      <c r="CN29" s="12"/>
      <c r="CO29" s="13"/>
      <c r="CP29" s="11"/>
      <c r="CQ29" s="12"/>
      <c r="CR29" s="13"/>
      <c r="CS29" s="11"/>
      <c r="CT29" s="13"/>
      <c r="CU29" s="13"/>
      <c r="CV29" s="545"/>
      <c r="CW29" s="534" t="s">
        <v>497</v>
      </c>
      <c r="CX29" s="884">
        <v>37.5</v>
      </c>
      <c r="CY29" s="885">
        <v>38</v>
      </c>
      <c r="CZ29" s="1236" cm="1">
        <f t="array" ref="CZ29">_xlfn.IFS(Dashboard!$C$4="Conventional pricing",DY8,Dashboard!$C$4="Organic pricing",CY29,Dashboard!$C$4=Lists!D5,DY8*(1+Dashboard!D4))</f>
        <v>28</v>
      </c>
      <c r="DA29" s="884"/>
      <c r="DB29" s="885"/>
      <c r="DC29" s="886"/>
      <c r="DD29" s="884"/>
      <c r="DE29" s="885"/>
      <c r="DF29" s="886"/>
      <c r="DG29" s="884"/>
      <c r="DH29" s="885"/>
      <c r="DI29" s="886"/>
      <c r="DJ29" s="884"/>
      <c r="DK29" s="885"/>
      <c r="DL29" s="849" t="s">
        <v>470</v>
      </c>
      <c r="DM29" s="847">
        <f>DM19*DM24</f>
        <v>12.6</v>
      </c>
      <c r="DN29" s="848">
        <f t="shared" si="5"/>
        <v>12.6</v>
      </c>
      <c r="DO29" s="849">
        <f t="shared" si="5"/>
        <v>12.6</v>
      </c>
      <c r="DP29" s="847">
        <f t="shared" si="5"/>
        <v>7.8000000000000007</v>
      </c>
      <c r="DQ29" s="848">
        <f t="shared" si="5"/>
        <v>7.8000000000000007</v>
      </c>
      <c r="DR29" s="849">
        <f t="shared" si="5"/>
        <v>7.8000000000000007</v>
      </c>
      <c r="DS29" s="12"/>
      <c r="DT29" s="238"/>
      <c r="DU29" s="1248" t="s">
        <v>498</v>
      </c>
      <c r="DV29" s="1249" t="s">
        <v>472</v>
      </c>
      <c r="DW29" s="1250">
        <v>2.6625000000000001</v>
      </c>
      <c r="DX29" s="1251">
        <v>2.72</v>
      </c>
      <c r="DY29" s="1251">
        <v>2.6</v>
      </c>
      <c r="DZ29" s="1251">
        <v>2.48</v>
      </c>
      <c r="EA29" s="1252">
        <v>2.5499999999999998</v>
      </c>
      <c r="EB29" s="1251">
        <v>1.917</v>
      </c>
      <c r="EC29" s="1251">
        <v>1.8530000000000002</v>
      </c>
      <c r="ED29" s="1251">
        <v>1.744</v>
      </c>
      <c r="EE29" s="131">
        <v>1.6895</v>
      </c>
      <c r="EF29" s="140">
        <v>1.65</v>
      </c>
      <c r="EG29" s="235"/>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row>
    <row r="30" spans="1:169" s="45" customFormat="1" ht="10.5" x14ac:dyDescent="0.25">
      <c r="A30" s="238"/>
      <c r="B30" s="464" t="s">
        <v>499</v>
      </c>
      <c r="C30" s="13" t="s">
        <v>456</v>
      </c>
      <c r="D30" s="11">
        <v>1076.04</v>
      </c>
      <c r="E30" s="12">
        <v>1024.8</v>
      </c>
      <c r="F30" s="12">
        <v>976</v>
      </c>
      <c r="G30" s="12">
        <v>927.19999999999993</v>
      </c>
      <c r="H30" s="13">
        <v>880.83999999999992</v>
      </c>
      <c r="I30" s="11">
        <v>215</v>
      </c>
      <c r="J30" s="12">
        <v>200</v>
      </c>
      <c r="K30" s="12">
        <v>180</v>
      </c>
      <c r="L30" s="12">
        <v>150</v>
      </c>
      <c r="M30" s="13">
        <v>135</v>
      </c>
      <c r="N30" s="11">
        <v>350</v>
      </c>
      <c r="O30" s="12">
        <v>336</v>
      </c>
      <c r="P30" s="12">
        <v>315</v>
      </c>
      <c r="Q30" s="12">
        <v>294</v>
      </c>
      <c r="R30" s="13">
        <v>280</v>
      </c>
      <c r="S30" s="11">
        <v>75</v>
      </c>
      <c r="T30" s="12">
        <v>75</v>
      </c>
      <c r="U30" s="12">
        <v>75</v>
      </c>
      <c r="V30" s="12">
        <v>75</v>
      </c>
      <c r="W30" s="13">
        <v>75</v>
      </c>
      <c r="X30" s="11">
        <v>360</v>
      </c>
      <c r="Y30" s="12">
        <v>340</v>
      </c>
      <c r="Z30" s="12">
        <v>310</v>
      </c>
      <c r="AA30" s="12">
        <v>280</v>
      </c>
      <c r="AB30" s="13">
        <v>260</v>
      </c>
      <c r="AC30" s="11">
        <v>670</v>
      </c>
      <c r="AD30" s="12">
        <v>650</v>
      </c>
      <c r="AE30" s="12">
        <v>630</v>
      </c>
      <c r="AF30" s="12">
        <v>540</v>
      </c>
      <c r="AG30" s="13">
        <v>520</v>
      </c>
      <c r="AH30" s="11">
        <v>225</v>
      </c>
      <c r="AI30" s="12">
        <v>210</v>
      </c>
      <c r="AJ30" s="12">
        <v>190</v>
      </c>
      <c r="AK30" s="12">
        <v>160</v>
      </c>
      <c r="AL30" s="13">
        <v>140</v>
      </c>
      <c r="AM30" s="11">
        <v>360</v>
      </c>
      <c r="AN30" s="12">
        <v>345</v>
      </c>
      <c r="AO30" s="12">
        <v>315</v>
      </c>
      <c r="AP30" s="12">
        <v>285</v>
      </c>
      <c r="AQ30" s="13">
        <v>275</v>
      </c>
      <c r="AR30" s="11">
        <v>160</v>
      </c>
      <c r="AS30" s="12">
        <v>160</v>
      </c>
      <c r="AT30" s="12">
        <v>160</v>
      </c>
      <c r="AU30" s="12">
        <v>160</v>
      </c>
      <c r="AV30" s="13">
        <v>160</v>
      </c>
      <c r="AW30" s="11">
        <v>750</v>
      </c>
      <c r="AX30" s="12">
        <v>750</v>
      </c>
      <c r="AY30" s="12">
        <v>750</v>
      </c>
      <c r="AZ30" s="12">
        <v>750</v>
      </c>
      <c r="BA30" s="13">
        <v>750</v>
      </c>
      <c r="BB30" s="11">
        <v>165</v>
      </c>
      <c r="BC30" s="12">
        <v>160</v>
      </c>
      <c r="BD30" s="13">
        <v>160</v>
      </c>
      <c r="BE30" s="11">
        <v>360</v>
      </c>
      <c r="BF30" s="12">
        <v>360</v>
      </c>
      <c r="BG30" s="13">
        <v>360</v>
      </c>
      <c r="BH30" s="11">
        <v>15</v>
      </c>
      <c r="BI30" s="12">
        <v>13.3</v>
      </c>
      <c r="BJ30" s="12">
        <v>14</v>
      </c>
      <c r="BK30" s="12">
        <v>13.4</v>
      </c>
      <c r="BL30" s="13">
        <v>12</v>
      </c>
      <c r="BM30" s="11">
        <v>70</v>
      </c>
      <c r="BN30" s="12">
        <v>67.77</v>
      </c>
      <c r="BO30" s="12">
        <v>64.5</v>
      </c>
      <c r="BP30" s="12">
        <v>61.9</v>
      </c>
      <c r="BQ30" s="13">
        <v>60</v>
      </c>
      <c r="BR30" s="11">
        <v>16</v>
      </c>
      <c r="BS30" s="12">
        <v>14.700000000000001</v>
      </c>
      <c r="BT30" s="12">
        <v>14</v>
      </c>
      <c r="BU30" s="12">
        <v>13.299999999999999</v>
      </c>
      <c r="BV30" s="13">
        <v>12</v>
      </c>
      <c r="BW30" s="11">
        <v>45</v>
      </c>
      <c r="BX30" s="12">
        <v>45</v>
      </c>
      <c r="BY30" s="12">
        <v>45</v>
      </c>
      <c r="BZ30" s="12">
        <v>45</v>
      </c>
      <c r="CA30" s="13">
        <v>45</v>
      </c>
      <c r="CB30" s="11">
        <v>20</v>
      </c>
      <c r="CC30" s="12">
        <v>20</v>
      </c>
      <c r="CD30" s="12">
        <v>20</v>
      </c>
      <c r="CE30" s="12">
        <v>20</v>
      </c>
      <c r="CF30" s="13">
        <v>20</v>
      </c>
      <c r="CG30" s="11">
        <v>2730</v>
      </c>
      <c r="CH30" s="12">
        <v>2680</v>
      </c>
      <c r="CI30" s="13">
        <v>2492</v>
      </c>
      <c r="CJ30" s="11">
        <v>212.79999999999998</v>
      </c>
      <c r="CK30" s="12">
        <v>215.6</v>
      </c>
      <c r="CL30" s="13">
        <v>174</v>
      </c>
      <c r="CM30" s="11"/>
      <c r="CN30" s="12"/>
      <c r="CO30" s="13"/>
      <c r="CP30" s="11">
        <v>52.9</v>
      </c>
      <c r="CQ30" s="75">
        <f>52.9</f>
        <v>52.9</v>
      </c>
      <c r="CR30" s="74">
        <v>52.9</v>
      </c>
      <c r="CS30" s="32">
        <v>7.95</v>
      </c>
      <c r="CT30" s="34">
        <v>6.81</v>
      </c>
      <c r="CU30" s="13">
        <v>5.68</v>
      </c>
      <c r="CV30" s="545"/>
      <c r="CW30" s="534"/>
      <c r="CX30" s="884">
        <v>1620</v>
      </c>
      <c r="CY30" s="885">
        <v>1500</v>
      </c>
      <c r="CZ30" s="886">
        <v>1232</v>
      </c>
      <c r="DA30" s="884">
        <v>365</v>
      </c>
      <c r="DB30" s="885">
        <v>350</v>
      </c>
      <c r="DC30" s="886">
        <v>340</v>
      </c>
      <c r="DD30" s="884"/>
      <c r="DE30" s="885"/>
      <c r="DF30" s="886"/>
      <c r="DG30" s="884"/>
      <c r="DH30" s="885"/>
      <c r="DI30" s="886"/>
      <c r="DJ30" s="884"/>
      <c r="DK30" s="885"/>
      <c r="DL30" s="849" t="s">
        <v>500</v>
      </c>
      <c r="DM30" s="884">
        <v>-3.5</v>
      </c>
      <c r="DN30" s="885">
        <v>-3.3</v>
      </c>
      <c r="DO30" s="886">
        <v>-3</v>
      </c>
      <c r="DP30" s="884">
        <v>-3.5</v>
      </c>
      <c r="DQ30" s="885">
        <v>-3.3</v>
      </c>
      <c r="DR30" s="886">
        <v>-3</v>
      </c>
      <c r="DS30" s="75">
        <f>52.9/3*2</f>
        <v>35.266666666666666</v>
      </c>
      <c r="DT30" s="238"/>
      <c r="DU30" s="583"/>
      <c r="DV30" s="154"/>
      <c r="DW30" s="144"/>
      <c r="DX30" s="132"/>
      <c r="DY30" s="132"/>
      <c r="DZ30" s="132"/>
      <c r="EA30" s="145"/>
      <c r="EB30" s="132"/>
      <c r="EC30" s="132"/>
      <c r="ED30" s="132"/>
      <c r="EE30" s="132"/>
      <c r="EF30" s="145"/>
      <c r="EG30" s="235"/>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row>
    <row r="31" spans="1:169" s="45" customFormat="1" ht="11" thickBot="1" x14ac:dyDescent="0.3">
      <c r="A31" s="238"/>
      <c r="B31" s="464" t="s">
        <v>501</v>
      </c>
      <c r="C31" s="13" t="s">
        <v>502</v>
      </c>
      <c r="D31" s="11">
        <v>315.57</v>
      </c>
      <c r="E31" s="12">
        <v>315.57</v>
      </c>
      <c r="F31" s="12">
        <v>315.57</v>
      </c>
      <c r="G31" s="12">
        <v>315.57</v>
      </c>
      <c r="H31" s="13">
        <v>315.57</v>
      </c>
      <c r="I31" s="11">
        <v>222</v>
      </c>
      <c r="J31" s="12">
        <v>222</v>
      </c>
      <c r="K31" s="12">
        <v>222</v>
      </c>
      <c r="L31" s="12">
        <v>221.67</v>
      </c>
      <c r="M31" s="13">
        <v>222</v>
      </c>
      <c r="N31" s="11">
        <v>210</v>
      </c>
      <c r="O31" s="12">
        <v>210</v>
      </c>
      <c r="P31" s="12">
        <v>210</v>
      </c>
      <c r="Q31" s="12">
        <v>210</v>
      </c>
      <c r="R31" s="13">
        <v>210</v>
      </c>
      <c r="S31" s="11">
        <v>215</v>
      </c>
      <c r="T31" s="12">
        <v>215</v>
      </c>
      <c r="U31" s="12">
        <v>210</v>
      </c>
      <c r="V31" s="12">
        <v>200</v>
      </c>
      <c r="W31" s="13">
        <v>200</v>
      </c>
      <c r="X31" s="11">
        <v>224</v>
      </c>
      <c r="Y31" s="12">
        <v>223.5</v>
      </c>
      <c r="Z31" s="12">
        <v>223.5</v>
      </c>
      <c r="AA31" s="12">
        <v>224.4</v>
      </c>
      <c r="AB31" s="13">
        <v>224</v>
      </c>
      <c r="AC31" s="11">
        <v>215</v>
      </c>
      <c r="AD31" s="12">
        <v>215</v>
      </c>
      <c r="AE31" s="12">
        <v>210</v>
      </c>
      <c r="AF31" s="12">
        <v>200</v>
      </c>
      <c r="AG31" s="13">
        <v>200</v>
      </c>
      <c r="AH31" s="11">
        <v>225</v>
      </c>
      <c r="AI31" s="12">
        <v>221</v>
      </c>
      <c r="AJ31" s="12">
        <v>221</v>
      </c>
      <c r="AK31" s="12">
        <v>221</v>
      </c>
      <c r="AL31" s="13">
        <v>220</v>
      </c>
      <c r="AM31" s="11">
        <v>225</v>
      </c>
      <c r="AN31" s="12">
        <v>223.33</v>
      </c>
      <c r="AO31" s="12">
        <v>223.33</v>
      </c>
      <c r="AP31" s="12">
        <v>224.12</v>
      </c>
      <c r="AQ31" s="13">
        <v>222</v>
      </c>
      <c r="AR31" s="11">
        <v>210</v>
      </c>
      <c r="AS31" s="12">
        <v>210</v>
      </c>
      <c r="AT31" s="12">
        <v>210</v>
      </c>
      <c r="AU31" s="12">
        <v>210</v>
      </c>
      <c r="AV31" s="13">
        <v>210</v>
      </c>
      <c r="AW31" s="11">
        <v>215</v>
      </c>
      <c r="AX31" s="12">
        <v>215</v>
      </c>
      <c r="AY31" s="12">
        <v>210</v>
      </c>
      <c r="AZ31" s="12">
        <v>205</v>
      </c>
      <c r="BA31" s="13">
        <v>200</v>
      </c>
      <c r="BB31" s="11">
        <v>225</v>
      </c>
      <c r="BC31" s="12">
        <v>221</v>
      </c>
      <c r="BD31" s="13">
        <v>221</v>
      </c>
      <c r="BE31" s="11">
        <v>215</v>
      </c>
      <c r="BF31" s="12">
        <v>210</v>
      </c>
      <c r="BG31" s="13">
        <v>210</v>
      </c>
      <c r="BH31" s="11">
        <v>210</v>
      </c>
      <c r="BI31" s="12">
        <v>210</v>
      </c>
      <c r="BJ31" s="12">
        <v>210</v>
      </c>
      <c r="BK31" s="12">
        <v>210</v>
      </c>
      <c r="BL31" s="13">
        <v>210</v>
      </c>
      <c r="BM31" s="11">
        <v>207.7</v>
      </c>
      <c r="BN31" s="12">
        <v>207.7</v>
      </c>
      <c r="BO31" s="12">
        <v>207.7</v>
      </c>
      <c r="BP31" s="12">
        <v>207.7</v>
      </c>
      <c r="BQ31" s="13">
        <v>207.7</v>
      </c>
      <c r="BR31" s="11">
        <v>210</v>
      </c>
      <c r="BS31" s="12">
        <v>210</v>
      </c>
      <c r="BT31" s="12">
        <v>210</v>
      </c>
      <c r="BU31" s="12">
        <v>210</v>
      </c>
      <c r="BV31" s="13">
        <v>210</v>
      </c>
      <c r="BW31" s="11">
        <v>250</v>
      </c>
      <c r="BX31" s="12">
        <v>250</v>
      </c>
      <c r="BY31" s="12">
        <v>250</v>
      </c>
      <c r="BZ31" s="12">
        <v>250</v>
      </c>
      <c r="CA31" s="13">
        <v>250</v>
      </c>
      <c r="CB31" s="11">
        <v>270</v>
      </c>
      <c r="CC31" s="12">
        <v>270</v>
      </c>
      <c r="CD31" s="12">
        <v>270</v>
      </c>
      <c r="CE31" s="12">
        <v>270</v>
      </c>
      <c r="CF31" s="13">
        <v>270</v>
      </c>
      <c r="CG31" s="11">
        <v>290</v>
      </c>
      <c r="CH31" s="12">
        <v>285</v>
      </c>
      <c r="CI31" s="13">
        <v>283</v>
      </c>
      <c r="CJ31" s="11">
        <v>285</v>
      </c>
      <c r="CK31" s="12">
        <v>280</v>
      </c>
      <c r="CL31" s="13">
        <v>280</v>
      </c>
      <c r="CM31" s="11"/>
      <c r="CN31" s="12"/>
      <c r="CO31" s="13"/>
      <c r="CP31" s="11">
        <v>250</v>
      </c>
      <c r="CQ31" s="75">
        <v>250</v>
      </c>
      <c r="CR31" s="74">
        <v>250</v>
      </c>
      <c r="CS31" s="11">
        <v>310</v>
      </c>
      <c r="CT31" s="13">
        <v>300</v>
      </c>
      <c r="CU31" s="13">
        <v>290</v>
      </c>
      <c r="CV31" s="548"/>
      <c r="CW31" s="534"/>
      <c r="CX31" s="884">
        <v>400</v>
      </c>
      <c r="CY31" s="885">
        <v>400</v>
      </c>
      <c r="CZ31" s="1165">
        <f>'Cropping allocation - baseline'!O70/'Cropping allocation - baseline'!P70</f>
        <v>180.78773832058681</v>
      </c>
      <c r="DA31" s="884">
        <v>400</v>
      </c>
      <c r="DB31" s="885">
        <v>400</v>
      </c>
      <c r="DC31" s="1165">
        <f>'Cropping allocation - baseline'!O70/'Cropping allocation - baseline'!P70</f>
        <v>180.78773832058681</v>
      </c>
      <c r="DD31" s="884"/>
      <c r="DE31" s="885"/>
      <c r="DF31" s="886"/>
      <c r="DG31" s="884"/>
      <c r="DH31" s="885"/>
      <c r="DI31" s="886"/>
      <c r="DJ31" s="884"/>
      <c r="DK31" s="885"/>
      <c r="DL31" s="849" t="s">
        <v>503</v>
      </c>
      <c r="DM31" s="908">
        <v>1</v>
      </c>
      <c r="DN31" s="909">
        <v>1</v>
      </c>
      <c r="DO31" s="910">
        <v>1</v>
      </c>
      <c r="DP31" s="908">
        <v>1</v>
      </c>
      <c r="DQ31" s="909">
        <v>1</v>
      </c>
      <c r="DR31" s="910">
        <v>1</v>
      </c>
      <c r="DS31" s="75">
        <f>'Cropping allocation - baseline'!O28/'Cropping allocation - baseline'!P28</f>
        <v>184.44479192858361</v>
      </c>
      <c r="DT31" s="238"/>
      <c r="DU31" s="584" t="s">
        <v>494</v>
      </c>
      <c r="DV31" s="147" t="s">
        <v>472</v>
      </c>
      <c r="DW31" s="144">
        <v>625.6875</v>
      </c>
      <c r="DX31" s="132">
        <v>639.20000000000005</v>
      </c>
      <c r="DY31" s="132">
        <v>611</v>
      </c>
      <c r="DZ31" s="132">
        <v>582.79999999999995</v>
      </c>
      <c r="EA31" s="145">
        <v>599.25</v>
      </c>
      <c r="EB31" s="132">
        <v>460.08</v>
      </c>
      <c r="EC31" s="132">
        <v>444.72</v>
      </c>
      <c r="ED31" s="132">
        <v>418.56</v>
      </c>
      <c r="EE31" s="132">
        <v>405.48</v>
      </c>
      <c r="EF31" s="145">
        <v>396</v>
      </c>
      <c r="EG31" s="235"/>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row>
    <row r="32" spans="1:169" s="477" customFormat="1" ht="11" thickBot="1" x14ac:dyDescent="0.3">
      <c r="A32" s="238"/>
      <c r="B32" s="471"/>
      <c r="C32" s="472"/>
      <c r="D32" s="473"/>
      <c r="E32" s="474"/>
      <c r="F32" s="474"/>
      <c r="G32" s="474"/>
      <c r="H32" s="472"/>
      <c r="I32" s="473"/>
      <c r="J32" s="474"/>
      <c r="K32" s="474"/>
      <c r="L32" s="474"/>
      <c r="M32" s="472"/>
      <c r="N32" s="473"/>
      <c r="O32" s="474"/>
      <c r="P32" s="474"/>
      <c r="Q32" s="474"/>
      <c r="R32" s="472"/>
      <c r="S32" s="473"/>
      <c r="T32" s="474"/>
      <c r="U32" s="474"/>
      <c r="V32" s="474"/>
      <c r="W32" s="472"/>
      <c r="X32" s="473"/>
      <c r="Y32" s="474"/>
      <c r="Z32" s="474"/>
      <c r="AA32" s="474"/>
      <c r="AB32" s="472"/>
      <c r="AC32" s="473"/>
      <c r="AD32" s="474"/>
      <c r="AE32" s="474"/>
      <c r="AF32" s="474"/>
      <c r="AG32" s="472"/>
      <c r="AH32" s="473"/>
      <c r="AI32" s="474"/>
      <c r="AJ32" s="474"/>
      <c r="AK32" s="474"/>
      <c r="AL32" s="472"/>
      <c r="AM32" s="473"/>
      <c r="AN32" s="474"/>
      <c r="AO32" s="474"/>
      <c r="AP32" s="474"/>
      <c r="AQ32" s="472"/>
      <c r="AR32" s="473"/>
      <c r="AS32" s="474"/>
      <c r="AT32" s="474"/>
      <c r="AU32" s="474"/>
      <c r="AV32" s="472"/>
      <c r="AW32" s="473"/>
      <c r="AX32" s="474"/>
      <c r="AY32" s="474"/>
      <c r="AZ32" s="474"/>
      <c r="BA32" s="472"/>
      <c r="BB32" s="473"/>
      <c r="BC32" s="474"/>
      <c r="BD32" s="472"/>
      <c r="BE32" s="473"/>
      <c r="BF32" s="474"/>
      <c r="BG32" s="472"/>
      <c r="BH32" s="473"/>
      <c r="BI32" s="474"/>
      <c r="BJ32" s="474"/>
      <c r="BK32" s="474"/>
      <c r="BL32" s="472"/>
      <c r="BM32" s="473"/>
      <c r="BN32" s="474"/>
      <c r="BO32" s="474"/>
      <c r="BP32" s="474"/>
      <c r="BQ32" s="472"/>
      <c r="BR32" s="473"/>
      <c r="BS32" s="474"/>
      <c r="BT32" s="474"/>
      <c r="BU32" s="474"/>
      <c r="BV32" s="472"/>
      <c r="BW32" s="473"/>
      <c r="BX32" s="474"/>
      <c r="BY32" s="474"/>
      <c r="BZ32" s="474"/>
      <c r="CA32" s="472"/>
      <c r="CB32" s="473"/>
      <c r="CC32" s="474"/>
      <c r="CD32" s="474"/>
      <c r="CE32" s="474"/>
      <c r="CF32" s="472"/>
      <c r="CG32" s="473"/>
      <c r="CH32" s="474"/>
      <c r="CI32" s="472"/>
      <c r="CJ32" s="473"/>
      <c r="CK32" s="474"/>
      <c r="CL32" s="472"/>
      <c r="CM32" s="473"/>
      <c r="CN32" s="474"/>
      <c r="CO32" s="472"/>
      <c r="CP32" s="473"/>
      <c r="CQ32" s="475"/>
      <c r="CR32" s="476"/>
      <c r="CS32" s="473"/>
      <c r="CT32" s="472"/>
      <c r="CU32" s="472"/>
      <c r="CV32" s="545"/>
      <c r="CW32" s="549"/>
      <c r="CX32" s="862"/>
      <c r="CY32" s="863"/>
      <c r="CZ32" s="864"/>
      <c r="DA32" s="862"/>
      <c r="DB32" s="863"/>
      <c r="DC32" s="864"/>
      <c r="DD32" s="862"/>
      <c r="DE32" s="863"/>
      <c r="DF32" s="864"/>
      <c r="DG32" s="862"/>
      <c r="DH32" s="863"/>
      <c r="DI32" s="864"/>
      <c r="DJ32" s="862"/>
      <c r="DK32" s="863"/>
      <c r="DL32" s="864"/>
      <c r="DM32" s="862"/>
      <c r="DN32" s="863"/>
      <c r="DO32" s="864"/>
      <c r="DP32" s="862"/>
      <c r="DQ32" s="863"/>
      <c r="DR32" s="864"/>
      <c r="DS32" s="475"/>
      <c r="DT32" s="238"/>
      <c r="DU32" s="586"/>
      <c r="DV32" s="478"/>
      <c r="DW32" s="479"/>
      <c r="DX32" s="480"/>
      <c r="DY32" s="480"/>
      <c r="DZ32" s="480"/>
      <c r="EA32" s="481"/>
      <c r="EB32" s="480"/>
      <c r="EC32" s="480"/>
      <c r="ED32" s="480"/>
      <c r="EE32" s="480"/>
      <c r="EF32" s="481"/>
      <c r="EG32" s="235"/>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row>
    <row r="33" spans="1:169" s="45" customFormat="1" ht="10.5" x14ac:dyDescent="0.25">
      <c r="A33" s="238"/>
      <c r="B33" s="76" t="s">
        <v>504</v>
      </c>
      <c r="C33" s="22"/>
      <c r="D33" s="20"/>
      <c r="E33" s="21"/>
      <c r="F33" s="21"/>
      <c r="G33" s="21"/>
      <c r="H33" s="22"/>
      <c r="I33" s="20"/>
      <c r="J33" s="21"/>
      <c r="K33" s="21"/>
      <c r="L33" s="21"/>
      <c r="M33" s="22"/>
      <c r="N33" s="20"/>
      <c r="O33" s="21"/>
      <c r="P33" s="21"/>
      <c r="Q33" s="21"/>
      <c r="R33" s="22"/>
      <c r="S33" s="20"/>
      <c r="T33" s="21"/>
      <c r="U33" s="21"/>
      <c r="V33" s="21"/>
      <c r="W33" s="22"/>
      <c r="X33" s="20"/>
      <c r="Y33" s="21"/>
      <c r="Z33" s="21"/>
      <c r="AA33" s="21"/>
      <c r="AB33" s="22"/>
      <c r="AC33" s="20"/>
      <c r="AD33" s="21"/>
      <c r="AE33" s="21"/>
      <c r="AF33" s="21"/>
      <c r="AG33" s="22"/>
      <c r="AH33" s="20"/>
      <c r="AI33" s="21"/>
      <c r="AJ33" s="21"/>
      <c r="AK33" s="21"/>
      <c r="AL33" s="22"/>
      <c r="AM33" s="20"/>
      <c r="AN33" s="21"/>
      <c r="AO33" s="21"/>
      <c r="AP33" s="21"/>
      <c r="AQ33" s="22"/>
      <c r="AR33" s="20"/>
      <c r="AS33" s="21"/>
      <c r="AT33" s="21"/>
      <c r="AU33" s="21"/>
      <c r="AV33" s="22"/>
      <c r="AW33" s="20"/>
      <c r="AX33" s="21"/>
      <c r="AY33" s="21"/>
      <c r="AZ33" s="21"/>
      <c r="BA33" s="22"/>
      <c r="BB33" s="20"/>
      <c r="BC33" s="21"/>
      <c r="BD33" s="22"/>
      <c r="BE33" s="20"/>
      <c r="BF33" s="21"/>
      <c r="BG33" s="22"/>
      <c r="BH33" s="20"/>
      <c r="BI33" s="21"/>
      <c r="BJ33" s="21"/>
      <c r="BK33" s="21"/>
      <c r="BL33" s="22"/>
      <c r="BM33" s="20"/>
      <c r="BN33" s="21"/>
      <c r="BO33" s="21"/>
      <c r="BP33" s="21"/>
      <c r="BQ33" s="22"/>
      <c r="BR33" s="20"/>
      <c r="BS33" s="21"/>
      <c r="BT33" s="21"/>
      <c r="BU33" s="21"/>
      <c r="BV33" s="22"/>
      <c r="BW33" s="20"/>
      <c r="BX33" s="21"/>
      <c r="BY33" s="21"/>
      <c r="BZ33" s="21"/>
      <c r="CA33" s="22"/>
      <c r="CB33" s="20"/>
      <c r="CC33" s="21"/>
      <c r="CD33" s="21"/>
      <c r="CE33" s="21"/>
      <c r="CF33" s="22"/>
      <c r="CG33" s="20"/>
      <c r="CH33" s="21"/>
      <c r="CI33" s="22"/>
      <c r="CJ33" s="20"/>
      <c r="CK33" s="21"/>
      <c r="CL33" s="22"/>
      <c r="CM33" s="20"/>
      <c r="CN33" s="21"/>
      <c r="CO33" s="22"/>
      <c r="CP33" s="20"/>
      <c r="CQ33" s="17"/>
      <c r="CR33" s="22"/>
      <c r="CS33" s="20"/>
      <c r="CT33" s="22"/>
      <c r="CU33" s="22"/>
      <c r="CV33" s="548"/>
      <c r="CW33" s="549"/>
      <c r="CX33" s="847"/>
      <c r="CY33" s="848"/>
      <c r="CZ33" s="849"/>
      <c r="DA33" s="847"/>
      <c r="DB33" s="848"/>
      <c r="DC33" s="849"/>
      <c r="DD33" s="847"/>
      <c r="DE33" s="848"/>
      <c r="DF33" s="849"/>
      <c r="DG33" s="847"/>
      <c r="DH33" s="848"/>
      <c r="DI33" s="849"/>
      <c r="DJ33" s="847"/>
      <c r="DK33" s="848"/>
      <c r="DL33" s="849"/>
      <c r="DM33" s="847"/>
      <c r="DN33" s="848"/>
      <c r="DO33" s="849"/>
      <c r="DP33" s="847"/>
      <c r="DQ33" s="848"/>
      <c r="DR33" s="849"/>
      <c r="DS33" s="17"/>
      <c r="DT33" s="238"/>
      <c r="DU33" s="583" t="s">
        <v>505</v>
      </c>
      <c r="DV33" s="147" t="s">
        <v>472</v>
      </c>
      <c r="DW33" s="144">
        <v>85</v>
      </c>
      <c r="DX33" s="132">
        <v>82</v>
      </c>
      <c r="DY33" s="132">
        <v>80</v>
      </c>
      <c r="DZ33" s="132">
        <v>78</v>
      </c>
      <c r="EA33" s="145">
        <v>75</v>
      </c>
      <c r="EB33" s="132">
        <v>45</v>
      </c>
      <c r="EC33" s="132">
        <v>43</v>
      </c>
      <c r="ED33" s="132">
        <v>42</v>
      </c>
      <c r="EE33" s="132">
        <v>41</v>
      </c>
      <c r="EF33" s="145">
        <v>40</v>
      </c>
      <c r="EG33" s="235"/>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row>
    <row r="34" spans="1:169" s="1045" customFormat="1" ht="10.5" x14ac:dyDescent="0.25">
      <c r="B34" s="1046" t="s">
        <v>506</v>
      </c>
      <c r="C34" s="1047" t="s">
        <v>507</v>
      </c>
      <c r="D34" s="1048"/>
      <c r="E34" s="1049"/>
      <c r="F34" s="1049"/>
      <c r="G34" s="1049"/>
      <c r="H34" s="1047"/>
      <c r="I34" s="1048">
        <v>459</v>
      </c>
      <c r="J34" s="1049">
        <v>465.8</v>
      </c>
      <c r="K34" s="1049">
        <v>487.2</v>
      </c>
      <c r="L34" s="1049">
        <v>550.02</v>
      </c>
      <c r="M34" s="1047">
        <v>578</v>
      </c>
      <c r="N34" s="1048">
        <v>1073</v>
      </c>
      <c r="O34" s="1049">
        <v>1093.72</v>
      </c>
      <c r="P34" s="1049">
        <v>1105.375</v>
      </c>
      <c r="Q34" s="1049">
        <v>1117.03</v>
      </c>
      <c r="R34" s="1047">
        <v>1137.75</v>
      </c>
      <c r="S34" s="1048">
        <v>1045</v>
      </c>
      <c r="T34" s="1049">
        <v>1045</v>
      </c>
      <c r="U34" s="1049">
        <v>1045</v>
      </c>
      <c r="V34" s="1049">
        <v>1045</v>
      </c>
      <c r="W34" s="1047">
        <v>1045</v>
      </c>
      <c r="X34" s="1048">
        <v>567.64499999999998</v>
      </c>
      <c r="Y34" s="1049">
        <v>602.57999999999993</v>
      </c>
      <c r="Z34" s="1049">
        <v>630.69999999999993</v>
      </c>
      <c r="AA34" s="1049">
        <v>686.64749999999992</v>
      </c>
      <c r="AB34" s="1047">
        <v>712.57999999999993</v>
      </c>
      <c r="AC34" s="1048">
        <v>978.5</v>
      </c>
      <c r="AD34" s="1049">
        <v>1022.1999999999999</v>
      </c>
      <c r="AE34" s="1049">
        <v>1064</v>
      </c>
      <c r="AF34" s="1049">
        <v>1103.8999999999999</v>
      </c>
      <c r="AG34" s="1047">
        <v>1140</v>
      </c>
      <c r="AH34" s="1048">
        <v>415.73999999999995</v>
      </c>
      <c r="AI34" s="1049">
        <v>448.56</v>
      </c>
      <c r="AJ34" s="1049">
        <v>469.56</v>
      </c>
      <c r="AK34" s="1049">
        <v>505.12</v>
      </c>
      <c r="AL34" s="1047">
        <v>548.1</v>
      </c>
      <c r="AM34" s="1048">
        <v>538.20000000000005</v>
      </c>
      <c r="AN34" s="1049">
        <v>583.83999999999992</v>
      </c>
      <c r="AO34" s="1049">
        <v>611.52</v>
      </c>
      <c r="AP34" s="1049">
        <v>652.30999999999995</v>
      </c>
      <c r="AQ34" s="1047">
        <v>702.24</v>
      </c>
      <c r="AR34" s="1048">
        <v>921.5</v>
      </c>
      <c r="AS34" s="1049">
        <v>931</v>
      </c>
      <c r="AT34" s="1049">
        <v>940.5</v>
      </c>
      <c r="AU34" s="1049">
        <v>950</v>
      </c>
      <c r="AV34" s="1047">
        <v>959.5</v>
      </c>
      <c r="AW34" s="1048">
        <v>1037.3999999999999</v>
      </c>
      <c r="AX34" s="1049">
        <v>1046.8999999999999</v>
      </c>
      <c r="AY34" s="1049">
        <v>1056.3999999999999</v>
      </c>
      <c r="AZ34" s="1049">
        <v>1065.8999999999999</v>
      </c>
      <c r="BA34" s="1047">
        <v>1075.3999999999999</v>
      </c>
      <c r="BB34" s="1048">
        <v>408.57599999999996</v>
      </c>
      <c r="BC34" s="1049">
        <v>424.84</v>
      </c>
      <c r="BD34" s="1047">
        <v>459.88800000000003</v>
      </c>
      <c r="BE34" s="1048">
        <v>927</v>
      </c>
      <c r="BF34" s="1049">
        <v>980.5</v>
      </c>
      <c r="BG34" s="1047">
        <v>1075.3999999999999</v>
      </c>
      <c r="BH34" s="1048">
        <v>131</v>
      </c>
      <c r="BI34" s="1049">
        <v>138</v>
      </c>
      <c r="BJ34" s="1049">
        <v>145</v>
      </c>
      <c r="BK34" s="1049">
        <v>152</v>
      </c>
      <c r="BL34" s="1047">
        <v>160</v>
      </c>
      <c r="BM34" s="1048">
        <v>83.591999999999999</v>
      </c>
      <c r="BN34" s="1049">
        <v>99.626309999999989</v>
      </c>
      <c r="BO34" s="1049">
        <v>122.50800000000001</v>
      </c>
      <c r="BP34" s="1049">
        <v>144.16584</v>
      </c>
      <c r="BQ34" s="1047">
        <v>165.048</v>
      </c>
      <c r="BR34" s="1048">
        <v>90</v>
      </c>
      <c r="BS34" s="1049">
        <v>92.25</v>
      </c>
      <c r="BT34" s="1049">
        <v>96.75</v>
      </c>
      <c r="BU34" s="1049">
        <v>101.25</v>
      </c>
      <c r="BV34" s="1047">
        <v>103.5</v>
      </c>
      <c r="BW34" s="1048">
        <v>69.426000000000002</v>
      </c>
      <c r="BX34" s="1049">
        <v>82.121039999999979</v>
      </c>
      <c r="BY34" s="1049">
        <v>101.98420999999999</v>
      </c>
      <c r="BZ34" s="1049">
        <v>113.72944</v>
      </c>
      <c r="CA34" s="1047">
        <v>122.00565</v>
      </c>
      <c r="CB34" s="1048">
        <v>25</v>
      </c>
      <c r="CC34" s="1049">
        <v>26.65</v>
      </c>
      <c r="CD34" s="1049">
        <v>42.4</v>
      </c>
      <c r="CE34" s="1049">
        <v>61.75</v>
      </c>
      <c r="CF34" s="1047">
        <v>65</v>
      </c>
      <c r="CG34" s="1048">
        <v>1206.7</v>
      </c>
      <c r="CH34" s="1049">
        <v>1335.95</v>
      </c>
      <c r="CI34" s="1047">
        <v>1459.7</v>
      </c>
      <c r="CJ34" s="1048">
        <v>128.76</v>
      </c>
      <c r="CK34" s="1049">
        <v>129.91999999999999</v>
      </c>
      <c r="CL34" s="1047">
        <v>127.6</v>
      </c>
      <c r="CM34" s="1048">
        <v>128.76</v>
      </c>
      <c r="CN34" s="1049">
        <v>129.91999999999999</v>
      </c>
      <c r="CO34" s="1047">
        <v>127.6</v>
      </c>
      <c r="CP34" s="1050">
        <v>23.734999999999999</v>
      </c>
      <c r="CQ34" s="1051">
        <v>25.25</v>
      </c>
      <c r="CR34" s="1052">
        <v>26.926600000000001</v>
      </c>
      <c r="CS34" s="1053">
        <v>4.6818749999999998</v>
      </c>
      <c r="CT34" s="1054">
        <v>5.1074999999999999</v>
      </c>
      <c r="CU34" s="1054">
        <v>5.5331250000000001</v>
      </c>
      <c r="CV34" s="1043"/>
      <c r="CW34" s="1044"/>
      <c r="CX34" s="1055">
        <f>CX28*CX29/100</f>
        <v>2250</v>
      </c>
      <c r="CY34" s="1056">
        <f>CY28*CY29/100</f>
        <v>2280</v>
      </c>
      <c r="CZ34" s="1071">
        <f>CZ28*CZ29/100</f>
        <v>1680</v>
      </c>
      <c r="DA34" s="1055">
        <v>1650</v>
      </c>
      <c r="DB34" s="1056">
        <v>1650</v>
      </c>
      <c r="DC34" s="1164">
        <f>DB34</f>
        <v>1650</v>
      </c>
      <c r="DD34" s="1055">
        <v>500</v>
      </c>
      <c r="DE34" s="1056">
        <v>530</v>
      </c>
      <c r="DF34" s="1066">
        <f>DE34</f>
        <v>530</v>
      </c>
      <c r="DG34" s="1055">
        <v>395</v>
      </c>
      <c r="DH34" s="1056">
        <v>415</v>
      </c>
      <c r="DI34" s="1066">
        <f>DH34</f>
        <v>415</v>
      </c>
      <c r="DJ34" s="1055">
        <v>500</v>
      </c>
      <c r="DK34" s="1056">
        <v>610</v>
      </c>
      <c r="DL34" s="1066">
        <f>DK34</f>
        <v>610</v>
      </c>
      <c r="DM34" s="1057">
        <v>92.012</v>
      </c>
      <c r="DN34" s="1058">
        <v>98.105599999999995</v>
      </c>
      <c r="DO34" s="1059" cm="1">
        <f t="array" ref="DO34">_xlfn.IFS(Dashboard!$C$4="Conventional pricing",BO34,Dashboard!$C$4="Organic pricing",DN34)</f>
        <v>122.50800000000001</v>
      </c>
      <c r="DP34" s="1057">
        <v>65.820000000000007</v>
      </c>
      <c r="DQ34" s="1058">
        <v>67.608000000000004</v>
      </c>
      <c r="DR34" s="1059">
        <f>DQ34</f>
        <v>67.608000000000004</v>
      </c>
      <c r="DS34" s="1051">
        <v>25.25</v>
      </c>
      <c r="DU34" s="1060" t="s">
        <v>508</v>
      </c>
      <c r="DV34" s="1061" t="s">
        <v>472</v>
      </c>
      <c r="DW34" s="1062">
        <v>68</v>
      </c>
      <c r="DX34" s="1063">
        <v>66</v>
      </c>
      <c r="DY34" s="1063">
        <v>64</v>
      </c>
      <c r="DZ34" s="1063">
        <v>62</v>
      </c>
      <c r="EA34" s="1064">
        <v>60</v>
      </c>
      <c r="EB34" s="1063">
        <v>46</v>
      </c>
      <c r="EC34" s="1063">
        <v>45</v>
      </c>
      <c r="ED34" s="1063">
        <v>44</v>
      </c>
      <c r="EE34" s="1063">
        <v>43</v>
      </c>
      <c r="EF34" s="1064">
        <v>42</v>
      </c>
      <c r="EG34" s="235"/>
    </row>
    <row r="35" spans="1:169" s="45" customFormat="1" ht="10.5" x14ac:dyDescent="0.25">
      <c r="A35" s="238"/>
      <c r="B35" s="463" t="s">
        <v>509</v>
      </c>
      <c r="C35" s="22"/>
      <c r="D35" s="20">
        <v>1302.24</v>
      </c>
      <c r="E35" s="21">
        <v>1349.7825</v>
      </c>
      <c r="F35" s="21">
        <v>1420.35</v>
      </c>
      <c r="G35" s="21">
        <v>1490.9175</v>
      </c>
      <c r="H35" s="22">
        <v>1514.44</v>
      </c>
      <c r="I35" s="20">
        <v>-162.56666666666666</v>
      </c>
      <c r="J35" s="21">
        <v>-154.23333333333332</v>
      </c>
      <c r="K35" s="21">
        <v>-154.23333333333332</v>
      </c>
      <c r="L35" s="21">
        <v>-154.23333333333332</v>
      </c>
      <c r="M35" s="22">
        <v>-146.88039215686271</v>
      </c>
      <c r="N35" s="20"/>
      <c r="O35" s="21"/>
      <c r="P35" s="21"/>
      <c r="Q35" s="21"/>
      <c r="R35" s="22"/>
      <c r="S35" s="20"/>
      <c r="T35" s="21"/>
      <c r="U35" s="21"/>
      <c r="V35" s="21"/>
      <c r="W35" s="22"/>
      <c r="X35" s="20">
        <v>-171.75714285714284</v>
      </c>
      <c r="Y35" s="21">
        <v>-171.75714285714284</v>
      </c>
      <c r="Z35" s="21">
        <v>-171.75714285714284</v>
      </c>
      <c r="AA35" s="21">
        <v>-171.75714285714284</v>
      </c>
      <c r="AB35" s="22">
        <v>-171.75714285714284</v>
      </c>
      <c r="AC35" s="20"/>
      <c r="AD35" s="21"/>
      <c r="AE35" s="21"/>
      <c r="AF35" s="21"/>
      <c r="AG35" s="22"/>
      <c r="AH35" s="20">
        <v>-161.46666666666667</v>
      </c>
      <c r="AI35" s="21">
        <v>-161.46666666666667</v>
      </c>
      <c r="AJ35" s="21">
        <v>-161.46666666666667</v>
      </c>
      <c r="AK35" s="21">
        <v>-161.46666666666667</v>
      </c>
      <c r="AL35" s="22">
        <v>-161.46666666666667</v>
      </c>
      <c r="AM35" s="20">
        <v>-179.32380952380953</v>
      </c>
      <c r="AN35" s="21">
        <v>-179.32380952380953</v>
      </c>
      <c r="AO35" s="21">
        <v>-179.32380952380953</v>
      </c>
      <c r="AP35" s="21">
        <v>-179.32380952380953</v>
      </c>
      <c r="AQ35" s="22">
        <v>-179.32380952380953</v>
      </c>
      <c r="AR35" s="20"/>
      <c r="AS35" s="21"/>
      <c r="AT35" s="40"/>
      <c r="AU35" s="21"/>
      <c r="AV35" s="22"/>
      <c r="AW35" s="20"/>
      <c r="AX35" s="21"/>
      <c r="AY35" s="40"/>
      <c r="AZ35" s="21"/>
      <c r="BA35" s="22"/>
      <c r="BB35" s="20">
        <v>-135.38333333333333</v>
      </c>
      <c r="BC35" s="21">
        <v>-135.38333333333333</v>
      </c>
      <c r="BD35" s="22">
        <v>-135.38333333333333</v>
      </c>
      <c r="BE35" s="20"/>
      <c r="BF35" s="21"/>
      <c r="BG35" s="22"/>
      <c r="BH35" s="20"/>
      <c r="BI35" s="21"/>
      <c r="BJ35" s="21"/>
      <c r="BK35" s="21"/>
      <c r="BL35" s="22"/>
      <c r="BM35" s="20">
        <v>-20.25</v>
      </c>
      <c r="BN35" s="21">
        <v>-20.239999999999998</v>
      </c>
      <c r="BO35" s="21">
        <v>-20.239999999999998</v>
      </c>
      <c r="BP35" s="21">
        <v>-20.239999999999998</v>
      </c>
      <c r="BQ35" s="22">
        <v>-20.25</v>
      </c>
      <c r="BR35" s="20"/>
      <c r="BS35" s="21"/>
      <c r="BT35" s="21"/>
      <c r="BU35" s="21"/>
      <c r="BV35" s="22"/>
      <c r="BW35" s="20">
        <v>-29.375</v>
      </c>
      <c r="BX35" s="21">
        <v>-29.375</v>
      </c>
      <c r="BY35" s="21">
        <v>-29.375</v>
      </c>
      <c r="BZ35" s="21">
        <v>-29.375</v>
      </c>
      <c r="CA35" s="22">
        <v>-29.375</v>
      </c>
      <c r="CB35" s="20">
        <v>-6</v>
      </c>
      <c r="CC35" s="21">
        <v>-5.71</v>
      </c>
      <c r="CD35" s="21">
        <v>-5.71</v>
      </c>
      <c r="CE35" s="21">
        <v>-5.71</v>
      </c>
      <c r="CF35" s="22">
        <v>-6</v>
      </c>
      <c r="CG35" s="20">
        <v>-102.28</v>
      </c>
      <c r="CH35" s="21">
        <v>-101.94</v>
      </c>
      <c r="CI35" s="22">
        <v>-101.73</v>
      </c>
      <c r="CJ35" s="20"/>
      <c r="CK35" s="21"/>
      <c r="CL35" s="22"/>
      <c r="CM35" s="35">
        <v>-4.6618049225159526</v>
      </c>
      <c r="CN35" s="17">
        <v>-4.1967888019761217</v>
      </c>
      <c r="CO35" s="30">
        <v>-3.833082140165788</v>
      </c>
      <c r="CP35" s="24">
        <v>-4.2460000000000004</v>
      </c>
      <c r="CQ35" s="23">
        <v>-4.2254999999999994</v>
      </c>
      <c r="CR35" s="25">
        <v>-4.1639999999999997</v>
      </c>
      <c r="CS35" s="24">
        <v>-0.77</v>
      </c>
      <c r="CT35" s="25">
        <v>-0.77</v>
      </c>
      <c r="CU35" s="25">
        <v>-0.77</v>
      </c>
      <c r="CV35" s="545"/>
      <c r="CW35" s="550"/>
      <c r="CX35" s="884">
        <v>-300</v>
      </c>
      <c r="CY35" s="885">
        <v>-200</v>
      </c>
      <c r="CZ35" s="886">
        <v>-140</v>
      </c>
      <c r="DA35" s="847">
        <v>-262.5</v>
      </c>
      <c r="DB35" s="848">
        <v>-262.5</v>
      </c>
      <c r="DC35" s="849">
        <v>-262.5</v>
      </c>
      <c r="DD35" s="847">
        <v>-80</v>
      </c>
      <c r="DE35" s="848">
        <v>-70</v>
      </c>
      <c r="DF35" s="849">
        <v>-50</v>
      </c>
      <c r="DG35" s="847">
        <v>-100</v>
      </c>
      <c r="DH35" s="848">
        <v>-90</v>
      </c>
      <c r="DI35" s="849">
        <v>-70</v>
      </c>
      <c r="DJ35" s="847"/>
      <c r="DK35" s="848"/>
      <c r="DL35" s="849"/>
      <c r="DM35" s="102">
        <v>-3.5</v>
      </c>
      <c r="DN35" s="103">
        <v>-3.3</v>
      </c>
      <c r="DO35" s="243">
        <v>-3</v>
      </c>
      <c r="DP35" s="102">
        <v>-3.5</v>
      </c>
      <c r="DQ35" s="103">
        <v>-3.3</v>
      </c>
      <c r="DR35" s="243">
        <v>-3</v>
      </c>
      <c r="DS35" s="23">
        <v>-4.2254999999999994</v>
      </c>
      <c r="DT35" s="238"/>
      <c r="DU35" s="583" t="s">
        <v>255</v>
      </c>
      <c r="DV35" s="147" t="s">
        <v>472</v>
      </c>
      <c r="DW35" s="144">
        <v>62</v>
      </c>
      <c r="DX35" s="132">
        <v>62</v>
      </c>
      <c r="DY35" s="132">
        <v>60</v>
      </c>
      <c r="DZ35" s="132">
        <v>58</v>
      </c>
      <c r="EA35" s="145">
        <v>58</v>
      </c>
      <c r="EB35" s="132">
        <v>35</v>
      </c>
      <c r="EC35" s="132">
        <v>35</v>
      </c>
      <c r="ED35" s="132">
        <v>34</v>
      </c>
      <c r="EE35" s="132">
        <v>33</v>
      </c>
      <c r="EF35" s="145">
        <v>33</v>
      </c>
      <c r="EG35" s="235"/>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row>
    <row r="36" spans="1:169" s="45" customFormat="1" ht="11" thickBot="1" x14ac:dyDescent="0.3">
      <c r="A36" s="513"/>
      <c r="B36" s="463" t="s">
        <v>510</v>
      </c>
      <c r="C36" s="22"/>
      <c r="D36" s="20">
        <v>-178.5</v>
      </c>
      <c r="E36" s="21">
        <v>-178.5</v>
      </c>
      <c r="F36" s="21">
        <v>-178.5</v>
      </c>
      <c r="G36" s="21">
        <v>-178.5</v>
      </c>
      <c r="H36" s="22">
        <v>-178.5</v>
      </c>
      <c r="I36" s="20">
        <v>-5.0999999999999996</v>
      </c>
      <c r="J36" s="21">
        <v>-5.0999999999999996</v>
      </c>
      <c r="K36" s="21">
        <v>-5.0999999999999996</v>
      </c>
      <c r="L36" s="21">
        <v>-5.0999999999999996</v>
      </c>
      <c r="M36" s="22">
        <v>-5.0999999999999996</v>
      </c>
      <c r="N36" s="20">
        <v>-778.68000000000006</v>
      </c>
      <c r="O36" s="21">
        <v>-778.68000000000006</v>
      </c>
      <c r="P36" s="21">
        <v>-771.12</v>
      </c>
      <c r="Q36" s="21">
        <v>-763.56000000000006</v>
      </c>
      <c r="R36" s="22">
        <v>-763.56000000000006</v>
      </c>
      <c r="S36" s="20">
        <v>-782.80000000000007</v>
      </c>
      <c r="T36" s="21">
        <v>-778.99999999999989</v>
      </c>
      <c r="U36" s="21">
        <v>-775.2</v>
      </c>
      <c r="V36" s="21">
        <v>-771.4</v>
      </c>
      <c r="W36" s="22">
        <v>-767.6</v>
      </c>
      <c r="X36" s="20">
        <v>-6.8</v>
      </c>
      <c r="Y36" s="21">
        <v>-6.8</v>
      </c>
      <c r="Z36" s="21">
        <v>-6.8</v>
      </c>
      <c r="AA36" s="21">
        <v>-6.8</v>
      </c>
      <c r="AB36" s="22">
        <v>-6.8</v>
      </c>
      <c r="AC36" s="20">
        <v>-763.23</v>
      </c>
      <c r="AD36" s="21">
        <v>-763.23</v>
      </c>
      <c r="AE36" s="21">
        <v>-755.82</v>
      </c>
      <c r="AF36" s="21">
        <v>-748.41</v>
      </c>
      <c r="AG36" s="22">
        <v>-748.41</v>
      </c>
      <c r="AH36" s="20">
        <v>-5.0999999999999996</v>
      </c>
      <c r="AI36" s="21">
        <v>-5.0999999999999996</v>
      </c>
      <c r="AJ36" s="21">
        <v>-5.0999999999999996</v>
      </c>
      <c r="AK36" s="21">
        <v>-5.0999999999999996</v>
      </c>
      <c r="AL36" s="22">
        <v>-5.0999999999999996</v>
      </c>
      <c r="AM36" s="20">
        <v>-6.8</v>
      </c>
      <c r="AN36" s="21">
        <v>-6.8</v>
      </c>
      <c r="AO36" s="21">
        <v>-6.8</v>
      </c>
      <c r="AP36" s="21">
        <v>-6.8</v>
      </c>
      <c r="AQ36" s="22">
        <v>-6.8</v>
      </c>
      <c r="AR36" s="20">
        <v>-668.61</v>
      </c>
      <c r="AS36" s="21">
        <v>-665.33249999999998</v>
      </c>
      <c r="AT36" s="21">
        <v>-662.05499999999995</v>
      </c>
      <c r="AU36" s="21">
        <v>-662.05499999999995</v>
      </c>
      <c r="AV36" s="22">
        <v>-662.05499999999995</v>
      </c>
      <c r="AW36" s="20">
        <v>-687.99</v>
      </c>
      <c r="AX36" s="21">
        <v>-684.61749999999995</v>
      </c>
      <c r="AY36" s="21">
        <v>-681.245</v>
      </c>
      <c r="AZ36" s="21">
        <v>-681.245</v>
      </c>
      <c r="BA36" s="22">
        <v>-681.245</v>
      </c>
      <c r="BB36" s="20">
        <v>-5.0999999999999996</v>
      </c>
      <c r="BC36" s="21">
        <v>-5.0999999999999996</v>
      </c>
      <c r="BD36" s="22">
        <v>-5.0999999999999996</v>
      </c>
      <c r="BE36" s="20">
        <v>-508.82</v>
      </c>
      <c r="BF36" s="21">
        <v>-503.88</v>
      </c>
      <c r="BG36" s="22">
        <v>-503.88</v>
      </c>
      <c r="BH36" s="20">
        <v>-87.53</v>
      </c>
      <c r="BI36" s="21">
        <v>-91.603999999999999</v>
      </c>
      <c r="BJ36" s="21">
        <v>-91.603999999999999</v>
      </c>
      <c r="BK36" s="21">
        <v>-91.603999999999999</v>
      </c>
      <c r="BL36" s="22">
        <v>-98.080000000000013</v>
      </c>
      <c r="BM36" s="20">
        <v>0.4</v>
      </c>
      <c r="BN36" s="21">
        <v>0.4</v>
      </c>
      <c r="BO36" s="21">
        <v>0.4</v>
      </c>
      <c r="BP36" s="21">
        <v>0.4</v>
      </c>
      <c r="BQ36" s="22">
        <v>0.4</v>
      </c>
      <c r="BR36" s="20">
        <v>-57.2</v>
      </c>
      <c r="BS36" s="21">
        <v>-57.2</v>
      </c>
      <c r="BT36" s="21">
        <v>-57.2</v>
      </c>
      <c r="BU36" s="21">
        <v>-57.2</v>
      </c>
      <c r="BV36" s="22">
        <v>-57.2</v>
      </c>
      <c r="BW36" s="20">
        <v>1</v>
      </c>
      <c r="BX36" s="21">
        <v>1</v>
      </c>
      <c r="BY36" s="21">
        <v>1</v>
      </c>
      <c r="BZ36" s="21">
        <v>1</v>
      </c>
      <c r="CA36" s="22">
        <v>1</v>
      </c>
      <c r="CB36" s="20">
        <v>0.8</v>
      </c>
      <c r="CC36" s="21">
        <v>8.1</v>
      </c>
      <c r="CD36" s="21">
        <v>8.1</v>
      </c>
      <c r="CE36" s="21">
        <v>8.1</v>
      </c>
      <c r="CF36" s="22">
        <v>0.8</v>
      </c>
      <c r="CG36" s="20"/>
      <c r="CH36" s="21"/>
      <c r="CI36" s="22"/>
      <c r="CJ36" s="35">
        <v>-56.760000000000005</v>
      </c>
      <c r="CK36" s="17">
        <v>-56.65</v>
      </c>
      <c r="CL36" s="30">
        <v>-56.54</v>
      </c>
      <c r="CM36" s="35">
        <v>-1.76</v>
      </c>
      <c r="CN36" s="17">
        <v>-1.65</v>
      </c>
      <c r="CO36" s="30">
        <v>-1.54</v>
      </c>
      <c r="CP36" s="20"/>
      <c r="CQ36" s="17"/>
      <c r="CR36" s="22"/>
      <c r="CS36" s="20"/>
      <c r="CT36" s="25"/>
      <c r="CU36" s="22"/>
      <c r="CV36" s="548"/>
      <c r="CW36" s="550"/>
      <c r="CX36" s="884">
        <v>110</v>
      </c>
      <c r="CY36" s="885">
        <v>110</v>
      </c>
      <c r="CZ36" s="886">
        <v>95</v>
      </c>
      <c r="DA36" s="847"/>
      <c r="DB36" s="848"/>
      <c r="DC36" s="849"/>
      <c r="DD36" s="847"/>
      <c r="DE36" s="848"/>
      <c r="DF36" s="849"/>
      <c r="DG36" s="847"/>
      <c r="DH36" s="848"/>
      <c r="DI36" s="849"/>
      <c r="DJ36" s="847"/>
      <c r="DK36" s="848"/>
      <c r="DL36" s="849"/>
      <c r="DM36" s="114">
        <v>1</v>
      </c>
      <c r="DN36" s="100">
        <v>1</v>
      </c>
      <c r="DO36" s="118">
        <v>1</v>
      </c>
      <c r="DP36" s="114">
        <v>1</v>
      </c>
      <c r="DQ36" s="100">
        <v>1</v>
      </c>
      <c r="DR36" s="118">
        <v>1</v>
      </c>
      <c r="DS36" s="17"/>
      <c r="DT36" s="238"/>
      <c r="DU36" s="583" t="s">
        <v>511</v>
      </c>
      <c r="DV36" s="147" t="s">
        <v>472</v>
      </c>
      <c r="DW36" s="144">
        <v>84</v>
      </c>
      <c r="DX36" s="132">
        <v>82</v>
      </c>
      <c r="DY36" s="132">
        <v>80</v>
      </c>
      <c r="DZ36" s="132">
        <v>78</v>
      </c>
      <c r="EA36" s="145">
        <v>56</v>
      </c>
      <c r="EB36" s="132">
        <v>62</v>
      </c>
      <c r="EC36" s="132">
        <v>60</v>
      </c>
      <c r="ED36" s="132">
        <v>58</v>
      </c>
      <c r="EE36" s="132">
        <v>56</v>
      </c>
      <c r="EF36" s="145">
        <v>54</v>
      </c>
      <c r="EG36" s="235"/>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row>
    <row r="37" spans="1:169" s="494" customFormat="1" ht="10.5" x14ac:dyDescent="0.25">
      <c r="A37" s="512"/>
      <c r="B37" s="1491" t="s">
        <v>504</v>
      </c>
      <c r="C37" s="491" t="s">
        <v>458</v>
      </c>
      <c r="D37" s="493">
        <v>1123.74</v>
      </c>
      <c r="E37" s="492">
        <v>1171.2825</v>
      </c>
      <c r="F37" s="492">
        <v>1241.8499999999999</v>
      </c>
      <c r="G37" s="492">
        <v>1312.4175</v>
      </c>
      <c r="H37" s="491">
        <v>1335.94</v>
      </c>
      <c r="I37" s="493">
        <v>291.33333333333331</v>
      </c>
      <c r="J37" s="492">
        <v>306.4666666666667</v>
      </c>
      <c r="K37" s="492">
        <v>327.86666666666667</v>
      </c>
      <c r="L37" s="492">
        <v>390.68666666666661</v>
      </c>
      <c r="M37" s="491">
        <v>426.01960784313724</v>
      </c>
      <c r="N37" s="493">
        <v>294.31999999999994</v>
      </c>
      <c r="O37" s="492">
        <v>315.03999999999996</v>
      </c>
      <c r="P37" s="492">
        <v>334.255</v>
      </c>
      <c r="Q37" s="492">
        <v>353.46999999999991</v>
      </c>
      <c r="R37" s="491">
        <v>374.18999999999994</v>
      </c>
      <c r="S37" s="493">
        <v>262.19999999999993</v>
      </c>
      <c r="T37" s="492">
        <v>266.00000000000011</v>
      </c>
      <c r="U37" s="492">
        <v>269.79999999999995</v>
      </c>
      <c r="V37" s="492">
        <v>273.60000000000002</v>
      </c>
      <c r="W37" s="491">
        <v>277.39999999999998</v>
      </c>
      <c r="X37" s="493">
        <v>389.0878571428571</v>
      </c>
      <c r="Y37" s="492">
        <v>424.02285714285705</v>
      </c>
      <c r="Z37" s="492">
        <v>452.14285714285705</v>
      </c>
      <c r="AA37" s="492">
        <v>508.09035714285704</v>
      </c>
      <c r="AB37" s="491">
        <v>534.02285714285711</v>
      </c>
      <c r="AC37" s="493">
        <v>215.26999999999998</v>
      </c>
      <c r="AD37" s="492">
        <v>258.96999999999991</v>
      </c>
      <c r="AE37" s="492">
        <v>308.17999999999995</v>
      </c>
      <c r="AF37" s="492">
        <v>355.4899999999999</v>
      </c>
      <c r="AG37" s="491">
        <v>391.59000000000003</v>
      </c>
      <c r="AH37" s="493">
        <v>249.17333333333329</v>
      </c>
      <c r="AI37" s="492">
        <v>281.99333333333334</v>
      </c>
      <c r="AJ37" s="492">
        <v>302.99333333333334</v>
      </c>
      <c r="AK37" s="492">
        <v>338.55333333333328</v>
      </c>
      <c r="AL37" s="491">
        <v>381.5333333333333</v>
      </c>
      <c r="AM37" s="493">
        <v>352.0761904761905</v>
      </c>
      <c r="AN37" s="492">
        <v>397.71619047619038</v>
      </c>
      <c r="AO37" s="492">
        <v>425.39619047619044</v>
      </c>
      <c r="AP37" s="492">
        <v>466.1861904761904</v>
      </c>
      <c r="AQ37" s="491">
        <v>516.11619047619047</v>
      </c>
      <c r="AR37" s="493">
        <v>252.89</v>
      </c>
      <c r="AS37" s="492">
        <v>265.66750000000002</v>
      </c>
      <c r="AT37" s="492">
        <v>278.44500000000005</v>
      </c>
      <c r="AU37" s="492">
        <v>287.94500000000005</v>
      </c>
      <c r="AV37" s="491">
        <v>297.44500000000005</v>
      </c>
      <c r="AW37" s="493">
        <v>349.40999999999985</v>
      </c>
      <c r="AX37" s="492">
        <v>362.28249999999991</v>
      </c>
      <c r="AY37" s="492">
        <v>375.15499999999986</v>
      </c>
      <c r="AZ37" s="492">
        <v>384.65499999999986</v>
      </c>
      <c r="BA37" s="491">
        <v>394.15499999999986</v>
      </c>
      <c r="BB37" s="493">
        <v>268.09266666666662</v>
      </c>
      <c r="BC37" s="492">
        <v>284.35666666666663</v>
      </c>
      <c r="BD37" s="491">
        <v>319.40466666666669</v>
      </c>
      <c r="BE37" s="493">
        <v>418.18</v>
      </c>
      <c r="BF37" s="492">
        <v>476.62</v>
      </c>
      <c r="BG37" s="491">
        <v>571.51999999999987</v>
      </c>
      <c r="BH37" s="493">
        <v>43.47</v>
      </c>
      <c r="BI37" s="492">
        <v>46.396000000000001</v>
      </c>
      <c r="BJ37" s="492">
        <v>53.396000000000001</v>
      </c>
      <c r="BK37" s="492">
        <v>60.396000000000001</v>
      </c>
      <c r="BL37" s="491">
        <v>61.919999999999987</v>
      </c>
      <c r="BM37" s="493">
        <v>63.741999999999997</v>
      </c>
      <c r="BN37" s="492">
        <v>79.78631</v>
      </c>
      <c r="BO37" s="492">
        <v>102.66800000000002</v>
      </c>
      <c r="BP37" s="492">
        <v>124.32584000000001</v>
      </c>
      <c r="BQ37" s="491">
        <v>145.19800000000001</v>
      </c>
      <c r="BR37" s="493">
        <v>32.799999999999997</v>
      </c>
      <c r="BS37" s="492">
        <v>35.049999999999997</v>
      </c>
      <c r="BT37" s="492">
        <v>39.549999999999997</v>
      </c>
      <c r="BU37" s="492">
        <v>44.05</v>
      </c>
      <c r="BV37" s="491">
        <v>46.3</v>
      </c>
      <c r="BW37" s="493">
        <v>41.051000000000002</v>
      </c>
      <c r="BX37" s="492">
        <v>53.746039999999979</v>
      </c>
      <c r="BY37" s="492">
        <v>73.60920999999999</v>
      </c>
      <c r="BZ37" s="492">
        <v>85.354439999999997</v>
      </c>
      <c r="CA37" s="491">
        <v>93.630650000000003</v>
      </c>
      <c r="CB37" s="493">
        <v>19.8</v>
      </c>
      <c r="CC37" s="492">
        <v>29.04</v>
      </c>
      <c r="CD37" s="492">
        <v>44.79</v>
      </c>
      <c r="CE37" s="492">
        <v>64.14</v>
      </c>
      <c r="CF37" s="491">
        <v>59.8</v>
      </c>
      <c r="CG37" s="493">
        <v>1104.42</v>
      </c>
      <c r="CH37" s="492">
        <v>1234.01</v>
      </c>
      <c r="CI37" s="491">
        <v>1357.97</v>
      </c>
      <c r="CJ37" s="493">
        <v>71.999999999999986</v>
      </c>
      <c r="CK37" s="501">
        <v>73.269999999999982</v>
      </c>
      <c r="CL37" s="502">
        <v>71.06</v>
      </c>
      <c r="CM37" s="493">
        <v>122.33819507748403</v>
      </c>
      <c r="CN37" s="492">
        <v>124.07321119802386</v>
      </c>
      <c r="CO37" s="491">
        <v>122.2269178598342</v>
      </c>
      <c r="CP37" s="503">
        <v>19.488999999999997</v>
      </c>
      <c r="CQ37" s="504">
        <v>21.0245</v>
      </c>
      <c r="CR37" s="505">
        <v>22.762599999999999</v>
      </c>
      <c r="CS37" s="503">
        <v>3.9118749999999998</v>
      </c>
      <c r="CT37" s="505">
        <v>4.3375000000000004</v>
      </c>
      <c r="CU37" s="505">
        <v>4.7631250000000005</v>
      </c>
      <c r="CV37" s="545"/>
      <c r="CW37" s="533"/>
      <c r="CX37" s="892">
        <f>SUM(CX34:CX36)</f>
        <v>2060</v>
      </c>
      <c r="CY37" s="893">
        <f>SUM(CY34:CY36)</f>
        <v>2190</v>
      </c>
      <c r="CZ37" s="894">
        <f>SUM(CZ34:CZ36)</f>
        <v>1635</v>
      </c>
      <c r="DA37" s="912">
        <f t="shared" ref="DA37:DB37" si="6">SUM(DA34:DA36)</f>
        <v>1387.5</v>
      </c>
      <c r="DB37" s="911">
        <f t="shared" si="6"/>
        <v>1387.5</v>
      </c>
      <c r="DC37" s="894" cm="1">
        <f t="array" ref="DC37">_xlfn.IFS(Dashboard!$C$4="Conventional pricing",F37,Dashboard!$C$4="Organic pricing",SUM(DC34:DC36),Dashboard!$C$4=Lists!D5,F37*(1+Dashboard!D4))</f>
        <v>1241.8499999999999</v>
      </c>
      <c r="DD37" s="912">
        <f>SUM(DD34:DD36)</f>
        <v>420</v>
      </c>
      <c r="DE37" s="911">
        <f t="shared" ref="DE37" si="7">SUM(DE34:DE36)</f>
        <v>460</v>
      </c>
      <c r="DF37" s="894" cm="1">
        <f t="array" ref="DF37">_xlfn.IFS(Dashboard!$C$4="Conventional pricing",K37,Dashboard!$C$4="Organic pricing",SUM(DF34:DF36),Dashboard!$C$4=Lists!D5,K37*(1+Dashboard!D4))</f>
        <v>327.86666666666667</v>
      </c>
      <c r="DG37" s="912">
        <f>SUM(DG34:DG36)</f>
        <v>295</v>
      </c>
      <c r="DH37" s="911">
        <f t="shared" ref="DH37" si="8">SUM(DH34:DH36)</f>
        <v>325</v>
      </c>
      <c r="DI37" s="894" cm="1">
        <f t="array" ref="DI37">_xlfn.IFS(Dashboard!$C$4="Conventional pricing",AJ37,Dashboard!$C$4="Organic pricing",SUM(DI34:DI36),Dashboard!$C$4=Lists!D5,AJ37*(1+Dashboard!D4))</f>
        <v>302.99333333333334</v>
      </c>
      <c r="DJ37" s="912">
        <f>SUM(DJ34:DJ36)</f>
        <v>500</v>
      </c>
      <c r="DK37" s="911">
        <f t="shared" ref="DK37:DM37" si="9">SUM(DK34:DK36)</f>
        <v>610</v>
      </c>
      <c r="DL37" s="894" cm="1">
        <f t="array" ref="DL37">_xlfn.IFS(Dashboard!$C$4="Conventional pricing",AT37,Dashboard!$C$4="Organic pricing",SUM(DL34:DL36),Dashboard!$C$4=Lists!D5,AT37*(1+Dashboard!D4))</f>
        <v>278.44500000000005</v>
      </c>
      <c r="DM37" s="912">
        <f t="shared" si="9"/>
        <v>89.512</v>
      </c>
      <c r="DN37" s="911">
        <f>SUM(DN34:DN36)</f>
        <v>95.805599999999998</v>
      </c>
      <c r="DO37" s="894" cm="1">
        <f t="array" ref="DO37">_xlfn.IFS(Dashboard!$C$4="Conventional pricing",BO37,Dashboard!$C$4="Organic pricing",SUM(DO34:DO36),Dashboard!$C$4=Lists!D5,BO37*(1+Dashboard!D4))</f>
        <v>102.66800000000002</v>
      </c>
      <c r="DP37" s="912">
        <f t="shared" ref="DP37" si="10">SUM(DP34:DP36)</f>
        <v>63.320000000000007</v>
      </c>
      <c r="DQ37" s="911">
        <f>SUM(DQ34:DQ36)</f>
        <v>65.308000000000007</v>
      </c>
      <c r="DR37" s="894" cm="1">
        <f t="array" ref="DR37">_xlfn.IFS(Dashboard!$C$4="Conventional pricing",CD37,Dashboard!$C$4="Organic pricing",SUM(DR34:DR36),Dashboard!$C$4=Lists!D5,CD37*(1+Dashboard!D4))</f>
        <v>44.79</v>
      </c>
      <c r="DS37" s="894">
        <v>21.0245</v>
      </c>
      <c r="DT37" s="238"/>
      <c r="DU37" s="587" t="s">
        <v>512</v>
      </c>
      <c r="DV37" s="506" t="s">
        <v>472</v>
      </c>
      <c r="DW37" s="507">
        <v>947.6875</v>
      </c>
      <c r="DX37" s="508">
        <v>954.2</v>
      </c>
      <c r="DY37" s="508">
        <v>917</v>
      </c>
      <c r="DZ37" s="508">
        <v>879.8</v>
      </c>
      <c r="EA37" s="509">
        <v>869.25</v>
      </c>
      <c r="EB37" s="508">
        <v>677.07999999999993</v>
      </c>
      <c r="EC37" s="508">
        <v>655.72</v>
      </c>
      <c r="ED37" s="508">
        <v>623.55999999999995</v>
      </c>
      <c r="EE37" s="508">
        <v>604.48</v>
      </c>
      <c r="EF37" s="509">
        <v>590</v>
      </c>
      <c r="EG37" s="235"/>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row>
    <row r="38" spans="1:169" s="510" customFormat="1" ht="12" customHeight="1" thickBot="1" x14ac:dyDescent="0.3">
      <c r="A38" s="512"/>
      <c r="B38" s="1492"/>
      <c r="C38" s="441" t="s">
        <v>425</v>
      </c>
      <c r="D38" s="440">
        <f t="shared" ref="D38:BO38" si="11">D37*D10</f>
        <v>1348.4880000000001</v>
      </c>
      <c r="E38" s="489">
        <f t="shared" si="11"/>
        <v>1522.6672500000002</v>
      </c>
      <c r="F38" s="489">
        <f>F37*F10</f>
        <v>1738.5899999999997</v>
      </c>
      <c r="G38" s="489">
        <f t="shared" si="11"/>
        <v>1968.62625</v>
      </c>
      <c r="H38" s="441">
        <f t="shared" si="11"/>
        <v>2137.5040000000004</v>
      </c>
      <c r="I38" s="440">
        <f t="shared" si="11"/>
        <v>437</v>
      </c>
      <c r="J38" s="489">
        <f t="shared" si="11"/>
        <v>505.67</v>
      </c>
      <c r="K38" s="489">
        <f t="shared" si="11"/>
        <v>590.16000000000008</v>
      </c>
      <c r="L38" s="489">
        <f t="shared" si="11"/>
        <v>859.51066666666657</v>
      </c>
      <c r="M38" s="441">
        <f t="shared" si="11"/>
        <v>979.8450980392156</v>
      </c>
      <c r="N38" s="440">
        <f t="shared" si="11"/>
        <v>735.79999999999984</v>
      </c>
      <c r="O38" s="489">
        <f t="shared" si="11"/>
        <v>866.3599999999999</v>
      </c>
      <c r="P38" s="489">
        <f t="shared" si="11"/>
        <v>1002.765</v>
      </c>
      <c r="Q38" s="489">
        <f t="shared" si="11"/>
        <v>1237.1449999999998</v>
      </c>
      <c r="R38" s="441">
        <f t="shared" si="11"/>
        <v>1496.7599999999998</v>
      </c>
      <c r="S38" s="440">
        <f t="shared" si="11"/>
        <v>655.49999999999977</v>
      </c>
      <c r="T38" s="489">
        <f t="shared" si="11"/>
        <v>771.40000000000032</v>
      </c>
      <c r="U38" s="489">
        <f t="shared" si="11"/>
        <v>809.39999999999986</v>
      </c>
      <c r="V38" s="489">
        <f t="shared" si="11"/>
        <v>834.48</v>
      </c>
      <c r="W38" s="441">
        <f t="shared" si="11"/>
        <v>859.93999999999994</v>
      </c>
      <c r="X38" s="440">
        <f t="shared" si="11"/>
        <v>544.72299999999996</v>
      </c>
      <c r="Y38" s="489">
        <f t="shared" si="11"/>
        <v>636.0342857142856</v>
      </c>
      <c r="Z38" s="489">
        <f t="shared" si="11"/>
        <v>746.03571428571411</v>
      </c>
      <c r="AA38" s="489">
        <f t="shared" si="11"/>
        <v>1016.1807142857141</v>
      </c>
      <c r="AB38" s="441">
        <f t="shared" si="11"/>
        <v>1121.4479999999999</v>
      </c>
      <c r="AC38" s="440">
        <f t="shared" si="11"/>
        <v>645.80999999999995</v>
      </c>
      <c r="AD38" s="489">
        <f t="shared" si="11"/>
        <v>893.97863013698588</v>
      </c>
      <c r="AE38" s="489">
        <f t="shared" si="11"/>
        <v>1251.5932312651084</v>
      </c>
      <c r="AF38" s="489">
        <f t="shared" si="11"/>
        <v>1636.2279452054793</v>
      </c>
      <c r="AG38" s="441">
        <f t="shared" si="11"/>
        <v>1860.0525000000002</v>
      </c>
      <c r="AH38" s="440">
        <f t="shared" si="11"/>
        <v>274.09066666666666</v>
      </c>
      <c r="AI38" s="489">
        <f t="shared" si="11"/>
        <v>366.59133333333335</v>
      </c>
      <c r="AJ38" s="489">
        <f t="shared" si="11"/>
        <v>484.78933333333339</v>
      </c>
      <c r="AK38" s="489">
        <f t="shared" si="11"/>
        <v>643.25133333333326</v>
      </c>
      <c r="AL38" s="441">
        <f t="shared" si="11"/>
        <v>839.37333333333333</v>
      </c>
      <c r="AM38" s="440">
        <f t="shared" si="11"/>
        <v>316.86857142857144</v>
      </c>
      <c r="AN38" s="489">
        <f t="shared" si="11"/>
        <v>397.71619047619038</v>
      </c>
      <c r="AO38" s="489">
        <f t="shared" si="11"/>
        <v>531.74523809523805</v>
      </c>
      <c r="AP38" s="489">
        <f t="shared" si="11"/>
        <v>699.27928571428561</v>
      </c>
      <c r="AQ38" s="441">
        <f t="shared" si="11"/>
        <v>825.78590476190482</v>
      </c>
      <c r="AR38" s="440">
        <f t="shared" si="11"/>
        <v>657.51400000000001</v>
      </c>
      <c r="AS38" s="489">
        <f t="shared" si="11"/>
        <v>730.58562500000005</v>
      </c>
      <c r="AT38" s="489">
        <f t="shared" si="11"/>
        <v>835.33500000000015</v>
      </c>
      <c r="AU38" s="489">
        <f t="shared" si="11"/>
        <v>935.82125000000019</v>
      </c>
      <c r="AV38" s="441">
        <f t="shared" si="11"/>
        <v>1011.3130000000001</v>
      </c>
      <c r="AW38" s="440">
        <f t="shared" si="11"/>
        <v>1048.2299999999996</v>
      </c>
      <c r="AX38" s="489">
        <f t="shared" si="11"/>
        <v>1250.61904109589</v>
      </c>
      <c r="AY38" s="489">
        <f t="shared" si="11"/>
        <v>1523.5948428686536</v>
      </c>
      <c r="AZ38" s="489">
        <f t="shared" si="11"/>
        <v>1770.466849315068</v>
      </c>
      <c r="BA38" s="441">
        <f t="shared" si="11"/>
        <v>1970.7749999999992</v>
      </c>
      <c r="BB38" s="440">
        <f t="shared" si="11"/>
        <v>241.28339999999997</v>
      </c>
      <c r="BC38" s="489">
        <f t="shared" si="11"/>
        <v>284.35666666666663</v>
      </c>
      <c r="BD38" s="441">
        <f t="shared" si="11"/>
        <v>351.34513333333337</v>
      </c>
      <c r="BE38" s="440">
        <f t="shared" si="11"/>
        <v>627.27</v>
      </c>
      <c r="BF38" s="489">
        <f t="shared" si="11"/>
        <v>595.77499999999998</v>
      </c>
      <c r="BG38" s="441">
        <f t="shared" si="11"/>
        <v>1428.7999999999997</v>
      </c>
      <c r="BH38" s="440">
        <f t="shared" si="11"/>
        <v>521.64</v>
      </c>
      <c r="BI38" s="489">
        <f t="shared" si="11"/>
        <v>695.94</v>
      </c>
      <c r="BJ38" s="489">
        <f t="shared" si="11"/>
        <v>800.94</v>
      </c>
      <c r="BK38" s="489">
        <f t="shared" si="11"/>
        <v>905.94</v>
      </c>
      <c r="BL38" s="441">
        <f t="shared" si="11"/>
        <v>1114.5599999999997</v>
      </c>
      <c r="BM38" s="440">
        <f t="shared" si="11"/>
        <v>446.19399999999996</v>
      </c>
      <c r="BN38" s="489">
        <f t="shared" si="11"/>
        <v>638.29048</v>
      </c>
      <c r="BO38" s="489">
        <f t="shared" si="11"/>
        <v>1026.6800000000003</v>
      </c>
      <c r="BP38" s="489">
        <f t="shared" ref="BP38:CU38" si="12">BP37*BP10</f>
        <v>1367.5842400000001</v>
      </c>
      <c r="BQ38" s="441">
        <f t="shared" si="12"/>
        <v>1887.5740000000001</v>
      </c>
      <c r="BR38" s="440">
        <f t="shared" si="12"/>
        <v>787.19999999999993</v>
      </c>
      <c r="BS38" s="489">
        <f t="shared" si="12"/>
        <v>911.3</v>
      </c>
      <c r="BT38" s="489">
        <f t="shared" si="12"/>
        <v>1107.3999999999999</v>
      </c>
      <c r="BU38" s="489">
        <f t="shared" si="12"/>
        <v>1321.5</v>
      </c>
      <c r="BV38" s="441">
        <f t="shared" si="12"/>
        <v>1481.6</v>
      </c>
      <c r="BW38" s="440">
        <f t="shared" si="12"/>
        <v>123.15300000000001</v>
      </c>
      <c r="BX38" s="489">
        <f t="shared" si="12"/>
        <v>376.22227999999984</v>
      </c>
      <c r="BY38" s="489">
        <f t="shared" si="12"/>
        <v>552.06907499999988</v>
      </c>
      <c r="BZ38" s="489">
        <f t="shared" si="12"/>
        <v>682.83551999999997</v>
      </c>
      <c r="CA38" s="441">
        <f t="shared" si="12"/>
        <v>842.67585000000008</v>
      </c>
      <c r="CB38" s="440">
        <f t="shared" si="12"/>
        <v>297</v>
      </c>
      <c r="CC38" s="489">
        <f t="shared" si="12"/>
        <v>435.59999999999997</v>
      </c>
      <c r="CD38" s="489">
        <f t="shared" si="12"/>
        <v>671.85</v>
      </c>
      <c r="CE38" s="489">
        <f t="shared" si="12"/>
        <v>962.1</v>
      </c>
      <c r="CF38" s="441">
        <f t="shared" si="12"/>
        <v>897</v>
      </c>
      <c r="CG38" s="440">
        <f t="shared" si="12"/>
        <v>22088.400000000001</v>
      </c>
      <c r="CH38" s="489">
        <f t="shared" si="12"/>
        <v>24680.2</v>
      </c>
      <c r="CI38" s="441">
        <f t="shared" si="12"/>
        <v>27159.4</v>
      </c>
      <c r="CJ38" s="440">
        <f t="shared" si="12"/>
        <v>2015.9999999999995</v>
      </c>
      <c r="CK38" s="489">
        <f t="shared" si="12"/>
        <v>2198.0999999999995</v>
      </c>
      <c r="CL38" s="441">
        <f t="shared" si="12"/>
        <v>2487.1</v>
      </c>
      <c r="CM38" s="440">
        <f t="shared" si="12"/>
        <v>2936.1166818596166</v>
      </c>
      <c r="CN38" s="489">
        <f t="shared" si="12"/>
        <v>3101.8302799505964</v>
      </c>
      <c r="CO38" s="441">
        <f t="shared" si="12"/>
        <v>3361.2402411454405</v>
      </c>
      <c r="CP38" s="440">
        <f t="shared" si="12"/>
        <v>19488.999999999996</v>
      </c>
      <c r="CQ38" s="489">
        <f>CQ37*CQ10</f>
        <v>21024.5</v>
      </c>
      <c r="CR38" s="441">
        <f t="shared" si="12"/>
        <v>22762.6</v>
      </c>
      <c r="CS38" s="440">
        <f t="shared" si="12"/>
        <v>3911.8749999999995</v>
      </c>
      <c r="CT38" s="441">
        <f t="shared" si="12"/>
        <v>4337.5</v>
      </c>
      <c r="CU38" s="441">
        <f t="shared" si="12"/>
        <v>4763.1250000000009</v>
      </c>
      <c r="CV38" s="551"/>
      <c r="CW38" s="552"/>
      <c r="CX38" s="895">
        <f t="shared" ref="CX38:DQ38" si="13">CX37*CX10</f>
        <v>2060</v>
      </c>
      <c r="CY38" s="896">
        <f t="shared" si="13"/>
        <v>2190</v>
      </c>
      <c r="CZ38" s="913">
        <f t="shared" si="13"/>
        <v>2656.875</v>
      </c>
      <c r="DA38" s="895">
        <f t="shared" si="13"/>
        <v>1665</v>
      </c>
      <c r="DB38" s="896">
        <f t="shared" si="13"/>
        <v>1803.75</v>
      </c>
      <c r="DC38" s="913">
        <f>DC37*DC10</f>
        <v>2623.4081249999999</v>
      </c>
      <c r="DD38" s="895">
        <f t="shared" si="13"/>
        <v>560</v>
      </c>
      <c r="DE38" s="896">
        <f t="shared" si="13"/>
        <v>613.33333333333326</v>
      </c>
      <c r="DF38" s="913">
        <f>DF37*DF10</f>
        <v>710.37777777777774</v>
      </c>
      <c r="DG38" s="895">
        <f t="shared" si="13"/>
        <v>221.25</v>
      </c>
      <c r="DH38" s="896">
        <f t="shared" si="13"/>
        <v>243.75</v>
      </c>
      <c r="DI38" s="913">
        <f>DI37*DI10</f>
        <v>227.245</v>
      </c>
      <c r="DJ38" s="895">
        <f t="shared" si="13"/>
        <v>640</v>
      </c>
      <c r="DK38" s="896">
        <f t="shared" si="13"/>
        <v>780.80000000000007</v>
      </c>
      <c r="DL38" s="913">
        <f>DL37*DL10</f>
        <v>579.16560000000015</v>
      </c>
      <c r="DM38" s="895">
        <f t="shared" si="13"/>
        <v>411.75519999999995</v>
      </c>
      <c r="DN38" s="896">
        <f t="shared" si="13"/>
        <v>450.28631999999999</v>
      </c>
      <c r="DO38" s="913">
        <f t="shared" si="13"/>
        <v>784.12685000000022</v>
      </c>
      <c r="DP38" s="895">
        <f t="shared" si="13"/>
        <v>411.58000000000004</v>
      </c>
      <c r="DQ38" s="896">
        <f t="shared" si="13"/>
        <v>437.56360000000006</v>
      </c>
      <c r="DR38" s="913">
        <f>DR37*DR10</f>
        <v>223.95</v>
      </c>
      <c r="DS38" s="913">
        <f t="shared" ref="DS38" si="14">DS37*DS10</f>
        <v>21024.5</v>
      </c>
      <c r="DT38" s="238"/>
      <c r="DU38" s="588"/>
      <c r="DV38" s="594" t="s">
        <v>425</v>
      </c>
      <c r="DW38" s="595">
        <f>DW37*DW43</f>
        <v>1800.6062499999998</v>
      </c>
      <c r="DX38" s="511">
        <f t="shared" ref="DX38:EF38" si="15">DX37*DX43</f>
        <v>1908.4</v>
      </c>
      <c r="DY38" s="511">
        <f t="shared" si="15"/>
        <v>1925.7</v>
      </c>
      <c r="DZ38" s="511">
        <f t="shared" si="15"/>
        <v>1935.56</v>
      </c>
      <c r="EA38" s="558">
        <f t="shared" si="15"/>
        <v>1912.3500000000001</v>
      </c>
      <c r="EB38" s="511">
        <f t="shared" si="15"/>
        <v>1557.2839999999997</v>
      </c>
      <c r="EC38" s="511">
        <f t="shared" si="15"/>
        <v>1573.7280000000001</v>
      </c>
      <c r="ED38" s="511">
        <f t="shared" si="15"/>
        <v>1558.8999999999999</v>
      </c>
      <c r="EE38" s="511">
        <f t="shared" si="15"/>
        <v>1571.6480000000001</v>
      </c>
      <c r="EF38" s="558">
        <f t="shared" si="15"/>
        <v>1593</v>
      </c>
      <c r="EG38" s="235"/>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row>
    <row r="39" spans="1:169" s="490" customFormat="1" ht="11" thickBot="1" x14ac:dyDescent="0.3">
      <c r="A39" s="513"/>
      <c r="B39" s="159"/>
      <c r="C39" s="497"/>
      <c r="D39" s="499"/>
      <c r="E39" s="498"/>
      <c r="F39" s="498"/>
      <c r="G39" s="498"/>
      <c r="H39" s="497"/>
      <c r="I39" s="499"/>
      <c r="J39" s="498"/>
      <c r="K39" s="498"/>
      <c r="L39" s="498"/>
      <c r="M39" s="497"/>
      <c r="N39" s="499"/>
      <c r="O39" s="498"/>
      <c r="P39" s="498"/>
      <c r="Q39" s="498"/>
      <c r="R39" s="497"/>
      <c r="S39" s="499"/>
      <c r="T39" s="498"/>
      <c r="U39" s="498"/>
      <c r="V39" s="498"/>
      <c r="W39" s="497"/>
      <c r="X39" s="499"/>
      <c r="Y39" s="498"/>
      <c r="Z39" s="498"/>
      <c r="AA39" s="498"/>
      <c r="AB39" s="497"/>
      <c r="AC39" s="499"/>
      <c r="AD39" s="498"/>
      <c r="AE39" s="498"/>
      <c r="AF39" s="498"/>
      <c r="AG39" s="497"/>
      <c r="AH39" s="499"/>
      <c r="AI39" s="498"/>
      <c r="AJ39" s="498"/>
      <c r="AK39" s="498"/>
      <c r="AL39" s="497"/>
      <c r="AM39" s="499"/>
      <c r="AN39" s="498"/>
      <c r="AO39" s="498"/>
      <c r="AP39" s="498"/>
      <c r="AQ39" s="497"/>
      <c r="AR39" s="499"/>
      <c r="AS39" s="498"/>
      <c r="AT39" s="498"/>
      <c r="AU39" s="498"/>
      <c r="AV39" s="497"/>
      <c r="AW39" s="499"/>
      <c r="AX39" s="498"/>
      <c r="AY39" s="498"/>
      <c r="AZ39" s="498"/>
      <c r="BA39" s="497"/>
      <c r="BB39" s="499"/>
      <c r="BC39" s="498"/>
      <c r="BD39" s="497"/>
      <c r="BE39" s="499"/>
      <c r="BF39" s="498"/>
      <c r="BG39" s="497"/>
      <c r="BH39" s="499"/>
      <c r="BI39" s="498"/>
      <c r="BJ39" s="498"/>
      <c r="BK39" s="498"/>
      <c r="BL39" s="497"/>
      <c r="BM39" s="499"/>
      <c r="BN39" s="498"/>
      <c r="BO39" s="498"/>
      <c r="BP39" s="498"/>
      <c r="BQ39" s="497"/>
      <c r="BR39" s="499"/>
      <c r="BS39" s="498"/>
      <c r="BT39" s="498"/>
      <c r="BU39" s="498"/>
      <c r="BV39" s="497"/>
      <c r="BW39" s="499"/>
      <c r="BX39" s="498"/>
      <c r="BY39" s="498"/>
      <c r="BZ39" s="498"/>
      <c r="CA39" s="497"/>
      <c r="CB39" s="499"/>
      <c r="CC39" s="498"/>
      <c r="CD39" s="498"/>
      <c r="CE39" s="498"/>
      <c r="CF39" s="497"/>
      <c r="CG39" s="499"/>
      <c r="CH39" s="498"/>
      <c r="CI39" s="497"/>
      <c r="CJ39" s="499"/>
      <c r="CK39" s="498"/>
      <c r="CL39" s="497"/>
      <c r="CM39" s="499"/>
      <c r="CN39" s="498"/>
      <c r="CO39" s="497"/>
      <c r="CP39" s="499"/>
      <c r="CQ39" s="500"/>
      <c r="CR39" s="497"/>
      <c r="CS39" s="499"/>
      <c r="CT39" s="450"/>
      <c r="CU39" s="497"/>
      <c r="CV39" s="548"/>
      <c r="CW39" s="549"/>
      <c r="CX39" s="868"/>
      <c r="CY39" s="869"/>
      <c r="CZ39" s="870"/>
      <c r="DA39" s="868"/>
      <c r="DB39" s="869"/>
      <c r="DC39" s="870"/>
      <c r="DD39" s="868"/>
      <c r="DE39" s="869"/>
      <c r="DF39" s="870"/>
      <c r="DG39" s="868"/>
      <c r="DH39" s="869"/>
      <c r="DI39" s="870"/>
      <c r="DJ39" s="868"/>
      <c r="DK39" s="869"/>
      <c r="DL39" s="870"/>
      <c r="DM39" s="868"/>
      <c r="DN39" s="869"/>
      <c r="DO39" s="870"/>
      <c r="DP39" s="868"/>
      <c r="DQ39" s="869"/>
      <c r="DR39" s="870"/>
      <c r="DS39" s="500"/>
      <c r="DT39" s="238"/>
      <c r="DU39" s="589"/>
      <c r="DV39" s="557"/>
      <c r="DW39" s="556"/>
      <c r="EA39" s="557"/>
      <c r="EF39" s="557"/>
      <c r="EG39" s="235"/>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row>
    <row r="40" spans="1:169" s="45" customFormat="1" ht="10.5" x14ac:dyDescent="0.25">
      <c r="A40" s="238"/>
      <c r="B40" s="48" t="s">
        <v>513</v>
      </c>
      <c r="C40" s="19"/>
      <c r="D40" s="29"/>
      <c r="E40" s="18"/>
      <c r="F40" s="18"/>
      <c r="G40" s="18"/>
      <c r="H40" s="19"/>
      <c r="I40" s="29"/>
      <c r="J40" s="18"/>
      <c r="K40" s="18"/>
      <c r="L40" s="18"/>
      <c r="M40" s="19"/>
      <c r="N40" s="29"/>
      <c r="O40" s="18"/>
      <c r="P40" s="18"/>
      <c r="Q40" s="18"/>
      <c r="R40" s="19"/>
      <c r="S40" s="29"/>
      <c r="T40" s="18"/>
      <c r="U40" s="18"/>
      <c r="V40" s="18"/>
      <c r="W40" s="19"/>
      <c r="X40" s="29"/>
      <c r="Y40" s="18"/>
      <c r="Z40" s="18"/>
      <c r="AA40" s="18"/>
      <c r="AB40" s="19"/>
      <c r="AC40" s="29"/>
      <c r="AD40" s="18"/>
      <c r="AE40" s="18"/>
      <c r="AF40" s="18"/>
      <c r="AG40" s="19"/>
      <c r="AH40" s="29"/>
      <c r="AI40" s="18"/>
      <c r="AJ40" s="18"/>
      <c r="AK40" s="18"/>
      <c r="AL40" s="19"/>
      <c r="AM40" s="29"/>
      <c r="AN40" s="18"/>
      <c r="AO40" s="18"/>
      <c r="AP40" s="18"/>
      <c r="AQ40" s="19"/>
      <c r="AR40" s="29"/>
      <c r="AS40" s="18"/>
      <c r="AT40" s="18"/>
      <c r="AU40" s="18"/>
      <c r="AV40" s="19"/>
      <c r="AW40" s="29"/>
      <c r="AX40" s="18"/>
      <c r="AY40" s="18"/>
      <c r="AZ40" s="18"/>
      <c r="BA40" s="19"/>
      <c r="BB40" s="29"/>
      <c r="BC40" s="18"/>
      <c r="BD40" s="19"/>
      <c r="BE40" s="29"/>
      <c r="BF40" s="18"/>
      <c r="BG40" s="19"/>
      <c r="BH40" s="29"/>
      <c r="BI40" s="18"/>
      <c r="BJ40" s="21"/>
      <c r="BK40" s="18"/>
      <c r="BL40" s="19"/>
      <c r="BM40" s="29"/>
      <c r="BN40" s="18"/>
      <c r="BO40" s="18"/>
      <c r="BP40" s="18"/>
      <c r="BQ40" s="19"/>
      <c r="BR40" s="29"/>
      <c r="BS40" s="18"/>
      <c r="BT40" s="18"/>
      <c r="BU40" s="18"/>
      <c r="BV40" s="19"/>
      <c r="BW40" s="29"/>
      <c r="BX40" s="18"/>
      <c r="BY40" s="18"/>
      <c r="BZ40" s="18"/>
      <c r="CA40" s="19"/>
      <c r="CB40" s="29"/>
      <c r="CC40" s="18"/>
      <c r="CD40" s="18"/>
      <c r="CE40" s="18"/>
      <c r="CF40" s="19"/>
      <c r="CG40" s="29"/>
      <c r="CH40" s="18"/>
      <c r="CI40" s="19"/>
      <c r="CJ40" s="29"/>
      <c r="CK40" s="18"/>
      <c r="CL40" s="19"/>
      <c r="CM40" s="29"/>
      <c r="CN40" s="18"/>
      <c r="CO40" s="19"/>
      <c r="CP40" s="29"/>
      <c r="CQ40" s="17"/>
      <c r="CR40" s="19"/>
      <c r="CS40" s="29"/>
      <c r="CT40" s="25"/>
      <c r="CU40" s="19"/>
      <c r="CV40" s="545"/>
      <c r="CW40" s="549"/>
      <c r="CX40" s="847"/>
      <c r="CY40" s="848"/>
      <c r="CZ40" s="849"/>
      <c r="DA40" s="847"/>
      <c r="DB40" s="848"/>
      <c r="DC40" s="849"/>
      <c r="DD40" s="847"/>
      <c r="DE40" s="848"/>
      <c r="DF40" s="849"/>
      <c r="DG40" s="847"/>
      <c r="DH40" s="848"/>
      <c r="DI40" s="849"/>
      <c r="DJ40" s="847"/>
      <c r="DK40" s="848"/>
      <c r="DL40" s="849"/>
      <c r="DM40" s="847"/>
      <c r="DN40" s="848"/>
      <c r="DO40" s="849"/>
      <c r="DP40" s="847"/>
      <c r="DQ40" s="848"/>
      <c r="DR40" s="849"/>
      <c r="DS40" s="17"/>
      <c r="DT40" s="238"/>
      <c r="DU40" s="611" t="s">
        <v>514</v>
      </c>
      <c r="DV40" s="506" t="s">
        <v>472</v>
      </c>
      <c r="DW40" s="612">
        <v>938.8777380952381</v>
      </c>
      <c r="DX40" s="613">
        <v>1092.421951219512</v>
      </c>
      <c r="DY40" s="613">
        <v>1219.8277777777776</v>
      </c>
      <c r="DZ40" s="613">
        <v>1348.9559823155566</v>
      </c>
      <c r="EA40" s="614">
        <v>1547.8936879432622</v>
      </c>
      <c r="EB40" s="613">
        <v>1020.4382926829269</v>
      </c>
      <c r="EC40" s="613">
        <v>1105.2674999999999</v>
      </c>
      <c r="ED40" s="613">
        <v>1209.3516702741704</v>
      </c>
      <c r="EE40" s="613">
        <v>1300.2853105232894</v>
      </c>
      <c r="EF40" s="614">
        <v>1361.1595744680851</v>
      </c>
      <c r="EG40" s="235"/>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row>
    <row r="41" spans="1:169" s="45" customFormat="1" ht="11" thickBot="1" x14ac:dyDescent="0.3">
      <c r="A41" s="238"/>
      <c r="B41" s="463" t="s">
        <v>515</v>
      </c>
      <c r="C41" s="19" t="s">
        <v>458</v>
      </c>
      <c r="D41" s="20">
        <v>339.56594279999996</v>
      </c>
      <c r="E41" s="21">
        <v>323.39613600000001</v>
      </c>
      <c r="F41" s="21">
        <v>307.99632000000003</v>
      </c>
      <c r="G41" s="21">
        <v>292.59650399999998</v>
      </c>
      <c r="H41" s="22">
        <v>277.96667880000001</v>
      </c>
      <c r="I41" s="20">
        <v>47.73</v>
      </c>
      <c r="J41" s="21">
        <v>44.4</v>
      </c>
      <c r="K41" s="21">
        <v>39.96</v>
      </c>
      <c r="L41" s="21">
        <v>33.250500000000002</v>
      </c>
      <c r="M41" s="22">
        <v>29.97</v>
      </c>
      <c r="N41" s="20">
        <v>73.5</v>
      </c>
      <c r="O41" s="21">
        <v>70.56</v>
      </c>
      <c r="P41" s="21">
        <v>66.150000000000006</v>
      </c>
      <c r="Q41" s="21">
        <v>61.74</v>
      </c>
      <c r="R41" s="22">
        <v>58.8</v>
      </c>
      <c r="S41" s="20">
        <v>16.125</v>
      </c>
      <c r="T41" s="21">
        <v>16.125</v>
      </c>
      <c r="U41" s="21">
        <v>15.75</v>
      </c>
      <c r="V41" s="21">
        <v>15</v>
      </c>
      <c r="W41" s="22">
        <v>15</v>
      </c>
      <c r="X41" s="20">
        <v>80.64</v>
      </c>
      <c r="Y41" s="21">
        <v>75.989999999999995</v>
      </c>
      <c r="Z41" s="21">
        <v>69.284999999999997</v>
      </c>
      <c r="AA41" s="21">
        <v>62.832000000000001</v>
      </c>
      <c r="AB41" s="22">
        <v>58.24</v>
      </c>
      <c r="AC41" s="20">
        <v>144.05000000000001</v>
      </c>
      <c r="AD41" s="21">
        <v>139.75</v>
      </c>
      <c r="AE41" s="21">
        <v>132.30000000000001</v>
      </c>
      <c r="AF41" s="21">
        <v>108</v>
      </c>
      <c r="AG41" s="22">
        <v>104</v>
      </c>
      <c r="AH41" s="20">
        <v>50.625</v>
      </c>
      <c r="AI41" s="21">
        <v>46.41</v>
      </c>
      <c r="AJ41" s="21">
        <v>41.99</v>
      </c>
      <c r="AK41" s="21">
        <v>35.36</v>
      </c>
      <c r="AL41" s="22">
        <v>30.8</v>
      </c>
      <c r="AM41" s="20">
        <v>81</v>
      </c>
      <c r="AN41" s="21">
        <v>77.048850000000002</v>
      </c>
      <c r="AO41" s="21">
        <v>70.348950000000002</v>
      </c>
      <c r="AP41" s="21">
        <v>63.874200000000002</v>
      </c>
      <c r="AQ41" s="22">
        <v>61.05</v>
      </c>
      <c r="AR41" s="20">
        <v>33.6</v>
      </c>
      <c r="AS41" s="21">
        <v>33.6</v>
      </c>
      <c r="AT41" s="21">
        <v>33.6</v>
      </c>
      <c r="AU41" s="21">
        <v>33.6</v>
      </c>
      <c r="AV41" s="22">
        <v>33.6</v>
      </c>
      <c r="AW41" s="20">
        <v>161.25</v>
      </c>
      <c r="AX41" s="21">
        <v>161.25</v>
      </c>
      <c r="AY41" s="21">
        <v>157.5</v>
      </c>
      <c r="AZ41" s="21">
        <v>153.75</v>
      </c>
      <c r="BA41" s="22">
        <v>150</v>
      </c>
      <c r="BB41" s="20">
        <v>37.125</v>
      </c>
      <c r="BC41" s="21">
        <v>35.36</v>
      </c>
      <c r="BD41" s="22">
        <v>35.36</v>
      </c>
      <c r="BE41" s="20">
        <v>77.400000000000006</v>
      </c>
      <c r="BF41" s="21">
        <v>75.599999999999994</v>
      </c>
      <c r="BG41" s="22">
        <v>75.599999999999994</v>
      </c>
      <c r="BH41" s="20">
        <v>3.15</v>
      </c>
      <c r="BI41" s="21">
        <v>2.7930000000000001</v>
      </c>
      <c r="BJ41" s="21">
        <v>2.94</v>
      </c>
      <c r="BK41" s="21">
        <v>2.8140000000000001</v>
      </c>
      <c r="BL41" s="22">
        <v>2.52</v>
      </c>
      <c r="BM41" s="20">
        <v>14.539</v>
      </c>
      <c r="BN41" s="21">
        <v>14.075828999999997</v>
      </c>
      <c r="BO41" s="21">
        <v>13.396649999999999</v>
      </c>
      <c r="BP41" s="21">
        <v>12.856629999999999</v>
      </c>
      <c r="BQ41" s="22">
        <v>12.462</v>
      </c>
      <c r="BR41" s="20">
        <v>3</v>
      </c>
      <c r="BS41" s="21">
        <v>3.0870000000000002</v>
      </c>
      <c r="BT41" s="21">
        <v>2.94</v>
      </c>
      <c r="BU41" s="21">
        <v>2.7930000000000001</v>
      </c>
      <c r="BV41" s="22">
        <v>3</v>
      </c>
      <c r="BW41" s="20">
        <v>11.25</v>
      </c>
      <c r="BX41" s="21">
        <v>11.25</v>
      </c>
      <c r="BY41" s="21">
        <v>11.25</v>
      </c>
      <c r="BZ41" s="21">
        <v>11.25</v>
      </c>
      <c r="CA41" s="22">
        <v>11.25</v>
      </c>
      <c r="CB41" s="20">
        <v>5.4</v>
      </c>
      <c r="CC41" s="21">
        <v>5.4</v>
      </c>
      <c r="CD41" s="21">
        <v>5.4</v>
      </c>
      <c r="CE41" s="21">
        <v>5.4</v>
      </c>
      <c r="CF41" s="22">
        <v>5.4</v>
      </c>
      <c r="CG41" s="20">
        <v>791.7</v>
      </c>
      <c r="CH41" s="21">
        <v>763.8</v>
      </c>
      <c r="CI41" s="22">
        <v>705.23599999999999</v>
      </c>
      <c r="CJ41" s="20">
        <v>60.647999999999996</v>
      </c>
      <c r="CK41" s="21">
        <v>60.368000000000002</v>
      </c>
      <c r="CL41" s="22">
        <v>48.72</v>
      </c>
      <c r="CM41" s="20">
        <v>96.732776663628073</v>
      </c>
      <c r="CN41" s="21">
        <v>91.813039110745166</v>
      </c>
      <c r="CO41" s="22">
        <v>75.29256970610399</v>
      </c>
      <c r="CP41" s="24">
        <v>13.225</v>
      </c>
      <c r="CQ41" s="23">
        <f>CQ31/1000*CQ30</f>
        <v>13.225</v>
      </c>
      <c r="CR41" s="25">
        <v>13.225</v>
      </c>
      <c r="CS41" s="24">
        <v>2.4645000000000001</v>
      </c>
      <c r="CT41" s="25">
        <v>2.0429999999999997</v>
      </c>
      <c r="CU41" s="25">
        <v>1.6471999999999998</v>
      </c>
      <c r="CV41" s="545"/>
      <c r="CW41" s="533"/>
      <c r="CX41" s="847">
        <f>CX30*400/1000</f>
        <v>648</v>
      </c>
      <c r="CY41" s="848">
        <f>CY30*400/1000</f>
        <v>600</v>
      </c>
      <c r="CZ41" s="861">
        <f>CZ30*CZ31/1000</f>
        <v>222.73049361096295</v>
      </c>
      <c r="DA41" s="860">
        <f t="shared" ref="DA41:DB41" si="16">DA30*400/1000</f>
        <v>146</v>
      </c>
      <c r="DB41" s="628">
        <f t="shared" si="16"/>
        <v>140</v>
      </c>
      <c r="DC41" s="861">
        <f>DC30*DC31/1000</f>
        <v>61.467831028999512</v>
      </c>
      <c r="DD41" s="884">
        <v>30</v>
      </c>
      <c r="DE41" s="885">
        <v>25</v>
      </c>
      <c r="DF41" s="903">
        <f>DE41/1.8</f>
        <v>13.888888888888889</v>
      </c>
      <c r="DG41" s="884">
        <v>15</v>
      </c>
      <c r="DH41" s="885">
        <v>16</v>
      </c>
      <c r="DI41" s="903">
        <f>DH41/1.8</f>
        <v>8.8888888888888893</v>
      </c>
      <c r="DJ41" s="884">
        <v>60</v>
      </c>
      <c r="DK41" s="885">
        <v>70</v>
      </c>
      <c r="DL41" s="886">
        <v>0</v>
      </c>
      <c r="DM41" s="884">
        <v>9</v>
      </c>
      <c r="DN41" s="885">
        <v>8</v>
      </c>
      <c r="DO41" s="903">
        <f>DN41/1.8</f>
        <v>4.4444444444444446</v>
      </c>
      <c r="DP41" s="884">
        <v>15</v>
      </c>
      <c r="DQ41" s="904">
        <v>12.408683164062499</v>
      </c>
      <c r="DR41" s="903">
        <f>DQ41/1.8</f>
        <v>6.8937128689236102</v>
      </c>
      <c r="DS41" s="23">
        <f>DS31/1000*DS30</f>
        <v>6.5047529953480492</v>
      </c>
      <c r="DT41" s="238"/>
      <c r="DU41" s="615" t="s">
        <v>516</v>
      </c>
      <c r="DV41" s="557"/>
      <c r="DW41" s="595">
        <f>DW40*DW45</f>
        <v>1783.8677023809523</v>
      </c>
      <c r="DX41" s="511">
        <f t="shared" ref="DX41:EA41" si="17">DX40*DX45</f>
        <v>2184.8439024390241</v>
      </c>
      <c r="DY41" s="511">
        <f>DY40*DY45</f>
        <v>2561.6383333333329</v>
      </c>
      <c r="DZ41" s="511">
        <f t="shared" si="17"/>
        <v>2967.7031610942249</v>
      </c>
      <c r="EA41" s="558">
        <f t="shared" si="17"/>
        <v>3405.3661134751769</v>
      </c>
      <c r="EB41" s="511">
        <f>EB40*EB43</f>
        <v>2347.0080731707317</v>
      </c>
      <c r="EC41" s="511">
        <f t="shared" ref="EC41:EF41" si="18">EC40*EC43</f>
        <v>2652.6419999999998</v>
      </c>
      <c r="ED41" s="511">
        <f t="shared" si="18"/>
        <v>3023.3791756854262</v>
      </c>
      <c r="EE41" s="511">
        <f t="shared" si="18"/>
        <v>3380.7418073605522</v>
      </c>
      <c r="EF41" s="558">
        <f t="shared" si="18"/>
        <v>3675.1308510638301</v>
      </c>
      <c r="EG41" s="235"/>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row>
    <row r="42" spans="1:169" s="45" customFormat="1" ht="10.5" x14ac:dyDescent="0.25">
      <c r="A42" s="238"/>
      <c r="B42" s="463" t="s">
        <v>517</v>
      </c>
      <c r="C42" s="19" t="s">
        <v>458</v>
      </c>
      <c r="D42" s="29"/>
      <c r="E42" s="21"/>
      <c r="F42" s="21"/>
      <c r="G42" s="21"/>
      <c r="H42" s="22"/>
      <c r="I42" s="20">
        <v>17</v>
      </c>
      <c r="J42" s="21">
        <v>16</v>
      </c>
      <c r="K42" s="21">
        <v>14</v>
      </c>
      <c r="L42" s="21">
        <v>12</v>
      </c>
      <c r="M42" s="22">
        <v>11</v>
      </c>
      <c r="N42" s="20"/>
      <c r="O42" s="21"/>
      <c r="P42" s="21"/>
      <c r="Q42" s="21"/>
      <c r="R42" s="22"/>
      <c r="S42" s="20">
        <v>0</v>
      </c>
      <c r="T42" s="21">
        <v>0</v>
      </c>
      <c r="U42" s="21">
        <v>0</v>
      </c>
      <c r="V42" s="21">
        <v>0</v>
      </c>
      <c r="W42" s="22">
        <v>0</v>
      </c>
      <c r="X42" s="20">
        <v>27</v>
      </c>
      <c r="Y42" s="21">
        <v>24</v>
      </c>
      <c r="Z42" s="21">
        <v>22</v>
      </c>
      <c r="AA42" s="21">
        <v>18</v>
      </c>
      <c r="AB42" s="22">
        <v>15</v>
      </c>
      <c r="AC42" s="20"/>
      <c r="AD42" s="21"/>
      <c r="AE42" s="21"/>
      <c r="AF42" s="21"/>
      <c r="AG42" s="22"/>
      <c r="AH42" s="20">
        <v>17</v>
      </c>
      <c r="AI42" s="21">
        <v>16</v>
      </c>
      <c r="AJ42" s="21">
        <v>14</v>
      </c>
      <c r="AK42" s="21">
        <v>12</v>
      </c>
      <c r="AL42" s="22">
        <v>11</v>
      </c>
      <c r="AM42" s="20">
        <v>26</v>
      </c>
      <c r="AN42" s="21">
        <v>24</v>
      </c>
      <c r="AO42" s="21">
        <v>22</v>
      </c>
      <c r="AP42" s="21">
        <v>18</v>
      </c>
      <c r="AQ42" s="22">
        <v>16</v>
      </c>
      <c r="AR42" s="20"/>
      <c r="AS42" s="21"/>
      <c r="AT42" s="21"/>
      <c r="AU42" s="21"/>
      <c r="AV42" s="22"/>
      <c r="AW42" s="20"/>
      <c r="AX42" s="21"/>
      <c r="AY42" s="21"/>
      <c r="AZ42" s="21"/>
      <c r="BA42" s="22"/>
      <c r="BB42" s="20">
        <v>25</v>
      </c>
      <c r="BC42" s="21">
        <v>25</v>
      </c>
      <c r="BD42" s="22">
        <v>25</v>
      </c>
      <c r="BE42" s="20"/>
      <c r="BF42" s="21"/>
      <c r="BG42" s="22"/>
      <c r="BH42" s="20"/>
      <c r="BI42" s="21"/>
      <c r="BJ42" s="21"/>
      <c r="BK42" s="21"/>
      <c r="BL42" s="22"/>
      <c r="BM42" s="20"/>
      <c r="BN42" s="21"/>
      <c r="BO42" s="21"/>
      <c r="BP42" s="21"/>
      <c r="BQ42" s="22"/>
      <c r="BR42" s="20"/>
      <c r="BS42" s="21"/>
      <c r="BT42" s="21"/>
      <c r="BU42" s="21"/>
      <c r="BV42" s="22"/>
      <c r="BW42" s="20"/>
      <c r="BX42" s="21"/>
      <c r="BY42" s="21"/>
      <c r="BZ42" s="21"/>
      <c r="CA42" s="22"/>
      <c r="CB42" s="20"/>
      <c r="CC42" s="21"/>
      <c r="CD42" s="21"/>
      <c r="CE42" s="21"/>
      <c r="CF42" s="22"/>
      <c r="CG42" s="20"/>
      <c r="CH42" s="21"/>
      <c r="CI42" s="22"/>
      <c r="CJ42" s="20"/>
      <c r="CK42" s="21"/>
      <c r="CL42" s="22"/>
      <c r="CM42" s="20"/>
      <c r="CN42" s="21"/>
      <c r="CO42" s="22"/>
      <c r="CP42" s="24"/>
      <c r="CQ42" s="23"/>
      <c r="CR42" s="25"/>
      <c r="CS42" s="20"/>
      <c r="CT42" s="25"/>
      <c r="CU42" s="22"/>
      <c r="CV42" s="545"/>
      <c r="CW42" s="533"/>
      <c r="CX42" s="884">
        <v>100</v>
      </c>
      <c r="CY42" s="885">
        <v>90</v>
      </c>
      <c r="CZ42" s="886">
        <v>23</v>
      </c>
      <c r="DA42" s="884">
        <v>140</v>
      </c>
      <c r="DB42" s="885">
        <v>140</v>
      </c>
      <c r="DC42" s="903">
        <f>DB42/1.8</f>
        <v>77.777777777777771</v>
      </c>
      <c r="DD42" s="884">
        <v>20</v>
      </c>
      <c r="DE42" s="885">
        <v>20</v>
      </c>
      <c r="DF42" s="903">
        <f>DE42/1.8</f>
        <v>11.111111111111111</v>
      </c>
      <c r="DG42" s="884">
        <v>30</v>
      </c>
      <c r="DH42" s="885">
        <v>25</v>
      </c>
      <c r="DI42" s="903">
        <f>DH42/1.8</f>
        <v>13.888888888888889</v>
      </c>
      <c r="DJ42" s="884">
        <v>20</v>
      </c>
      <c r="DK42" s="885">
        <v>20</v>
      </c>
      <c r="DL42" s="886">
        <v>0</v>
      </c>
      <c r="DM42" s="884">
        <v>3</v>
      </c>
      <c r="DN42" s="885">
        <v>3</v>
      </c>
      <c r="DO42" s="903">
        <f>DN42/1.8</f>
        <v>1.6666666666666665</v>
      </c>
      <c r="DP42" s="884">
        <v>3</v>
      </c>
      <c r="DQ42" s="885">
        <v>3</v>
      </c>
      <c r="DR42" s="903">
        <f>DQ42/1.8</f>
        <v>1.6666666666666665</v>
      </c>
      <c r="DS42" s="23"/>
      <c r="DT42" s="238"/>
      <c r="DU42" s="583" t="s">
        <v>518</v>
      </c>
      <c r="DV42" s="147" t="s">
        <v>472</v>
      </c>
      <c r="DW42" s="137">
        <v>160.54149504195271</v>
      </c>
      <c r="DX42" s="138">
        <v>152.51442028985508</v>
      </c>
      <c r="DY42" s="138">
        <v>145.25182884748102</v>
      </c>
      <c r="DZ42" s="138">
        <v>138.64947299077733</v>
      </c>
      <c r="EA42" s="172">
        <v>138.64947299077733</v>
      </c>
      <c r="EB42" s="138">
        <v>132.62123503465659</v>
      </c>
      <c r="EC42" s="138">
        <v>127.0953502415459</v>
      </c>
      <c r="ED42" s="138">
        <v>122.01153623188407</v>
      </c>
      <c r="EE42" s="138">
        <v>117.31878483835006</v>
      </c>
      <c r="EF42" s="172">
        <v>112.9736446591519</v>
      </c>
      <c r="EG42" s="235"/>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row>
    <row r="43" spans="1:169" s="45" customFormat="1" ht="10.5" x14ac:dyDescent="0.25">
      <c r="A43" s="238"/>
      <c r="B43" s="463" t="s">
        <v>505</v>
      </c>
      <c r="C43" s="19" t="s">
        <v>458</v>
      </c>
      <c r="D43" s="20">
        <v>27</v>
      </c>
      <c r="E43" s="21">
        <v>27</v>
      </c>
      <c r="F43" s="21">
        <v>28</v>
      </c>
      <c r="G43" s="21">
        <v>28</v>
      </c>
      <c r="H43" s="22">
        <v>28</v>
      </c>
      <c r="I43" s="20">
        <v>33</v>
      </c>
      <c r="J43" s="21">
        <v>33</v>
      </c>
      <c r="K43" s="21">
        <v>33</v>
      </c>
      <c r="L43" s="21">
        <v>33</v>
      </c>
      <c r="M43" s="22">
        <v>33</v>
      </c>
      <c r="N43" s="20">
        <v>20</v>
      </c>
      <c r="O43" s="21">
        <v>18</v>
      </c>
      <c r="P43" s="21">
        <v>15</v>
      </c>
      <c r="Q43" s="21">
        <v>12</v>
      </c>
      <c r="R43" s="22">
        <v>10</v>
      </c>
      <c r="S43" s="20">
        <v>16</v>
      </c>
      <c r="T43" s="21">
        <v>15</v>
      </c>
      <c r="U43" s="21">
        <v>14</v>
      </c>
      <c r="V43" s="21">
        <v>13</v>
      </c>
      <c r="W43" s="22">
        <v>12</v>
      </c>
      <c r="X43" s="20">
        <v>35</v>
      </c>
      <c r="Y43" s="21">
        <v>35</v>
      </c>
      <c r="Z43" s="21">
        <v>35</v>
      </c>
      <c r="AA43" s="21">
        <v>35</v>
      </c>
      <c r="AB43" s="22">
        <v>35</v>
      </c>
      <c r="AC43" s="20">
        <v>25</v>
      </c>
      <c r="AD43" s="21">
        <v>23</v>
      </c>
      <c r="AE43" s="21">
        <v>21</v>
      </c>
      <c r="AF43" s="21">
        <v>19</v>
      </c>
      <c r="AG43" s="22">
        <v>18</v>
      </c>
      <c r="AH43" s="20">
        <v>34</v>
      </c>
      <c r="AI43" s="21">
        <v>34</v>
      </c>
      <c r="AJ43" s="21">
        <v>34</v>
      </c>
      <c r="AK43" s="21">
        <v>34</v>
      </c>
      <c r="AL43" s="22">
        <v>34</v>
      </c>
      <c r="AM43" s="20">
        <v>36</v>
      </c>
      <c r="AN43" s="21">
        <v>36</v>
      </c>
      <c r="AO43" s="21">
        <v>36</v>
      </c>
      <c r="AP43" s="21">
        <v>36</v>
      </c>
      <c r="AQ43" s="22">
        <v>36</v>
      </c>
      <c r="AR43" s="11">
        <v>15</v>
      </c>
      <c r="AS43" s="12">
        <v>15</v>
      </c>
      <c r="AT43" s="12">
        <v>15</v>
      </c>
      <c r="AU43" s="12">
        <v>15</v>
      </c>
      <c r="AV43" s="13">
        <v>15</v>
      </c>
      <c r="AW43" s="11">
        <v>13.86</v>
      </c>
      <c r="AX43" s="12">
        <v>13.86</v>
      </c>
      <c r="AY43" s="21">
        <v>13.86</v>
      </c>
      <c r="AZ43" s="12">
        <v>13.86</v>
      </c>
      <c r="BA43" s="13">
        <v>13.86</v>
      </c>
      <c r="BB43" s="20">
        <v>30</v>
      </c>
      <c r="BC43" s="21">
        <v>30</v>
      </c>
      <c r="BD43" s="22">
        <v>30</v>
      </c>
      <c r="BE43" s="20">
        <v>14.280000000000001</v>
      </c>
      <c r="BF43" s="21">
        <v>14</v>
      </c>
      <c r="BG43" s="22">
        <v>13.719999999999999</v>
      </c>
      <c r="BH43" s="20">
        <v>7</v>
      </c>
      <c r="BI43" s="21">
        <v>7.0455000000000005</v>
      </c>
      <c r="BJ43" s="21">
        <v>6.71</v>
      </c>
      <c r="BK43" s="21">
        <v>6.3744999999999994</v>
      </c>
      <c r="BL43" s="22">
        <v>6</v>
      </c>
      <c r="BM43" s="20">
        <v>9</v>
      </c>
      <c r="BN43" s="21">
        <v>9</v>
      </c>
      <c r="BO43" s="21">
        <v>9</v>
      </c>
      <c r="BP43" s="21">
        <v>9</v>
      </c>
      <c r="BQ43" s="22">
        <v>9</v>
      </c>
      <c r="BR43" s="20">
        <v>3</v>
      </c>
      <c r="BS43" s="21">
        <v>3</v>
      </c>
      <c r="BT43" s="21">
        <v>3</v>
      </c>
      <c r="BU43" s="21">
        <v>3</v>
      </c>
      <c r="BV43" s="22">
        <v>3</v>
      </c>
      <c r="BW43" s="20">
        <v>9</v>
      </c>
      <c r="BX43" s="21">
        <v>9</v>
      </c>
      <c r="BY43" s="21">
        <v>7.25</v>
      </c>
      <c r="BZ43" s="21">
        <v>11</v>
      </c>
      <c r="CA43" s="22">
        <v>11</v>
      </c>
      <c r="CB43" s="20">
        <v>5</v>
      </c>
      <c r="CC43" s="21">
        <v>4.5</v>
      </c>
      <c r="CD43" s="21">
        <v>4.5</v>
      </c>
      <c r="CE43" s="21">
        <v>4.5</v>
      </c>
      <c r="CF43" s="22">
        <v>5</v>
      </c>
      <c r="CG43" s="20">
        <v>37</v>
      </c>
      <c r="CH43" s="21">
        <v>37</v>
      </c>
      <c r="CI43" s="22">
        <v>35</v>
      </c>
      <c r="CJ43" s="20"/>
      <c r="CK43" s="21"/>
      <c r="CL43" s="22"/>
      <c r="CM43" s="20"/>
      <c r="CN43" s="21"/>
      <c r="CO43" s="22"/>
      <c r="CP43" s="24">
        <v>0.3</v>
      </c>
      <c r="CQ43" s="23">
        <v>0.3</v>
      </c>
      <c r="CR43" s="25">
        <v>0.3</v>
      </c>
      <c r="CS43" s="24">
        <v>0.2</v>
      </c>
      <c r="CT43" s="25">
        <v>0.2</v>
      </c>
      <c r="CU43" s="25">
        <v>0.2</v>
      </c>
      <c r="CV43" s="545"/>
      <c r="CW43" s="533"/>
      <c r="CX43" s="884">
        <v>60</v>
      </c>
      <c r="CY43" s="885">
        <v>50</v>
      </c>
      <c r="CZ43" s="886">
        <v>36</v>
      </c>
      <c r="DA43" s="884">
        <v>4</v>
      </c>
      <c r="DB43" s="885">
        <v>22</v>
      </c>
      <c r="DC43" s="886">
        <v>20</v>
      </c>
      <c r="DD43" s="884">
        <v>24</v>
      </c>
      <c r="DE43" s="885">
        <v>24</v>
      </c>
      <c r="DF43" s="886">
        <v>25</v>
      </c>
      <c r="DG43" s="884">
        <v>30</v>
      </c>
      <c r="DH43" s="885">
        <v>25</v>
      </c>
      <c r="DI43" s="886">
        <v>30</v>
      </c>
      <c r="DJ43" s="884">
        <v>15</v>
      </c>
      <c r="DK43" s="885">
        <v>15</v>
      </c>
      <c r="DL43" s="886">
        <v>15</v>
      </c>
      <c r="DM43" s="884">
        <v>9</v>
      </c>
      <c r="DN43" s="885">
        <v>9</v>
      </c>
      <c r="DO43" s="886">
        <v>9</v>
      </c>
      <c r="DP43" s="884">
        <v>9</v>
      </c>
      <c r="DQ43" s="885">
        <v>9</v>
      </c>
      <c r="DR43" s="886">
        <v>9</v>
      </c>
      <c r="DS43" s="23">
        <v>0.3</v>
      </c>
      <c r="DT43" s="238"/>
      <c r="DU43" s="583" t="s">
        <v>435</v>
      </c>
      <c r="DV43" s="158" t="s">
        <v>519</v>
      </c>
      <c r="DW43" s="139">
        <v>1.9</v>
      </c>
      <c r="DX43" s="131">
        <v>2</v>
      </c>
      <c r="DY43" s="131">
        <v>2.1</v>
      </c>
      <c r="DZ43" s="131">
        <v>2.2000000000000002</v>
      </c>
      <c r="EA43" s="140">
        <v>2.2000000000000002</v>
      </c>
      <c r="EB43" s="131">
        <v>2.2999999999999998</v>
      </c>
      <c r="EC43" s="131">
        <v>2.4</v>
      </c>
      <c r="ED43" s="131">
        <v>2.5</v>
      </c>
      <c r="EE43" s="131">
        <v>2.6</v>
      </c>
      <c r="EF43" s="140">
        <v>2.7</v>
      </c>
      <c r="EG43" s="235"/>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row>
    <row r="44" spans="1:169" s="45" customFormat="1" ht="10.5" x14ac:dyDescent="0.25">
      <c r="A44" s="238"/>
      <c r="B44" s="463" t="s">
        <v>520</v>
      </c>
      <c r="C44" s="19" t="s">
        <v>458</v>
      </c>
      <c r="D44" s="20">
        <v>90</v>
      </c>
      <c r="E44" s="21">
        <v>89.7</v>
      </c>
      <c r="F44" s="21">
        <v>89.7</v>
      </c>
      <c r="G44" s="21">
        <v>89.7</v>
      </c>
      <c r="H44" s="22">
        <v>90</v>
      </c>
      <c r="I44" s="20">
        <v>46</v>
      </c>
      <c r="J44" s="21">
        <v>46</v>
      </c>
      <c r="K44" s="21">
        <v>46</v>
      </c>
      <c r="L44" s="21">
        <v>46</v>
      </c>
      <c r="M44" s="22">
        <v>46</v>
      </c>
      <c r="N44" s="20">
        <v>0</v>
      </c>
      <c r="O44" s="21">
        <v>0</v>
      </c>
      <c r="P44" s="21">
        <v>0</v>
      </c>
      <c r="Q44" s="21">
        <v>0</v>
      </c>
      <c r="R44" s="22">
        <v>0</v>
      </c>
      <c r="S44" s="20">
        <v>0</v>
      </c>
      <c r="T44" s="21">
        <v>0</v>
      </c>
      <c r="U44" s="21">
        <v>0</v>
      </c>
      <c r="V44" s="21">
        <v>0</v>
      </c>
      <c r="W44" s="22">
        <v>0</v>
      </c>
      <c r="X44" s="20">
        <v>52</v>
      </c>
      <c r="Y44" s="21">
        <v>52</v>
      </c>
      <c r="Z44" s="21">
        <v>52</v>
      </c>
      <c r="AA44" s="21">
        <v>52</v>
      </c>
      <c r="AB44" s="22">
        <v>52</v>
      </c>
      <c r="AC44" s="20">
        <v>60</v>
      </c>
      <c r="AD44" s="21">
        <v>56</v>
      </c>
      <c r="AE44" s="21">
        <v>51</v>
      </c>
      <c r="AF44" s="21">
        <v>46</v>
      </c>
      <c r="AG44" s="22">
        <v>42</v>
      </c>
      <c r="AH44" s="20">
        <v>50</v>
      </c>
      <c r="AI44" s="21">
        <v>50</v>
      </c>
      <c r="AJ44" s="21">
        <v>50</v>
      </c>
      <c r="AK44" s="21">
        <v>50</v>
      </c>
      <c r="AL44" s="22">
        <v>50</v>
      </c>
      <c r="AM44" s="20">
        <v>57</v>
      </c>
      <c r="AN44" s="21">
        <v>57</v>
      </c>
      <c r="AO44" s="21">
        <v>57</v>
      </c>
      <c r="AP44" s="21">
        <v>57</v>
      </c>
      <c r="AQ44" s="22">
        <v>57</v>
      </c>
      <c r="AR44" s="20"/>
      <c r="AS44" s="21"/>
      <c r="AT44" s="21"/>
      <c r="AU44" s="21"/>
      <c r="AV44" s="22"/>
      <c r="AW44" s="11">
        <v>56</v>
      </c>
      <c r="AX44" s="12">
        <v>56</v>
      </c>
      <c r="AY44" s="21">
        <v>56</v>
      </c>
      <c r="AZ44" s="12">
        <v>56</v>
      </c>
      <c r="BA44" s="13">
        <v>56</v>
      </c>
      <c r="BB44" s="20">
        <v>60</v>
      </c>
      <c r="BC44" s="21">
        <v>60</v>
      </c>
      <c r="BD44" s="22">
        <v>60</v>
      </c>
      <c r="BE44" s="20">
        <v>48.96</v>
      </c>
      <c r="BF44" s="21">
        <v>48</v>
      </c>
      <c r="BG44" s="22">
        <v>47.04</v>
      </c>
      <c r="BH44" s="20"/>
      <c r="BI44" s="21"/>
      <c r="BJ44" s="21"/>
      <c r="BK44" s="21"/>
      <c r="BL44" s="22"/>
      <c r="BM44" s="20"/>
      <c r="BN44" s="21"/>
      <c r="BO44" s="21"/>
      <c r="BP44" s="21"/>
      <c r="BQ44" s="22"/>
      <c r="BR44" s="20"/>
      <c r="BS44" s="21"/>
      <c r="BT44" s="21"/>
      <c r="BU44" s="21"/>
      <c r="BV44" s="22"/>
      <c r="BW44" s="20"/>
      <c r="BX44" s="21"/>
      <c r="BY44" s="21"/>
      <c r="BZ44" s="21"/>
      <c r="CA44" s="22"/>
      <c r="CB44" s="20"/>
      <c r="CC44" s="21"/>
      <c r="CD44" s="21"/>
      <c r="CE44" s="21"/>
      <c r="CF44" s="22"/>
      <c r="CG44" s="20">
        <v>70</v>
      </c>
      <c r="CH44" s="21">
        <v>70</v>
      </c>
      <c r="CI44" s="22">
        <v>70</v>
      </c>
      <c r="CJ44" s="20"/>
      <c r="CK44" s="21"/>
      <c r="CL44" s="22"/>
      <c r="CM44" s="20"/>
      <c r="CN44" s="21"/>
      <c r="CO44" s="22"/>
      <c r="CP44" s="24"/>
      <c r="CQ44" s="23"/>
      <c r="CR44" s="25"/>
      <c r="CS44" s="20"/>
      <c r="CT44" s="25"/>
      <c r="CU44" s="22"/>
      <c r="CV44" s="545"/>
      <c r="CW44" s="533"/>
      <c r="CX44" s="884">
        <v>75</v>
      </c>
      <c r="CY44" s="885">
        <v>75</v>
      </c>
      <c r="CZ44" s="886">
        <v>75</v>
      </c>
      <c r="DA44" s="902">
        <v>118.0263157894737</v>
      </c>
      <c r="DB44" s="623">
        <v>118.0263157894737</v>
      </c>
      <c r="DC44" s="903">
        <v>118.0263157894737</v>
      </c>
      <c r="DD44" s="902">
        <v>60.526315789473685</v>
      </c>
      <c r="DE44" s="623">
        <v>60.526315789473685</v>
      </c>
      <c r="DF44" s="903">
        <v>60.526315789473685</v>
      </c>
      <c r="DG44" s="902">
        <v>70.394736842105274</v>
      </c>
      <c r="DH44" s="623">
        <v>70.394736842105274</v>
      </c>
      <c r="DI44" s="903">
        <v>70.394736842105274</v>
      </c>
      <c r="DJ44" s="902">
        <v>22.144736842105264</v>
      </c>
      <c r="DK44" s="623">
        <v>22.144736842105264</v>
      </c>
      <c r="DL44" s="903">
        <v>11</v>
      </c>
      <c r="DM44" s="884"/>
      <c r="DN44" s="885"/>
      <c r="DO44" s="886"/>
      <c r="DP44" s="884"/>
      <c r="DQ44" s="885"/>
      <c r="DR44" s="886"/>
      <c r="DS44" s="23"/>
      <c r="DT44" s="238"/>
      <c r="DU44" s="590" t="s">
        <v>521</v>
      </c>
      <c r="DV44" s="41"/>
      <c r="DW44" s="46">
        <v>1</v>
      </c>
      <c r="DX44" s="155">
        <v>1</v>
      </c>
      <c r="DY44" s="155">
        <v>1</v>
      </c>
      <c r="DZ44" s="155">
        <v>1</v>
      </c>
      <c r="EA44" s="153">
        <v>1</v>
      </c>
      <c r="EB44" s="155">
        <v>0.87</v>
      </c>
      <c r="EC44" s="155">
        <v>0.87</v>
      </c>
      <c r="ED44" s="155">
        <v>0.87</v>
      </c>
      <c r="EE44" s="155">
        <v>0.87</v>
      </c>
      <c r="EF44" s="153">
        <v>0.87</v>
      </c>
      <c r="EG44" s="235"/>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row>
    <row r="45" spans="1:169" s="45" customFormat="1" ht="11" thickBot="1" x14ac:dyDescent="0.3">
      <c r="A45" s="513"/>
      <c r="B45" s="463" t="s">
        <v>522</v>
      </c>
      <c r="C45" s="19" t="s">
        <v>458</v>
      </c>
      <c r="D45" s="20">
        <v>18</v>
      </c>
      <c r="E45" s="21">
        <v>18</v>
      </c>
      <c r="F45" s="21">
        <v>18</v>
      </c>
      <c r="G45" s="21">
        <v>18</v>
      </c>
      <c r="H45" s="22">
        <v>18</v>
      </c>
      <c r="I45" s="20">
        <v>29</v>
      </c>
      <c r="J45" s="21">
        <v>28</v>
      </c>
      <c r="K45" s="21">
        <v>28</v>
      </c>
      <c r="L45" s="21">
        <v>29</v>
      </c>
      <c r="M45" s="22">
        <v>29</v>
      </c>
      <c r="N45" s="20">
        <v>22</v>
      </c>
      <c r="O45" s="21">
        <v>22</v>
      </c>
      <c r="P45" s="21">
        <v>24</v>
      </c>
      <c r="Q45" s="21">
        <v>19</v>
      </c>
      <c r="R45" s="22">
        <v>19</v>
      </c>
      <c r="S45" s="20">
        <v>40</v>
      </c>
      <c r="T45" s="21">
        <v>38</v>
      </c>
      <c r="U45" s="21">
        <v>36</v>
      </c>
      <c r="V45" s="21">
        <v>32</v>
      </c>
      <c r="W45" s="22">
        <v>30</v>
      </c>
      <c r="X45" s="20">
        <v>30</v>
      </c>
      <c r="Y45" s="21">
        <v>31</v>
      </c>
      <c r="Z45" s="21">
        <v>31</v>
      </c>
      <c r="AA45" s="21">
        <v>34</v>
      </c>
      <c r="AB45" s="22">
        <v>34</v>
      </c>
      <c r="AC45" s="20">
        <v>41</v>
      </c>
      <c r="AD45" s="21">
        <v>41</v>
      </c>
      <c r="AE45" s="21">
        <v>40</v>
      </c>
      <c r="AF45" s="21">
        <v>39</v>
      </c>
      <c r="AG45" s="22">
        <v>39</v>
      </c>
      <c r="AH45" s="20">
        <v>29</v>
      </c>
      <c r="AI45" s="21">
        <v>28</v>
      </c>
      <c r="AJ45" s="21">
        <v>28</v>
      </c>
      <c r="AK45" s="21">
        <v>29</v>
      </c>
      <c r="AL45" s="22">
        <v>28</v>
      </c>
      <c r="AM45" s="20">
        <v>30</v>
      </c>
      <c r="AN45" s="21">
        <v>31</v>
      </c>
      <c r="AO45" s="21">
        <v>31</v>
      </c>
      <c r="AP45" s="21">
        <v>34</v>
      </c>
      <c r="AQ45" s="22">
        <v>35</v>
      </c>
      <c r="AR45" s="11">
        <v>28</v>
      </c>
      <c r="AS45" s="12">
        <v>28</v>
      </c>
      <c r="AT45" s="12">
        <v>28</v>
      </c>
      <c r="AU45" s="12">
        <v>28</v>
      </c>
      <c r="AV45" s="13">
        <v>28</v>
      </c>
      <c r="AW45" s="11">
        <v>32</v>
      </c>
      <c r="AX45" s="12">
        <v>32</v>
      </c>
      <c r="AY45" s="21">
        <v>32</v>
      </c>
      <c r="AZ45" s="12">
        <v>32</v>
      </c>
      <c r="BA45" s="13">
        <v>32</v>
      </c>
      <c r="BB45" s="20">
        <v>15</v>
      </c>
      <c r="BC45" s="21">
        <v>15</v>
      </c>
      <c r="BD45" s="22">
        <v>15</v>
      </c>
      <c r="BE45" s="20">
        <v>36.72</v>
      </c>
      <c r="BF45" s="21">
        <v>36</v>
      </c>
      <c r="BG45" s="22">
        <v>35.28</v>
      </c>
      <c r="BH45" s="20">
        <v>10</v>
      </c>
      <c r="BI45" s="21">
        <v>9.6810000000000009</v>
      </c>
      <c r="BJ45" s="21">
        <v>9.2200000000000006</v>
      </c>
      <c r="BK45" s="21">
        <v>8.7590000000000003</v>
      </c>
      <c r="BL45" s="22">
        <v>9</v>
      </c>
      <c r="BM45" s="20">
        <v>16</v>
      </c>
      <c r="BN45" s="21">
        <v>16</v>
      </c>
      <c r="BO45" s="21">
        <v>16</v>
      </c>
      <c r="BP45" s="21">
        <v>16</v>
      </c>
      <c r="BQ45" s="22">
        <v>16</v>
      </c>
      <c r="BR45" s="20">
        <v>7</v>
      </c>
      <c r="BS45" s="21">
        <v>7</v>
      </c>
      <c r="BT45" s="21">
        <v>7</v>
      </c>
      <c r="BU45" s="21">
        <v>7</v>
      </c>
      <c r="BV45" s="22">
        <v>7</v>
      </c>
      <c r="BW45" s="20">
        <v>11</v>
      </c>
      <c r="BX45" s="21">
        <v>10.5</v>
      </c>
      <c r="BY45" s="21">
        <v>10</v>
      </c>
      <c r="BZ45" s="21">
        <v>9.5</v>
      </c>
      <c r="CA45" s="22">
        <v>9</v>
      </c>
      <c r="CB45" s="20">
        <v>12</v>
      </c>
      <c r="CC45" s="21">
        <v>11.88</v>
      </c>
      <c r="CD45" s="21">
        <v>11.88</v>
      </c>
      <c r="CE45" s="21">
        <v>11.88</v>
      </c>
      <c r="CF45" s="22">
        <v>12</v>
      </c>
      <c r="CG45" s="20">
        <v>24</v>
      </c>
      <c r="CH45" s="21">
        <v>24</v>
      </c>
      <c r="CI45" s="22">
        <v>24</v>
      </c>
      <c r="CJ45" s="20">
        <v>8</v>
      </c>
      <c r="CK45" s="21">
        <v>8</v>
      </c>
      <c r="CL45" s="22">
        <v>8</v>
      </c>
      <c r="CM45" s="20">
        <v>10.780309936189608</v>
      </c>
      <c r="CN45" s="21">
        <v>10.511321531494442</v>
      </c>
      <c r="CO45" s="22">
        <v>10.223059532780708</v>
      </c>
      <c r="CP45" s="24">
        <v>1.2</v>
      </c>
      <c r="CQ45" s="23">
        <v>1.2</v>
      </c>
      <c r="CR45" s="25">
        <v>1.2</v>
      </c>
      <c r="CS45" s="20"/>
      <c r="CT45" s="25"/>
      <c r="CU45" s="22"/>
      <c r="CV45" s="545"/>
      <c r="CW45" s="549"/>
      <c r="CX45" s="884">
        <f>260-CX44</f>
        <v>185</v>
      </c>
      <c r="CY45" s="885">
        <v>155</v>
      </c>
      <c r="CZ45" s="886">
        <v>89</v>
      </c>
      <c r="DA45" s="884">
        <v>72</v>
      </c>
      <c r="DB45" s="885">
        <v>72</v>
      </c>
      <c r="DC45" s="886">
        <v>72</v>
      </c>
      <c r="DD45" s="884">
        <v>73</v>
      </c>
      <c r="DE45" s="885">
        <v>73</v>
      </c>
      <c r="DF45" s="886">
        <v>70</v>
      </c>
      <c r="DG45" s="884">
        <v>50</v>
      </c>
      <c r="DH45" s="885">
        <v>50</v>
      </c>
      <c r="DI45" s="886">
        <v>60</v>
      </c>
      <c r="DJ45" s="884">
        <v>90</v>
      </c>
      <c r="DK45" s="885">
        <v>90</v>
      </c>
      <c r="DL45" s="886">
        <f>DK45</f>
        <v>90</v>
      </c>
      <c r="DM45" s="884">
        <v>14</v>
      </c>
      <c r="DN45" s="885">
        <v>14</v>
      </c>
      <c r="DO45" s="886">
        <v>13</v>
      </c>
      <c r="DP45" s="884">
        <v>15</v>
      </c>
      <c r="DQ45" s="885">
        <v>14</v>
      </c>
      <c r="DR45" s="886">
        <v>13</v>
      </c>
      <c r="DS45" s="23">
        <v>1.2</v>
      </c>
      <c r="DT45" s="238"/>
      <c r="DU45" s="590" t="s">
        <v>429</v>
      </c>
      <c r="DV45" s="153" t="s">
        <v>429</v>
      </c>
      <c r="DW45" s="150">
        <v>1.9</v>
      </c>
      <c r="DX45" s="151">
        <v>2</v>
      </c>
      <c r="DY45" s="151">
        <v>2.1</v>
      </c>
      <c r="DZ45" s="151">
        <v>2.2000000000000002</v>
      </c>
      <c r="EA45" s="152">
        <v>2.2000000000000002</v>
      </c>
      <c r="EB45" s="151">
        <v>2.0009999999999999</v>
      </c>
      <c r="EC45" s="151">
        <v>2.0880000000000001</v>
      </c>
      <c r="ED45" s="151">
        <v>2.1749999999999998</v>
      </c>
      <c r="EE45" s="151">
        <v>2.262</v>
      </c>
      <c r="EF45" s="152">
        <v>2.3490000000000002</v>
      </c>
      <c r="EG45" s="235"/>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row>
    <row r="46" spans="1:169" s="494" customFormat="1" ht="10.5" x14ac:dyDescent="0.25">
      <c r="A46" s="512"/>
      <c r="B46" s="1491" t="s">
        <v>513</v>
      </c>
      <c r="C46" s="491" t="s">
        <v>458</v>
      </c>
      <c r="D46" s="493">
        <v>474.56594279999996</v>
      </c>
      <c r="E46" s="492">
        <v>458.096136</v>
      </c>
      <c r="F46" s="492">
        <v>443.69632000000001</v>
      </c>
      <c r="G46" s="492">
        <v>428.29650399999997</v>
      </c>
      <c r="H46" s="491">
        <v>413.96667880000001</v>
      </c>
      <c r="I46" s="493">
        <v>172.73</v>
      </c>
      <c r="J46" s="492">
        <v>167.4</v>
      </c>
      <c r="K46" s="492">
        <v>160.96</v>
      </c>
      <c r="L46" s="492">
        <v>153.25049999999999</v>
      </c>
      <c r="M46" s="491">
        <v>148.97</v>
      </c>
      <c r="N46" s="493">
        <v>115.5</v>
      </c>
      <c r="O46" s="492">
        <v>110.56</v>
      </c>
      <c r="P46" s="492">
        <v>105.15</v>
      </c>
      <c r="Q46" s="492">
        <v>92.740000000000009</v>
      </c>
      <c r="R46" s="491">
        <v>87.8</v>
      </c>
      <c r="S46" s="493">
        <v>72.125</v>
      </c>
      <c r="T46" s="492">
        <v>69.125</v>
      </c>
      <c r="U46" s="492">
        <v>65.75</v>
      </c>
      <c r="V46" s="492">
        <v>60</v>
      </c>
      <c r="W46" s="491">
        <v>57</v>
      </c>
      <c r="X46" s="493">
        <v>224.64</v>
      </c>
      <c r="Y46" s="492">
        <v>217.99</v>
      </c>
      <c r="Z46" s="492">
        <v>209.285</v>
      </c>
      <c r="AA46" s="492">
        <v>201.83199999999999</v>
      </c>
      <c r="AB46" s="491">
        <v>194.24</v>
      </c>
      <c r="AC46" s="493">
        <v>270.05</v>
      </c>
      <c r="AD46" s="492">
        <v>259.75</v>
      </c>
      <c r="AE46" s="492">
        <v>244.3</v>
      </c>
      <c r="AF46" s="492">
        <v>212</v>
      </c>
      <c r="AG46" s="491">
        <v>203</v>
      </c>
      <c r="AH46" s="493">
        <v>180.625</v>
      </c>
      <c r="AI46" s="492">
        <v>174.41</v>
      </c>
      <c r="AJ46" s="492">
        <v>167.99</v>
      </c>
      <c r="AK46" s="492">
        <v>160.36000000000001</v>
      </c>
      <c r="AL46" s="491">
        <v>153.80000000000001</v>
      </c>
      <c r="AM46" s="493">
        <v>230</v>
      </c>
      <c r="AN46" s="492">
        <v>225.04885000000002</v>
      </c>
      <c r="AO46" s="492">
        <v>216.34895</v>
      </c>
      <c r="AP46" s="492">
        <v>208.8742</v>
      </c>
      <c r="AQ46" s="491">
        <v>205.05</v>
      </c>
      <c r="AR46" s="493">
        <v>76.599999999999994</v>
      </c>
      <c r="AS46" s="492">
        <v>76.599999999999994</v>
      </c>
      <c r="AT46" s="492">
        <v>76.599999999999994</v>
      </c>
      <c r="AU46" s="492">
        <v>76.599999999999994</v>
      </c>
      <c r="AV46" s="491">
        <v>76.599999999999994</v>
      </c>
      <c r="AW46" s="493">
        <v>263.11</v>
      </c>
      <c r="AX46" s="492">
        <v>263.11</v>
      </c>
      <c r="AY46" s="492">
        <v>259.36</v>
      </c>
      <c r="AZ46" s="492">
        <v>255.61</v>
      </c>
      <c r="BA46" s="491">
        <v>251.86</v>
      </c>
      <c r="BB46" s="493">
        <v>167.125</v>
      </c>
      <c r="BC46" s="492">
        <v>165.36</v>
      </c>
      <c r="BD46" s="491">
        <v>165.36</v>
      </c>
      <c r="BE46" s="493">
        <v>177.36</v>
      </c>
      <c r="BF46" s="492">
        <v>173.6</v>
      </c>
      <c r="BG46" s="491">
        <v>171.64</v>
      </c>
      <c r="BH46" s="493">
        <v>20.149999999999999</v>
      </c>
      <c r="BI46" s="492">
        <v>19.519500000000001</v>
      </c>
      <c r="BJ46" s="492">
        <v>18.87</v>
      </c>
      <c r="BK46" s="492">
        <v>17.947499999999998</v>
      </c>
      <c r="BL46" s="491">
        <v>17.52</v>
      </c>
      <c r="BM46" s="493">
        <v>39.539000000000001</v>
      </c>
      <c r="BN46" s="492">
        <v>39.075828999999999</v>
      </c>
      <c r="BO46" s="492">
        <v>38.396650000000001</v>
      </c>
      <c r="BP46" s="492">
        <v>37.856629999999996</v>
      </c>
      <c r="BQ46" s="491">
        <v>37.462000000000003</v>
      </c>
      <c r="BR46" s="493">
        <v>13</v>
      </c>
      <c r="BS46" s="492">
        <v>13.087</v>
      </c>
      <c r="BT46" s="492">
        <v>12.94</v>
      </c>
      <c r="BU46" s="492">
        <v>12.792999999999999</v>
      </c>
      <c r="BV46" s="491">
        <v>13</v>
      </c>
      <c r="BW46" s="493">
        <v>31.25</v>
      </c>
      <c r="BX46" s="492">
        <v>30.75</v>
      </c>
      <c r="BY46" s="492">
        <v>28.5</v>
      </c>
      <c r="BZ46" s="492">
        <v>31.75</v>
      </c>
      <c r="CA46" s="491">
        <v>31.25</v>
      </c>
      <c r="CB46" s="493">
        <v>22.4</v>
      </c>
      <c r="CC46" s="492">
        <v>21.78</v>
      </c>
      <c r="CD46" s="492">
        <v>21.78</v>
      </c>
      <c r="CE46" s="492">
        <v>21.78</v>
      </c>
      <c r="CF46" s="491">
        <v>22.4</v>
      </c>
      <c r="CG46" s="493">
        <v>922.7</v>
      </c>
      <c r="CH46" s="492">
        <v>894.8</v>
      </c>
      <c r="CI46" s="491">
        <v>834.23599999999999</v>
      </c>
      <c r="CJ46" s="493">
        <v>68.647999999999996</v>
      </c>
      <c r="CK46" s="492">
        <v>68.367999999999995</v>
      </c>
      <c r="CL46" s="491">
        <v>56.72</v>
      </c>
      <c r="CM46" s="493">
        <v>107.51308659981768</v>
      </c>
      <c r="CN46" s="492">
        <v>102.32436064223961</v>
      </c>
      <c r="CO46" s="491">
        <v>85.515629238884699</v>
      </c>
      <c r="CP46" s="493">
        <v>14.725</v>
      </c>
      <c r="CQ46" s="492">
        <f>SUM(CQ41:CQ45)</f>
        <v>14.725</v>
      </c>
      <c r="CR46" s="491">
        <v>14.725</v>
      </c>
      <c r="CS46" s="493">
        <v>2.6645000000000003</v>
      </c>
      <c r="CT46" s="491">
        <v>2.2429999999999999</v>
      </c>
      <c r="CU46" s="491">
        <v>1.8471999999999997</v>
      </c>
      <c r="CV46" s="548"/>
      <c r="CW46" s="533"/>
      <c r="CX46" s="892">
        <f>SUM(CX41:CX45)</f>
        <v>1068</v>
      </c>
      <c r="CY46" s="893">
        <f>SUM(CY41:CY45)</f>
        <v>970</v>
      </c>
      <c r="CZ46" s="894">
        <f>SUM(CZ41:CZ45)</f>
        <v>445.73049361096298</v>
      </c>
      <c r="DA46" s="912">
        <f t="shared" ref="DA46:DI46" si="19">SUM(DA41:DA45)</f>
        <v>480.0263157894737</v>
      </c>
      <c r="DB46" s="911">
        <f t="shared" si="19"/>
        <v>492.0263157894737</v>
      </c>
      <c r="DC46" s="894">
        <f t="shared" si="19"/>
        <v>349.27192459625098</v>
      </c>
      <c r="DD46" s="912">
        <f t="shared" si="19"/>
        <v>207.5263157894737</v>
      </c>
      <c r="DE46" s="911">
        <f t="shared" si="19"/>
        <v>202.5263157894737</v>
      </c>
      <c r="DF46" s="894">
        <f t="shared" si="19"/>
        <v>180.5263157894737</v>
      </c>
      <c r="DG46" s="912">
        <f t="shared" si="19"/>
        <v>195.39473684210526</v>
      </c>
      <c r="DH46" s="911">
        <f t="shared" si="19"/>
        <v>186.39473684210526</v>
      </c>
      <c r="DI46" s="894">
        <f t="shared" si="19"/>
        <v>183.17251461988306</v>
      </c>
      <c r="DJ46" s="912">
        <f>SUM(DJ41:DJ45)</f>
        <v>207.14473684210526</v>
      </c>
      <c r="DK46" s="911">
        <f t="shared" ref="DK46:DR46" si="20">SUM(DK41:DK45)</f>
        <v>217.14473684210526</v>
      </c>
      <c r="DL46" s="894">
        <f t="shared" si="20"/>
        <v>116</v>
      </c>
      <c r="DM46" s="912">
        <f t="shared" si="20"/>
        <v>35</v>
      </c>
      <c r="DN46" s="911">
        <f t="shared" si="20"/>
        <v>34</v>
      </c>
      <c r="DO46" s="894">
        <f t="shared" si="20"/>
        <v>28.111111111111111</v>
      </c>
      <c r="DP46" s="912">
        <f t="shared" si="20"/>
        <v>42</v>
      </c>
      <c r="DQ46" s="911">
        <f t="shared" si="20"/>
        <v>38.408683164062495</v>
      </c>
      <c r="DR46" s="894">
        <f t="shared" si="20"/>
        <v>30.560379535590279</v>
      </c>
      <c r="DS46" s="894">
        <f>SUM(DS41:DS45)</f>
        <v>8.0047529953480492</v>
      </c>
      <c r="DT46" s="238"/>
      <c r="DU46" s="587"/>
      <c r="DV46" s="495"/>
      <c r="DW46" s="445"/>
      <c r="DX46" s="456"/>
      <c r="DY46" s="456"/>
      <c r="DZ46" s="456"/>
      <c r="EA46" s="597"/>
      <c r="EB46" s="456"/>
      <c r="EC46" s="456"/>
      <c r="ED46" s="456"/>
      <c r="EE46" s="456"/>
      <c r="EF46" s="462"/>
      <c r="EG46" s="235"/>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row>
    <row r="47" spans="1:169" s="490" customFormat="1" ht="13.4" customHeight="1" thickBot="1" x14ac:dyDescent="0.3">
      <c r="A47" s="514"/>
      <c r="B47" s="1492"/>
      <c r="C47" s="441" t="s">
        <v>425</v>
      </c>
      <c r="D47" s="440">
        <f t="shared" ref="D47:AI47" si="21">D46*D10</f>
        <v>569.47913135999988</v>
      </c>
      <c r="E47" s="489">
        <f t="shared" si="21"/>
        <v>595.52497679999999</v>
      </c>
      <c r="F47" s="489">
        <f t="shared" si="21"/>
        <v>621.174848</v>
      </c>
      <c r="G47" s="489">
        <f t="shared" si="21"/>
        <v>642.44475599999998</v>
      </c>
      <c r="H47" s="441">
        <f t="shared" si="21"/>
        <v>662.34668608000004</v>
      </c>
      <c r="I47" s="440">
        <f t="shared" si="21"/>
        <v>259.09499999999997</v>
      </c>
      <c r="J47" s="489">
        <f t="shared" si="21"/>
        <v>276.20999999999998</v>
      </c>
      <c r="K47" s="489">
        <f t="shared" si="21"/>
        <v>289.72800000000001</v>
      </c>
      <c r="L47" s="489">
        <f t="shared" si="21"/>
        <v>337.15109999999999</v>
      </c>
      <c r="M47" s="441">
        <f t="shared" si="21"/>
        <v>342.63099999999997</v>
      </c>
      <c r="N47" s="440">
        <f t="shared" si="21"/>
        <v>288.75</v>
      </c>
      <c r="O47" s="489">
        <f t="shared" si="21"/>
        <v>304.04000000000002</v>
      </c>
      <c r="P47" s="489">
        <f t="shared" si="21"/>
        <v>315.45000000000005</v>
      </c>
      <c r="Q47" s="489">
        <f t="shared" si="21"/>
        <v>324.59000000000003</v>
      </c>
      <c r="R47" s="441">
        <f t="shared" si="21"/>
        <v>351.2</v>
      </c>
      <c r="S47" s="440">
        <f t="shared" si="21"/>
        <v>180.3125</v>
      </c>
      <c r="T47" s="489">
        <f t="shared" si="21"/>
        <v>200.46250000000001</v>
      </c>
      <c r="U47" s="489">
        <f t="shared" si="21"/>
        <v>197.25</v>
      </c>
      <c r="V47" s="489">
        <f t="shared" si="21"/>
        <v>183</v>
      </c>
      <c r="W47" s="441">
        <f t="shared" si="21"/>
        <v>176.70000000000002</v>
      </c>
      <c r="X47" s="440">
        <f t="shared" si="21"/>
        <v>314.49599999999998</v>
      </c>
      <c r="Y47" s="489">
        <f t="shared" si="21"/>
        <v>326.98500000000001</v>
      </c>
      <c r="Z47" s="489">
        <f t="shared" si="21"/>
        <v>345.32024999999999</v>
      </c>
      <c r="AA47" s="489">
        <f t="shared" si="21"/>
        <v>403.66399999999999</v>
      </c>
      <c r="AB47" s="441">
        <f t="shared" si="21"/>
        <v>407.90400000000005</v>
      </c>
      <c r="AC47" s="440">
        <f t="shared" si="21"/>
        <v>810.15000000000009</v>
      </c>
      <c r="AD47" s="489">
        <f t="shared" si="21"/>
        <v>896.67123287671222</v>
      </c>
      <c r="AE47" s="489">
        <f t="shared" si="21"/>
        <v>992.16116035455263</v>
      </c>
      <c r="AF47" s="489">
        <f t="shared" si="21"/>
        <v>975.78082191780834</v>
      </c>
      <c r="AG47" s="441">
        <f t="shared" si="21"/>
        <v>964.25</v>
      </c>
      <c r="AH47" s="440">
        <f t="shared" si="21"/>
        <v>198.68750000000003</v>
      </c>
      <c r="AI47" s="489">
        <f t="shared" si="21"/>
        <v>226.733</v>
      </c>
      <c r="AJ47" s="489">
        <f t="shared" ref="AJ47:BO47" si="22">AJ46*AJ10</f>
        <v>268.78400000000005</v>
      </c>
      <c r="AK47" s="489">
        <f t="shared" si="22"/>
        <v>304.68400000000003</v>
      </c>
      <c r="AL47" s="441">
        <f t="shared" si="22"/>
        <v>338.36000000000007</v>
      </c>
      <c r="AM47" s="440">
        <f t="shared" si="22"/>
        <v>207</v>
      </c>
      <c r="AN47" s="489">
        <f t="shared" si="22"/>
        <v>225.04885000000002</v>
      </c>
      <c r="AO47" s="489">
        <f t="shared" si="22"/>
        <v>270.43618750000002</v>
      </c>
      <c r="AP47" s="489">
        <f t="shared" si="22"/>
        <v>313.31130000000002</v>
      </c>
      <c r="AQ47" s="441">
        <f t="shared" si="22"/>
        <v>328.08000000000004</v>
      </c>
      <c r="AR47" s="440">
        <f t="shared" si="22"/>
        <v>199.16</v>
      </c>
      <c r="AS47" s="489">
        <f t="shared" si="22"/>
        <v>210.64999999999998</v>
      </c>
      <c r="AT47" s="489">
        <f t="shared" si="22"/>
        <v>229.79999999999998</v>
      </c>
      <c r="AU47" s="489">
        <f t="shared" si="22"/>
        <v>248.95</v>
      </c>
      <c r="AV47" s="441">
        <f t="shared" si="22"/>
        <v>260.44</v>
      </c>
      <c r="AW47" s="440">
        <f t="shared" si="22"/>
        <v>789.33</v>
      </c>
      <c r="AX47" s="489">
        <f t="shared" si="22"/>
        <v>908.27013698630128</v>
      </c>
      <c r="AY47" s="489">
        <f t="shared" si="22"/>
        <v>1053.3234488315873</v>
      </c>
      <c r="AZ47" s="489">
        <f t="shared" si="22"/>
        <v>1176.5063013698632</v>
      </c>
      <c r="BA47" s="441">
        <f t="shared" si="22"/>
        <v>1259.3000000000002</v>
      </c>
      <c r="BB47" s="440">
        <f t="shared" si="22"/>
        <v>150.41249999999999</v>
      </c>
      <c r="BC47" s="489">
        <f t="shared" si="22"/>
        <v>165.36</v>
      </c>
      <c r="BD47" s="441">
        <f t="shared" si="22"/>
        <v>181.89600000000004</v>
      </c>
      <c r="BE47" s="440">
        <f t="shared" si="22"/>
        <v>266.04000000000002</v>
      </c>
      <c r="BF47" s="489">
        <f t="shared" si="22"/>
        <v>217</v>
      </c>
      <c r="BG47" s="441">
        <f t="shared" si="22"/>
        <v>429.09999999999997</v>
      </c>
      <c r="BH47" s="440">
        <f t="shared" si="22"/>
        <v>241.79999999999998</v>
      </c>
      <c r="BI47" s="489">
        <f t="shared" si="22"/>
        <v>292.79250000000002</v>
      </c>
      <c r="BJ47" s="489">
        <f t="shared" si="22"/>
        <v>283.05</v>
      </c>
      <c r="BK47" s="489">
        <f t="shared" si="22"/>
        <v>269.21249999999998</v>
      </c>
      <c r="BL47" s="441">
        <f t="shared" si="22"/>
        <v>315.36</v>
      </c>
      <c r="BM47" s="440">
        <f t="shared" si="22"/>
        <v>276.77300000000002</v>
      </c>
      <c r="BN47" s="489">
        <f t="shared" si="22"/>
        <v>312.60663199999999</v>
      </c>
      <c r="BO47" s="489">
        <f t="shared" si="22"/>
        <v>383.9665</v>
      </c>
      <c r="BP47" s="489">
        <f t="shared" ref="BP47:CU47" si="23">BP46*BP10</f>
        <v>416.42292999999995</v>
      </c>
      <c r="BQ47" s="441">
        <f t="shared" si="23"/>
        <v>487.00600000000003</v>
      </c>
      <c r="BR47" s="440">
        <f t="shared" si="23"/>
        <v>312</v>
      </c>
      <c r="BS47" s="489">
        <f t="shared" si="23"/>
        <v>340.262</v>
      </c>
      <c r="BT47" s="489">
        <f t="shared" si="23"/>
        <v>362.32</v>
      </c>
      <c r="BU47" s="489">
        <f t="shared" si="23"/>
        <v>383.78999999999996</v>
      </c>
      <c r="BV47" s="441">
        <f t="shared" si="23"/>
        <v>416</v>
      </c>
      <c r="BW47" s="440">
        <f t="shared" si="23"/>
        <v>93.75</v>
      </c>
      <c r="BX47" s="489">
        <f t="shared" si="23"/>
        <v>215.25</v>
      </c>
      <c r="BY47" s="489">
        <f t="shared" si="23"/>
        <v>213.75</v>
      </c>
      <c r="BZ47" s="489">
        <f t="shared" si="23"/>
        <v>254</v>
      </c>
      <c r="CA47" s="441">
        <f t="shared" si="23"/>
        <v>281.25</v>
      </c>
      <c r="CB47" s="440">
        <f t="shared" si="23"/>
        <v>336</v>
      </c>
      <c r="CC47" s="489">
        <f t="shared" si="23"/>
        <v>326.70000000000005</v>
      </c>
      <c r="CD47" s="489">
        <f t="shared" si="23"/>
        <v>326.70000000000005</v>
      </c>
      <c r="CE47" s="489">
        <f t="shared" si="23"/>
        <v>326.70000000000005</v>
      </c>
      <c r="CF47" s="441">
        <f t="shared" si="23"/>
        <v>336</v>
      </c>
      <c r="CG47" s="440">
        <f t="shared" si="23"/>
        <v>18454</v>
      </c>
      <c r="CH47" s="489">
        <f t="shared" si="23"/>
        <v>17896</v>
      </c>
      <c r="CI47" s="441">
        <f t="shared" si="23"/>
        <v>16684.72</v>
      </c>
      <c r="CJ47" s="440">
        <f t="shared" si="23"/>
        <v>1922.1439999999998</v>
      </c>
      <c r="CK47" s="489">
        <f t="shared" si="23"/>
        <v>2051.04</v>
      </c>
      <c r="CL47" s="441">
        <f t="shared" si="23"/>
        <v>1985.2</v>
      </c>
      <c r="CM47" s="440">
        <f t="shared" si="23"/>
        <v>2580.3140783956242</v>
      </c>
      <c r="CN47" s="489">
        <f t="shared" si="23"/>
        <v>2558.1090160559902</v>
      </c>
      <c r="CO47" s="441">
        <f t="shared" si="23"/>
        <v>2351.6798040693293</v>
      </c>
      <c r="CP47" s="440">
        <f t="shared" si="23"/>
        <v>14725</v>
      </c>
      <c r="CQ47" s="489">
        <f t="shared" si="23"/>
        <v>14725</v>
      </c>
      <c r="CR47" s="441">
        <f t="shared" si="23"/>
        <v>14725</v>
      </c>
      <c r="CS47" s="440">
        <f t="shared" si="23"/>
        <v>2664.5000000000005</v>
      </c>
      <c r="CT47" s="441">
        <f>CT46*CT10</f>
        <v>2243</v>
      </c>
      <c r="CU47" s="441">
        <f t="shared" si="23"/>
        <v>1847.1999999999998</v>
      </c>
      <c r="CV47" s="553"/>
      <c r="CW47" s="553"/>
      <c r="CX47" s="895">
        <f t="shared" ref="CX47:DR47" si="24">CX46*CX10</f>
        <v>1068</v>
      </c>
      <c r="CY47" s="896">
        <f t="shared" si="24"/>
        <v>970</v>
      </c>
      <c r="CZ47" s="913">
        <f t="shared" si="24"/>
        <v>724.3120521178148</v>
      </c>
      <c r="DA47" s="895">
        <f t="shared" si="24"/>
        <v>576.03157894736842</v>
      </c>
      <c r="DB47" s="896">
        <f t="shared" si="24"/>
        <v>639.63421052631588</v>
      </c>
      <c r="DC47" s="913">
        <f t="shared" si="24"/>
        <v>737.83694070958029</v>
      </c>
      <c r="DD47" s="895">
        <f t="shared" si="24"/>
        <v>276.70175438596493</v>
      </c>
      <c r="DE47" s="896">
        <f t="shared" si="24"/>
        <v>270.03508771929825</v>
      </c>
      <c r="DF47" s="913">
        <f t="shared" si="24"/>
        <v>391.14035087719299</v>
      </c>
      <c r="DG47" s="895">
        <f t="shared" si="24"/>
        <v>146.54605263157896</v>
      </c>
      <c r="DH47" s="896">
        <f t="shared" si="24"/>
        <v>139.79605263157896</v>
      </c>
      <c r="DI47" s="913">
        <f t="shared" si="24"/>
        <v>137.3793859649123</v>
      </c>
      <c r="DJ47" s="895">
        <f t="shared" si="24"/>
        <v>265.14526315789476</v>
      </c>
      <c r="DK47" s="896">
        <f t="shared" si="24"/>
        <v>277.94526315789471</v>
      </c>
      <c r="DL47" s="913">
        <f t="shared" si="24"/>
        <v>241.28</v>
      </c>
      <c r="DM47" s="895">
        <f t="shared" si="24"/>
        <v>161</v>
      </c>
      <c r="DN47" s="896">
        <f t="shared" si="24"/>
        <v>159.80000000000001</v>
      </c>
      <c r="DO47" s="913">
        <f t="shared" si="24"/>
        <v>214.69861111111112</v>
      </c>
      <c r="DP47" s="895">
        <f t="shared" si="24"/>
        <v>273</v>
      </c>
      <c r="DQ47" s="896">
        <f t="shared" si="24"/>
        <v>257.33817719921871</v>
      </c>
      <c r="DR47" s="913">
        <f t="shared" si="24"/>
        <v>152.80189767795139</v>
      </c>
      <c r="DS47" s="913">
        <f t="shared" ref="DS47" si="25">DS46*DS10</f>
        <v>8004.7529953480489</v>
      </c>
      <c r="DT47" s="238"/>
      <c r="DU47" s="598" t="s">
        <v>523</v>
      </c>
      <c r="DV47" s="160" t="s">
        <v>472</v>
      </c>
      <c r="DW47" s="596">
        <v>1886.5652380952381</v>
      </c>
      <c r="DX47" s="496">
        <v>2046.6219512195121</v>
      </c>
      <c r="DY47" s="496">
        <v>2136.8277777777776</v>
      </c>
      <c r="DZ47" s="496">
        <v>2228.7559823155566</v>
      </c>
      <c r="EA47" s="559">
        <v>2417.1436879432622</v>
      </c>
      <c r="EB47" s="496">
        <v>1697.5182926829268</v>
      </c>
      <c r="EC47" s="496">
        <v>1760.9875</v>
      </c>
      <c r="ED47" s="496">
        <v>1832.9116702741703</v>
      </c>
      <c r="EE47" s="496">
        <v>1904.7653105232894</v>
      </c>
      <c r="EF47" s="559">
        <v>1951.1595744680851</v>
      </c>
      <c r="EG47" s="235"/>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row>
    <row r="48" spans="1:169" s="477" customFormat="1" ht="11" thickBot="1" x14ac:dyDescent="0.3">
      <c r="A48" s="512"/>
      <c r="B48" s="482"/>
      <c r="C48" s="483"/>
      <c r="D48" s="484"/>
      <c r="E48" s="485"/>
      <c r="F48" s="485"/>
      <c r="G48" s="485"/>
      <c r="H48" s="483"/>
      <c r="I48" s="484"/>
      <c r="J48" s="485"/>
      <c r="K48" s="485"/>
      <c r="L48" s="485"/>
      <c r="M48" s="483"/>
      <c r="N48" s="484"/>
      <c r="O48" s="485"/>
      <c r="P48" s="485"/>
      <c r="Q48" s="485"/>
      <c r="R48" s="483"/>
      <c r="S48" s="484"/>
      <c r="T48" s="485"/>
      <c r="U48" s="485"/>
      <c r="V48" s="485"/>
      <c r="W48" s="483"/>
      <c r="X48" s="484"/>
      <c r="Y48" s="485"/>
      <c r="Z48" s="485"/>
      <c r="AA48" s="485"/>
      <c r="AB48" s="483"/>
      <c r="AC48" s="484"/>
      <c r="AD48" s="485"/>
      <c r="AE48" s="485"/>
      <c r="AF48" s="485"/>
      <c r="AG48" s="483"/>
      <c r="AH48" s="484"/>
      <c r="AI48" s="485"/>
      <c r="AJ48" s="485"/>
      <c r="AK48" s="485"/>
      <c r="AL48" s="483"/>
      <c r="AM48" s="484"/>
      <c r="AN48" s="485"/>
      <c r="AO48" s="485"/>
      <c r="AP48" s="485"/>
      <c r="AQ48" s="483"/>
      <c r="AR48" s="484"/>
      <c r="AS48" s="485"/>
      <c r="AT48" s="485"/>
      <c r="AU48" s="485"/>
      <c r="AV48" s="483"/>
      <c r="AW48" s="484"/>
      <c r="AX48" s="485"/>
      <c r="AY48" s="485"/>
      <c r="AZ48" s="485"/>
      <c r="BA48" s="483"/>
      <c r="BB48" s="484"/>
      <c r="BC48" s="485"/>
      <c r="BD48" s="483"/>
      <c r="BE48" s="484"/>
      <c r="BF48" s="485"/>
      <c r="BG48" s="483"/>
      <c r="BH48" s="484"/>
      <c r="BI48" s="485"/>
      <c r="BJ48" s="485"/>
      <c r="BK48" s="485"/>
      <c r="BL48" s="483"/>
      <c r="BM48" s="484"/>
      <c r="BN48" s="485"/>
      <c r="BO48" s="485"/>
      <c r="BP48" s="485"/>
      <c r="BQ48" s="483"/>
      <c r="BR48" s="484"/>
      <c r="BS48" s="485"/>
      <c r="BT48" s="485"/>
      <c r="BU48" s="485"/>
      <c r="BV48" s="483"/>
      <c r="BW48" s="484"/>
      <c r="BX48" s="485"/>
      <c r="BY48" s="485"/>
      <c r="BZ48" s="485"/>
      <c r="CA48" s="483"/>
      <c r="CB48" s="484"/>
      <c r="CC48" s="485"/>
      <c r="CD48" s="485"/>
      <c r="CE48" s="485"/>
      <c r="CF48" s="483"/>
      <c r="CG48" s="484"/>
      <c r="CH48" s="485"/>
      <c r="CI48" s="483"/>
      <c r="CJ48" s="484"/>
      <c r="CK48" s="485"/>
      <c r="CL48" s="483"/>
      <c r="CM48" s="484"/>
      <c r="CN48" s="485"/>
      <c r="CO48" s="483"/>
      <c r="CP48" s="484"/>
      <c r="CQ48" s="485"/>
      <c r="CR48" s="483"/>
      <c r="CS48" s="484"/>
      <c r="CT48" s="483"/>
      <c r="CU48" s="483"/>
      <c r="CV48" s="548"/>
      <c r="CW48" s="550"/>
      <c r="CX48" s="862"/>
      <c r="CY48" s="863"/>
      <c r="CZ48" s="871"/>
      <c r="DA48" s="872"/>
      <c r="DB48" s="873"/>
      <c r="DC48" s="871"/>
      <c r="DD48" s="872"/>
      <c r="DE48" s="873"/>
      <c r="DF48" s="871"/>
      <c r="DG48" s="872"/>
      <c r="DH48" s="873"/>
      <c r="DI48" s="871"/>
      <c r="DJ48" s="872"/>
      <c r="DK48" s="873"/>
      <c r="DL48" s="871"/>
      <c r="DM48" s="872"/>
      <c r="DN48" s="863"/>
      <c r="DO48" s="871"/>
      <c r="DP48" s="862"/>
      <c r="DQ48" s="873"/>
      <c r="DR48" s="871"/>
      <c r="DS48" s="485"/>
      <c r="DT48" s="238"/>
      <c r="DU48" s="599" t="s">
        <v>524</v>
      </c>
      <c r="DV48" s="478" t="s">
        <v>472</v>
      </c>
      <c r="DW48" s="486">
        <v>625.6875</v>
      </c>
      <c r="DX48" s="487">
        <v>639.20000000000005</v>
      </c>
      <c r="DY48" s="487">
        <v>611</v>
      </c>
      <c r="DZ48" s="487">
        <v>582.79999999999995</v>
      </c>
      <c r="EA48" s="488">
        <v>599.25</v>
      </c>
      <c r="EB48" s="487">
        <v>460.08</v>
      </c>
      <c r="EC48" s="487">
        <v>444.72</v>
      </c>
      <c r="ED48" s="487">
        <v>418.56</v>
      </c>
      <c r="EE48" s="487">
        <v>405.48</v>
      </c>
      <c r="EF48" s="488">
        <v>396</v>
      </c>
      <c r="EG48" s="235"/>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row>
    <row r="49" spans="1:169" s="45" customFormat="1" ht="10.5" x14ac:dyDescent="0.25">
      <c r="A49" s="513"/>
      <c r="B49" s="1493" t="s">
        <v>525</v>
      </c>
      <c r="C49" s="81" t="s">
        <v>458</v>
      </c>
      <c r="D49" s="80">
        <v>649.17405720000011</v>
      </c>
      <c r="E49" s="82">
        <v>713.18636400000003</v>
      </c>
      <c r="F49" s="82">
        <v>798.15367999999989</v>
      </c>
      <c r="G49" s="82">
        <v>884.1209960000001</v>
      </c>
      <c r="H49" s="81">
        <v>921.9733212000001</v>
      </c>
      <c r="I49" s="80">
        <v>118.60333333333332</v>
      </c>
      <c r="J49" s="82">
        <v>139.06666666666669</v>
      </c>
      <c r="K49" s="82">
        <v>166.90666666666667</v>
      </c>
      <c r="L49" s="82">
        <v>237.43616666666662</v>
      </c>
      <c r="M49" s="81">
        <v>277.04960784313721</v>
      </c>
      <c r="N49" s="80">
        <v>178.81999999999994</v>
      </c>
      <c r="O49" s="82">
        <v>204.47999999999996</v>
      </c>
      <c r="P49" s="82">
        <v>229.10499999999999</v>
      </c>
      <c r="Q49" s="82">
        <v>260.7299999999999</v>
      </c>
      <c r="R49" s="81">
        <v>286.38999999999993</v>
      </c>
      <c r="S49" s="80">
        <v>190.07499999999993</v>
      </c>
      <c r="T49" s="82">
        <v>196.87500000000011</v>
      </c>
      <c r="U49" s="82">
        <v>204.04999999999995</v>
      </c>
      <c r="V49" s="82">
        <v>213.60000000000002</v>
      </c>
      <c r="W49" s="81">
        <v>220.39999999999998</v>
      </c>
      <c r="X49" s="80">
        <v>164.44785714285712</v>
      </c>
      <c r="Y49" s="82">
        <v>206.03285714285704</v>
      </c>
      <c r="Z49" s="82">
        <v>242.85785714285706</v>
      </c>
      <c r="AA49" s="82">
        <v>306.25835714285705</v>
      </c>
      <c r="AB49" s="81">
        <v>339.7828571428571</v>
      </c>
      <c r="AC49" s="80">
        <v>-54.78000000000003</v>
      </c>
      <c r="AD49" s="82">
        <v>-0.7800000000000864</v>
      </c>
      <c r="AE49" s="82">
        <v>63.879999999999939</v>
      </c>
      <c r="AF49" s="82">
        <v>143.4899999999999</v>
      </c>
      <c r="AG49" s="81">
        <v>188.59000000000003</v>
      </c>
      <c r="AH49" s="80">
        <v>68.548333333333289</v>
      </c>
      <c r="AI49" s="82">
        <v>107.58333333333334</v>
      </c>
      <c r="AJ49" s="82">
        <v>135.00333333333333</v>
      </c>
      <c r="AK49" s="82">
        <v>178.19333333333327</v>
      </c>
      <c r="AL49" s="81">
        <v>227.73333333333329</v>
      </c>
      <c r="AM49" s="80">
        <v>122.0761904761905</v>
      </c>
      <c r="AN49" s="82">
        <v>172.66734047619036</v>
      </c>
      <c r="AO49" s="82">
        <v>209.04724047619044</v>
      </c>
      <c r="AP49" s="82">
        <v>257.31199047619043</v>
      </c>
      <c r="AQ49" s="81">
        <v>311.06619047619046</v>
      </c>
      <c r="AR49" s="80">
        <v>176.29</v>
      </c>
      <c r="AS49" s="82">
        <v>189.06750000000002</v>
      </c>
      <c r="AT49" s="82">
        <v>201.84500000000006</v>
      </c>
      <c r="AU49" s="82">
        <v>211.34500000000006</v>
      </c>
      <c r="AV49" s="81">
        <v>220.84500000000006</v>
      </c>
      <c r="AW49" s="80">
        <v>86.299999999999841</v>
      </c>
      <c r="AX49" s="82">
        <v>99.1724999999999</v>
      </c>
      <c r="AY49" s="82">
        <v>115.79499999999985</v>
      </c>
      <c r="AZ49" s="82">
        <v>129.04499999999985</v>
      </c>
      <c r="BA49" s="81">
        <v>142.29499999999985</v>
      </c>
      <c r="BB49" s="80">
        <v>100.96766666666662</v>
      </c>
      <c r="BC49" s="82">
        <v>118.99666666666661</v>
      </c>
      <c r="BD49" s="81">
        <v>154.04466666666667</v>
      </c>
      <c r="BE49" s="80">
        <v>240.82</v>
      </c>
      <c r="BF49" s="82">
        <v>303.02</v>
      </c>
      <c r="BG49" s="81">
        <v>399.87999999999988</v>
      </c>
      <c r="BH49" s="80">
        <v>23.32</v>
      </c>
      <c r="BI49" s="82">
        <v>26.8765</v>
      </c>
      <c r="BJ49" s="82">
        <v>34.525999999999996</v>
      </c>
      <c r="BK49" s="82">
        <v>42.448500000000003</v>
      </c>
      <c r="BL49" s="81">
        <v>44.399999999999991</v>
      </c>
      <c r="BM49" s="80">
        <v>24.202999999999996</v>
      </c>
      <c r="BN49" s="82">
        <v>40.710481000000001</v>
      </c>
      <c r="BO49" s="82">
        <v>64.271350000000012</v>
      </c>
      <c r="BP49" s="82">
        <v>86.469210000000018</v>
      </c>
      <c r="BQ49" s="81">
        <v>107.736</v>
      </c>
      <c r="BR49" s="80">
        <v>19.799999999999997</v>
      </c>
      <c r="BS49" s="82">
        <v>21.962999999999997</v>
      </c>
      <c r="BT49" s="82">
        <v>26.61</v>
      </c>
      <c r="BU49" s="82">
        <v>31.256999999999998</v>
      </c>
      <c r="BV49" s="81">
        <v>33.299999999999997</v>
      </c>
      <c r="BW49" s="80">
        <v>9.8010000000000019</v>
      </c>
      <c r="BX49" s="82">
        <v>22.996039999999979</v>
      </c>
      <c r="BY49" s="82">
        <v>45.10920999999999</v>
      </c>
      <c r="BZ49" s="82">
        <v>53.604439999999997</v>
      </c>
      <c r="CA49" s="81">
        <v>62.380650000000003</v>
      </c>
      <c r="CB49" s="80">
        <v>-2.5999999999999979</v>
      </c>
      <c r="CC49" s="82">
        <v>7.259999999999998</v>
      </c>
      <c r="CD49" s="82">
        <v>23.009999999999998</v>
      </c>
      <c r="CE49" s="82">
        <v>42.36</v>
      </c>
      <c r="CF49" s="81">
        <v>37.4</v>
      </c>
      <c r="CG49" s="80">
        <v>181.72000000000003</v>
      </c>
      <c r="CH49" s="82">
        <v>339.21000000000004</v>
      </c>
      <c r="CI49" s="81">
        <v>523.73400000000004</v>
      </c>
      <c r="CJ49" s="80">
        <v>3.3519999999999897</v>
      </c>
      <c r="CK49" s="83">
        <v>4.9019999999999868</v>
      </c>
      <c r="CL49" s="84">
        <v>14.340000000000003</v>
      </c>
      <c r="CM49" s="80">
        <v>14.825108477666348</v>
      </c>
      <c r="CN49" s="82">
        <v>21.748850555784244</v>
      </c>
      <c r="CO49" s="81">
        <v>36.711288620949503</v>
      </c>
      <c r="CP49" s="85">
        <v>4.7639999999999976</v>
      </c>
      <c r="CQ49" s="86">
        <f>CQ37-CQ46</f>
        <v>6.2995000000000001</v>
      </c>
      <c r="CR49" s="87">
        <v>8.0375999999999994</v>
      </c>
      <c r="CS49" s="85">
        <v>1.2473749999999995</v>
      </c>
      <c r="CT49" s="87">
        <v>2.0945000000000005</v>
      </c>
      <c r="CU49" s="87">
        <v>2.9159250000000005</v>
      </c>
      <c r="CV49" s="545"/>
      <c r="CW49" s="533"/>
      <c r="CX49" s="897">
        <f t="shared" ref="CX49:DR49" si="26">CX37-CX46</f>
        <v>992</v>
      </c>
      <c r="CY49" s="893">
        <f>CY37-CY46</f>
        <v>1220</v>
      </c>
      <c r="CZ49" s="914">
        <f>CZ37-CZ46</f>
        <v>1189.2695063890369</v>
      </c>
      <c r="DA49" s="915">
        <f t="shared" si="26"/>
        <v>907.47368421052624</v>
      </c>
      <c r="DB49" s="898">
        <f t="shared" si="26"/>
        <v>895.47368421052624</v>
      </c>
      <c r="DC49" s="914">
        <f t="shared" si="26"/>
        <v>892.57807540374893</v>
      </c>
      <c r="DD49" s="915">
        <f t="shared" si="26"/>
        <v>212.4736842105263</v>
      </c>
      <c r="DE49" s="898">
        <f t="shared" si="26"/>
        <v>257.4736842105263</v>
      </c>
      <c r="DF49" s="914">
        <f t="shared" si="26"/>
        <v>147.34035087719298</v>
      </c>
      <c r="DG49" s="915">
        <f t="shared" si="26"/>
        <v>99.60526315789474</v>
      </c>
      <c r="DH49" s="898">
        <f t="shared" si="26"/>
        <v>138.60526315789474</v>
      </c>
      <c r="DI49" s="914">
        <f t="shared" si="26"/>
        <v>119.82081871345028</v>
      </c>
      <c r="DJ49" s="915">
        <f t="shared" si="26"/>
        <v>292.85526315789474</v>
      </c>
      <c r="DK49" s="898">
        <f t="shared" si="26"/>
        <v>392.85526315789474</v>
      </c>
      <c r="DL49" s="914">
        <f t="shared" si="26"/>
        <v>162.44500000000005</v>
      </c>
      <c r="DM49" s="915">
        <f t="shared" si="26"/>
        <v>54.512</v>
      </c>
      <c r="DN49" s="898">
        <f t="shared" si="26"/>
        <v>61.805599999999998</v>
      </c>
      <c r="DO49" s="914">
        <f t="shared" si="26"/>
        <v>74.556888888888906</v>
      </c>
      <c r="DP49" s="915">
        <f t="shared" si="26"/>
        <v>21.320000000000007</v>
      </c>
      <c r="DQ49" s="898">
        <f t="shared" si="26"/>
        <v>26.899316835937512</v>
      </c>
      <c r="DR49" s="914">
        <f t="shared" si="26"/>
        <v>14.22962046440972</v>
      </c>
      <c r="DS49" s="894">
        <f>DS37-DS46</f>
        <v>13.019747004651951</v>
      </c>
      <c r="DT49" s="238"/>
      <c r="DU49" s="590" t="s">
        <v>526</v>
      </c>
      <c r="DV49" s="147" t="s">
        <v>472</v>
      </c>
      <c r="DW49" s="600">
        <v>322</v>
      </c>
      <c r="DX49" s="601">
        <v>315</v>
      </c>
      <c r="DY49" s="601">
        <v>306</v>
      </c>
      <c r="DZ49" s="601">
        <v>297</v>
      </c>
      <c r="EA49" s="602">
        <v>270</v>
      </c>
      <c r="EB49" s="601">
        <v>217</v>
      </c>
      <c r="EC49" s="601">
        <v>211</v>
      </c>
      <c r="ED49" s="601">
        <v>205</v>
      </c>
      <c r="EE49" s="601">
        <v>199</v>
      </c>
      <c r="EF49" s="602">
        <v>194</v>
      </c>
      <c r="EG49" s="235"/>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row>
    <row r="50" spans="1:169" s="45" customFormat="1" ht="11.5" customHeight="1" thickBot="1" x14ac:dyDescent="0.3">
      <c r="A50" s="238"/>
      <c r="B50" s="1492"/>
      <c r="C50" s="441" t="s">
        <v>425</v>
      </c>
      <c r="D50" s="440">
        <f t="shared" ref="D50:BO50" si="27">D49*D10</f>
        <v>779.00886864000006</v>
      </c>
      <c r="E50" s="489">
        <f t="shared" si="27"/>
        <v>927.14227320000009</v>
      </c>
      <c r="F50" s="489">
        <f t="shared" si="27"/>
        <v>1117.4151519999998</v>
      </c>
      <c r="G50" s="489">
        <f t="shared" si="27"/>
        <v>1326.1814940000002</v>
      </c>
      <c r="H50" s="441">
        <f t="shared" si="27"/>
        <v>1475.1573139200002</v>
      </c>
      <c r="I50" s="440">
        <f t="shared" si="27"/>
        <v>177.90499999999997</v>
      </c>
      <c r="J50" s="489">
        <f t="shared" si="27"/>
        <v>229.46000000000004</v>
      </c>
      <c r="K50" s="489">
        <f t="shared" si="27"/>
        <v>300.43200000000002</v>
      </c>
      <c r="L50" s="489">
        <f t="shared" si="27"/>
        <v>522.35956666666664</v>
      </c>
      <c r="M50" s="441">
        <f t="shared" si="27"/>
        <v>637.21409803921551</v>
      </c>
      <c r="N50" s="440">
        <f t="shared" si="27"/>
        <v>447.04999999999984</v>
      </c>
      <c r="O50" s="489">
        <f t="shared" si="27"/>
        <v>562.31999999999994</v>
      </c>
      <c r="P50" s="489">
        <f t="shared" si="27"/>
        <v>687.31499999999994</v>
      </c>
      <c r="Q50" s="489">
        <f t="shared" si="27"/>
        <v>912.55499999999961</v>
      </c>
      <c r="R50" s="441">
        <f t="shared" si="27"/>
        <v>1145.5599999999997</v>
      </c>
      <c r="S50" s="440">
        <f t="shared" si="27"/>
        <v>475.18749999999983</v>
      </c>
      <c r="T50" s="489">
        <f t="shared" si="27"/>
        <v>570.93750000000034</v>
      </c>
      <c r="U50" s="489">
        <f t="shared" si="27"/>
        <v>612.14999999999986</v>
      </c>
      <c r="V50" s="489">
        <f t="shared" si="27"/>
        <v>651.48</v>
      </c>
      <c r="W50" s="441">
        <f t="shared" si="27"/>
        <v>683.2399999999999</v>
      </c>
      <c r="X50" s="440">
        <f t="shared" si="27"/>
        <v>230.22699999999995</v>
      </c>
      <c r="Y50" s="489">
        <f t="shared" si="27"/>
        <v>309.04928571428559</v>
      </c>
      <c r="Z50" s="489">
        <f t="shared" si="27"/>
        <v>400.71546428571412</v>
      </c>
      <c r="AA50" s="489">
        <f t="shared" si="27"/>
        <v>612.5167142857141</v>
      </c>
      <c r="AB50" s="441">
        <f t="shared" si="27"/>
        <v>713.54399999999998</v>
      </c>
      <c r="AC50" s="440">
        <f t="shared" si="27"/>
        <v>-164.34000000000009</v>
      </c>
      <c r="AD50" s="489">
        <f t="shared" si="27"/>
        <v>-2.6926027397263255</v>
      </c>
      <c r="AE50" s="489">
        <f t="shared" si="27"/>
        <v>259.43207091055569</v>
      </c>
      <c r="AF50" s="489">
        <f t="shared" si="27"/>
        <v>660.44712328767082</v>
      </c>
      <c r="AG50" s="441">
        <f t="shared" si="27"/>
        <v>895.80250000000012</v>
      </c>
      <c r="AH50" s="440">
        <f t="shared" si="27"/>
        <v>75.403166666666621</v>
      </c>
      <c r="AI50" s="489">
        <f t="shared" si="27"/>
        <v>139.85833333333335</v>
      </c>
      <c r="AJ50" s="489">
        <f t="shared" si="27"/>
        <v>216.00533333333334</v>
      </c>
      <c r="AK50" s="489">
        <f t="shared" si="27"/>
        <v>338.56733333333318</v>
      </c>
      <c r="AL50" s="441">
        <f t="shared" si="27"/>
        <v>501.01333333333326</v>
      </c>
      <c r="AM50" s="440">
        <f t="shared" si="27"/>
        <v>109.86857142857146</v>
      </c>
      <c r="AN50" s="489">
        <f t="shared" si="27"/>
        <v>172.66734047619036</v>
      </c>
      <c r="AO50" s="489">
        <f t="shared" si="27"/>
        <v>261.30905059523803</v>
      </c>
      <c r="AP50" s="489">
        <f t="shared" si="27"/>
        <v>385.96798571428565</v>
      </c>
      <c r="AQ50" s="441">
        <f t="shared" si="27"/>
        <v>497.70590476190478</v>
      </c>
      <c r="AR50" s="440">
        <f t="shared" si="27"/>
        <v>458.35399999999998</v>
      </c>
      <c r="AS50" s="489">
        <f t="shared" si="27"/>
        <v>519.93562500000007</v>
      </c>
      <c r="AT50" s="489">
        <f t="shared" si="27"/>
        <v>605.5350000000002</v>
      </c>
      <c r="AU50" s="489">
        <f t="shared" si="27"/>
        <v>686.87125000000015</v>
      </c>
      <c r="AV50" s="441">
        <f t="shared" si="27"/>
        <v>750.87300000000016</v>
      </c>
      <c r="AW50" s="440">
        <f t="shared" si="27"/>
        <v>258.89999999999952</v>
      </c>
      <c r="AX50" s="489">
        <f t="shared" si="27"/>
        <v>342.34890410958866</v>
      </c>
      <c r="AY50" s="489">
        <f t="shared" si="27"/>
        <v>470.27139403706616</v>
      </c>
      <c r="AZ50" s="489">
        <f t="shared" si="27"/>
        <v>593.96054794520489</v>
      </c>
      <c r="BA50" s="441">
        <f t="shared" si="27"/>
        <v>711.47499999999923</v>
      </c>
      <c r="BB50" s="440">
        <f t="shared" si="27"/>
        <v>90.870899999999963</v>
      </c>
      <c r="BC50" s="489">
        <f t="shared" si="27"/>
        <v>118.99666666666661</v>
      </c>
      <c r="BD50" s="441">
        <f t="shared" si="27"/>
        <v>169.44913333333335</v>
      </c>
      <c r="BE50" s="440">
        <f t="shared" si="27"/>
        <v>361.23</v>
      </c>
      <c r="BF50" s="489">
        <f t="shared" si="27"/>
        <v>378.77499999999998</v>
      </c>
      <c r="BG50" s="441">
        <f t="shared" si="27"/>
        <v>999.6999999999997</v>
      </c>
      <c r="BH50" s="440">
        <f t="shared" si="27"/>
        <v>279.84000000000003</v>
      </c>
      <c r="BI50" s="489">
        <f t="shared" si="27"/>
        <v>403.14749999999998</v>
      </c>
      <c r="BJ50" s="489">
        <f t="shared" si="27"/>
        <v>517.89</v>
      </c>
      <c r="BK50" s="489">
        <f t="shared" si="27"/>
        <v>636.72750000000008</v>
      </c>
      <c r="BL50" s="441">
        <f t="shared" si="27"/>
        <v>799.19999999999982</v>
      </c>
      <c r="BM50" s="440">
        <f t="shared" si="27"/>
        <v>169.42099999999996</v>
      </c>
      <c r="BN50" s="489">
        <f t="shared" si="27"/>
        <v>325.68384800000001</v>
      </c>
      <c r="BO50" s="489">
        <f t="shared" si="27"/>
        <v>642.71350000000007</v>
      </c>
      <c r="BP50" s="489">
        <f t="shared" ref="BP50:CU50" si="28">BP49*BP10</f>
        <v>951.16131000000019</v>
      </c>
      <c r="BQ50" s="441">
        <f t="shared" si="28"/>
        <v>1400.568</v>
      </c>
      <c r="BR50" s="440">
        <f t="shared" si="28"/>
        <v>475.19999999999993</v>
      </c>
      <c r="BS50" s="489">
        <f t="shared" si="28"/>
        <v>571.0379999999999</v>
      </c>
      <c r="BT50" s="489">
        <f t="shared" si="28"/>
        <v>745.07999999999993</v>
      </c>
      <c r="BU50" s="489">
        <f t="shared" si="28"/>
        <v>937.70999999999992</v>
      </c>
      <c r="BV50" s="441">
        <f t="shared" si="28"/>
        <v>1065.5999999999999</v>
      </c>
      <c r="BW50" s="440">
        <f t="shared" si="28"/>
        <v>29.403000000000006</v>
      </c>
      <c r="BX50" s="489">
        <f t="shared" si="28"/>
        <v>160.97227999999984</v>
      </c>
      <c r="BY50" s="489">
        <f t="shared" si="28"/>
        <v>338.31907499999994</v>
      </c>
      <c r="BZ50" s="489">
        <f t="shared" si="28"/>
        <v>428.83551999999997</v>
      </c>
      <c r="CA50" s="441">
        <f t="shared" si="28"/>
        <v>561.42585000000008</v>
      </c>
      <c r="CB50" s="440">
        <f t="shared" si="28"/>
        <v>-38.999999999999972</v>
      </c>
      <c r="CC50" s="489">
        <f t="shared" si="28"/>
        <v>108.89999999999998</v>
      </c>
      <c r="CD50" s="489">
        <f t="shared" si="28"/>
        <v>345.15</v>
      </c>
      <c r="CE50" s="489">
        <f t="shared" si="28"/>
        <v>635.4</v>
      </c>
      <c r="CF50" s="441">
        <f t="shared" si="28"/>
        <v>561</v>
      </c>
      <c r="CG50" s="440">
        <f t="shared" si="28"/>
        <v>3634.4000000000005</v>
      </c>
      <c r="CH50" s="489">
        <f t="shared" si="28"/>
        <v>6784.2000000000007</v>
      </c>
      <c r="CI50" s="441">
        <f t="shared" si="28"/>
        <v>10474.68</v>
      </c>
      <c r="CJ50" s="440">
        <f t="shared" si="28"/>
        <v>93.85599999999971</v>
      </c>
      <c r="CK50" s="489">
        <f t="shared" si="28"/>
        <v>147.0599999999996</v>
      </c>
      <c r="CL50" s="441">
        <f t="shared" si="28"/>
        <v>501.90000000000009</v>
      </c>
      <c r="CM50" s="440">
        <f t="shared" si="28"/>
        <v>355.80260346399234</v>
      </c>
      <c r="CN50" s="489">
        <f t="shared" si="28"/>
        <v>543.72126389460607</v>
      </c>
      <c r="CO50" s="441">
        <f t="shared" si="28"/>
        <v>1009.5604370761114</v>
      </c>
      <c r="CP50" s="440">
        <f t="shared" si="28"/>
        <v>4763.9999999999973</v>
      </c>
      <c r="CQ50" s="489">
        <f>CQ49*CQ10</f>
        <v>6299.5</v>
      </c>
      <c r="CR50" s="441">
        <f t="shared" si="28"/>
        <v>8037.5999999999995</v>
      </c>
      <c r="CS50" s="440">
        <f t="shared" si="28"/>
        <v>1247.3749999999995</v>
      </c>
      <c r="CT50" s="441">
        <f t="shared" si="28"/>
        <v>2094.5000000000005</v>
      </c>
      <c r="CU50" s="441">
        <f t="shared" si="28"/>
        <v>2915.9250000000006</v>
      </c>
      <c r="CV50" s="551"/>
      <c r="CW50" s="553"/>
      <c r="CX50" s="895">
        <f t="shared" ref="CX50:DR50" si="29">CX49*CX10</f>
        <v>992</v>
      </c>
      <c r="CY50" s="896">
        <f t="shared" si="29"/>
        <v>1220</v>
      </c>
      <c r="CZ50" s="913">
        <f t="shared" si="29"/>
        <v>1932.562947882185</v>
      </c>
      <c r="DA50" s="895">
        <f t="shared" si="29"/>
        <v>1088.9684210526314</v>
      </c>
      <c r="DB50" s="896">
        <f t="shared" si="29"/>
        <v>1164.1157894736841</v>
      </c>
      <c r="DC50" s="913">
        <f t="shared" si="29"/>
        <v>1885.5711842904198</v>
      </c>
      <c r="DD50" s="895">
        <f t="shared" si="29"/>
        <v>283.29824561403507</v>
      </c>
      <c r="DE50" s="896">
        <f t="shared" si="29"/>
        <v>343.29824561403507</v>
      </c>
      <c r="DF50" s="913">
        <f t="shared" si="29"/>
        <v>319.23742690058475</v>
      </c>
      <c r="DG50" s="895">
        <f t="shared" si="29"/>
        <v>74.703947368421055</v>
      </c>
      <c r="DH50" s="896">
        <f t="shared" si="29"/>
        <v>103.95394736842105</v>
      </c>
      <c r="DI50" s="913">
        <f t="shared" si="29"/>
        <v>89.865614035087702</v>
      </c>
      <c r="DJ50" s="895">
        <f t="shared" si="29"/>
        <v>374.8547368421053</v>
      </c>
      <c r="DK50" s="896">
        <f t="shared" si="29"/>
        <v>502.8547368421053</v>
      </c>
      <c r="DL50" s="913">
        <f t="shared" si="29"/>
        <v>337.88560000000012</v>
      </c>
      <c r="DM50" s="895">
        <f t="shared" si="29"/>
        <v>250.75519999999997</v>
      </c>
      <c r="DN50" s="896">
        <f t="shared" si="29"/>
        <v>290.48631999999998</v>
      </c>
      <c r="DO50" s="913">
        <f t="shared" si="29"/>
        <v>569.42823888888904</v>
      </c>
      <c r="DP50" s="895">
        <f t="shared" si="29"/>
        <v>138.58000000000004</v>
      </c>
      <c r="DQ50" s="896">
        <f t="shared" si="29"/>
        <v>180.22542280078133</v>
      </c>
      <c r="DR50" s="913">
        <f t="shared" si="29"/>
        <v>71.148102322048601</v>
      </c>
      <c r="DS50" s="913">
        <f>DS49*DS10</f>
        <v>13019.74700465195</v>
      </c>
      <c r="DT50" s="238"/>
      <c r="DU50" s="591" t="s">
        <v>512</v>
      </c>
      <c r="DV50" s="147" t="s">
        <v>472</v>
      </c>
      <c r="DW50" s="603">
        <v>947.6875</v>
      </c>
      <c r="DX50" s="604">
        <v>954.2</v>
      </c>
      <c r="DY50" s="604">
        <v>917</v>
      </c>
      <c r="DZ50" s="604">
        <v>879.8</v>
      </c>
      <c r="EA50" s="605">
        <v>869.25</v>
      </c>
      <c r="EB50" s="604">
        <v>677.07999999999993</v>
      </c>
      <c r="EC50" s="604">
        <v>655.72</v>
      </c>
      <c r="ED50" s="604">
        <v>623.55999999999995</v>
      </c>
      <c r="EE50" s="604">
        <v>604.48</v>
      </c>
      <c r="EF50" s="605">
        <v>590</v>
      </c>
      <c r="EG50" s="235"/>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row>
    <row r="51" spans="1:169" s="235" customFormat="1" ht="10.5" x14ac:dyDescent="0.25">
      <c r="B51" s="529"/>
      <c r="C51" s="529"/>
      <c r="D51" s="529"/>
      <c r="E51" s="529"/>
      <c r="F51" s="529"/>
      <c r="G51" s="529"/>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30"/>
      <c r="CL51" s="530"/>
      <c r="CM51" s="529"/>
      <c r="CN51" s="529"/>
      <c r="CO51" s="529"/>
      <c r="CP51" s="531"/>
      <c r="CQ51" s="531"/>
      <c r="CR51" s="531"/>
      <c r="CS51" s="531"/>
      <c r="CT51" s="531"/>
      <c r="CU51" s="531"/>
      <c r="CV51" s="532"/>
      <c r="CW51" s="533"/>
      <c r="CX51" s="534"/>
      <c r="CY51" s="534"/>
      <c r="CZ51" s="535"/>
      <c r="DA51" s="535"/>
      <c r="DB51" s="535"/>
      <c r="DC51" s="535"/>
      <c r="DD51" s="535"/>
      <c r="DE51" s="535"/>
      <c r="DF51" s="535"/>
      <c r="DG51" s="535"/>
      <c r="DH51" s="535"/>
      <c r="DI51" s="535"/>
      <c r="DJ51" s="535"/>
      <c r="DK51" s="535"/>
      <c r="DL51" s="535"/>
      <c r="DM51" s="535"/>
      <c r="DN51" s="535"/>
      <c r="DO51" s="535"/>
      <c r="DP51" s="534"/>
      <c r="DQ51" s="535"/>
      <c r="DR51" s="535"/>
      <c r="DS51" s="531"/>
      <c r="DT51" s="238"/>
      <c r="DU51" s="591" t="s">
        <v>514</v>
      </c>
      <c r="DV51" s="147" t="s">
        <v>472</v>
      </c>
      <c r="DW51" s="603">
        <v>938.8777380952381</v>
      </c>
      <c r="DX51" s="604">
        <v>1092.421951219512</v>
      </c>
      <c r="DY51" s="604">
        <v>1219.8277777777776</v>
      </c>
      <c r="DZ51" s="604">
        <v>1348.9559823155566</v>
      </c>
      <c r="EA51" s="605">
        <v>1547.8936879432622</v>
      </c>
      <c r="EB51" s="604">
        <v>1020.4382926829269</v>
      </c>
      <c r="EC51" s="604">
        <v>1105.2674999999999</v>
      </c>
      <c r="ED51" s="604">
        <v>1209.3516702741704</v>
      </c>
      <c r="EE51" s="604">
        <v>1300.2853105232894</v>
      </c>
      <c r="EF51" s="605">
        <v>1361.1595744680851</v>
      </c>
      <c r="EH51" s="238"/>
    </row>
    <row r="52" spans="1:169" s="235" customFormat="1" ht="10.5" x14ac:dyDescent="0.25">
      <c r="B52" s="290" t="s">
        <v>527</v>
      </c>
      <c r="C52" s="290"/>
      <c r="D52" s="290"/>
      <c r="E52" s="290"/>
      <c r="F52" s="290"/>
      <c r="G52" s="290"/>
      <c r="H52" s="536"/>
      <c r="I52" s="290"/>
      <c r="J52" s="290"/>
      <c r="K52" s="290"/>
      <c r="L52" s="290"/>
      <c r="M52" s="536"/>
      <c r="N52" s="290"/>
      <c r="O52" s="290"/>
      <c r="P52" s="290"/>
      <c r="Q52" s="290"/>
      <c r="R52" s="536"/>
      <c r="S52" s="290"/>
      <c r="T52" s="290"/>
      <c r="U52" s="290"/>
      <c r="V52" s="290"/>
      <c r="W52" s="536"/>
      <c r="X52" s="290"/>
      <c r="Y52" s="290"/>
      <c r="Z52" s="290"/>
      <c r="AA52" s="290"/>
      <c r="AB52" s="536"/>
      <c r="AC52" s="290"/>
      <c r="AD52" s="290"/>
      <c r="AE52" s="290"/>
      <c r="AF52" s="290"/>
      <c r="AG52" s="536"/>
      <c r="AH52" s="290"/>
      <c r="AI52" s="290"/>
      <c r="AJ52" s="290"/>
      <c r="AK52" s="290"/>
      <c r="AL52" s="536"/>
      <c r="AM52" s="290"/>
      <c r="AN52" s="290"/>
      <c r="AO52" s="290"/>
      <c r="AP52" s="290"/>
      <c r="AQ52" s="536"/>
      <c r="AR52" s="290"/>
      <c r="AS52" s="290"/>
      <c r="AT52" s="290"/>
      <c r="AU52" s="290"/>
      <c r="AV52" s="536"/>
      <c r="AW52" s="290"/>
      <c r="AX52" s="290"/>
      <c r="AY52" s="290"/>
      <c r="AZ52" s="290"/>
      <c r="BA52" s="536"/>
      <c r="BB52" s="290"/>
      <c r="BC52" s="290"/>
      <c r="BD52" s="536"/>
      <c r="BE52" s="290"/>
      <c r="BF52" s="290"/>
      <c r="BG52" s="536"/>
      <c r="BH52" s="290"/>
      <c r="BI52" s="290"/>
      <c r="BJ52" s="290"/>
      <c r="BK52" s="290"/>
      <c r="BL52" s="536"/>
      <c r="BM52" s="290"/>
      <c r="BN52" s="290"/>
      <c r="BO52" s="290"/>
      <c r="BP52" s="290"/>
      <c r="BQ52" s="536"/>
      <c r="BR52" s="290"/>
      <c r="BS52" s="290"/>
      <c r="BT52" s="290"/>
      <c r="BU52" s="290"/>
      <c r="BV52" s="536"/>
      <c r="BW52" s="290"/>
      <c r="BX52" s="290"/>
      <c r="BY52" s="290"/>
      <c r="BZ52" s="290"/>
      <c r="CA52" s="536"/>
      <c r="CB52" s="290"/>
      <c r="CC52" s="290"/>
      <c r="CD52" s="290"/>
      <c r="CE52" s="290"/>
      <c r="CF52" s="536"/>
      <c r="CG52" s="290"/>
      <c r="CH52" s="290"/>
      <c r="CI52" s="536"/>
      <c r="CJ52" s="290"/>
      <c r="CK52" s="290"/>
      <c r="CL52" s="536"/>
      <c r="CM52" s="290"/>
      <c r="CN52" s="290"/>
      <c r="CO52" s="536"/>
      <c r="CP52" s="290"/>
      <c r="CQ52" s="290"/>
      <c r="CR52" s="536"/>
      <c r="CS52" s="290"/>
      <c r="CT52" s="290"/>
      <c r="CU52" s="290"/>
      <c r="CV52" s="532"/>
      <c r="CW52" s="290"/>
      <c r="CX52" s="290"/>
      <c r="CY52" s="290"/>
      <c r="CZ52" s="290"/>
      <c r="DA52" s="290"/>
      <c r="DB52" s="290"/>
      <c r="DC52" s="290"/>
      <c r="DD52" s="290"/>
      <c r="DE52" s="290"/>
      <c r="DF52" s="290"/>
      <c r="DG52" s="290"/>
      <c r="DH52" s="290"/>
      <c r="DI52" s="290"/>
      <c r="DJ52" s="290"/>
      <c r="DK52" s="290"/>
      <c r="DL52" s="290"/>
      <c r="DM52" s="290"/>
      <c r="DN52" s="290"/>
      <c r="DO52" s="290"/>
      <c r="DP52" s="290"/>
      <c r="DQ52" s="290"/>
      <c r="DR52" s="290"/>
      <c r="DS52" s="290"/>
      <c r="DT52" s="238"/>
      <c r="DU52" s="591" t="s">
        <v>516</v>
      </c>
      <c r="DV52" s="606" t="s">
        <v>425</v>
      </c>
      <c r="DW52" s="603">
        <v>1783.8677023809523</v>
      </c>
      <c r="DX52" s="604">
        <v>2184.8439024390241</v>
      </c>
      <c r="DY52" s="604">
        <v>2561.6383333333329</v>
      </c>
      <c r="DZ52" s="604">
        <v>2967.7031610942249</v>
      </c>
      <c r="EA52" s="605">
        <v>3405.3661134751769</v>
      </c>
      <c r="EB52" s="604">
        <v>2347.0080731707317</v>
      </c>
      <c r="EC52" s="604">
        <v>2652.6419999999998</v>
      </c>
      <c r="ED52" s="604">
        <v>3023.3791756854262</v>
      </c>
      <c r="EE52" s="604">
        <v>3380.7418073605522</v>
      </c>
      <c r="EF52" s="605">
        <v>3675.1308510638301</v>
      </c>
      <c r="EH52" s="238"/>
    </row>
    <row r="53" spans="1:169" s="235" customFormat="1" ht="11" thickBot="1" x14ac:dyDescent="0.3">
      <c r="DT53" s="238"/>
      <c r="DU53" s="598" t="s">
        <v>216</v>
      </c>
      <c r="DV53" s="160" t="s">
        <v>472</v>
      </c>
      <c r="DW53" s="607">
        <v>37.158958333333338</v>
      </c>
      <c r="DX53" s="608">
        <v>37.180666666666667</v>
      </c>
      <c r="DY53" s="608">
        <v>37.056666666666665</v>
      </c>
      <c r="DZ53" s="608">
        <v>36.932666666666663</v>
      </c>
      <c r="EA53" s="609">
        <v>36.897500000000001</v>
      </c>
      <c r="EB53" s="608">
        <v>33.256933333333329</v>
      </c>
      <c r="EC53" s="608">
        <v>33.185733333333332</v>
      </c>
      <c r="ED53" s="608">
        <v>33.078533333333333</v>
      </c>
      <c r="EE53" s="608">
        <v>33.014933333333332</v>
      </c>
      <c r="EF53" s="609">
        <v>32.966666666666669</v>
      </c>
      <c r="EH53" s="238"/>
    </row>
    <row r="54" spans="1:169" s="235" customFormat="1" ht="10.5" x14ac:dyDescent="0.25">
      <c r="DT54" s="238"/>
      <c r="DU54" s="238"/>
      <c r="DV54" s="238"/>
      <c r="DW54" s="238"/>
      <c r="DX54" s="238"/>
      <c r="DY54" s="238"/>
      <c r="DZ54" s="238"/>
      <c r="EA54" s="238"/>
      <c r="EB54" s="238"/>
      <c r="EC54" s="238"/>
      <c r="ED54" s="238"/>
      <c r="EE54" s="238"/>
      <c r="EF54" s="238"/>
      <c r="EH54" s="238"/>
    </row>
    <row r="55" spans="1:169" s="235" customFormat="1" ht="10.5" x14ac:dyDescent="0.25">
      <c r="DT55" s="238"/>
      <c r="DU55" s="238"/>
      <c r="DV55" s="238"/>
      <c r="DW55" s="238"/>
      <c r="DX55" s="238"/>
      <c r="DY55" s="238"/>
      <c r="DZ55" s="238"/>
      <c r="EA55" s="238"/>
      <c r="EB55" s="238"/>
      <c r="EC55" s="238"/>
      <c r="ED55" s="238"/>
      <c r="EE55" s="238"/>
      <c r="EF55" s="238"/>
      <c r="EH55" s="238"/>
    </row>
    <row r="56" spans="1:169" s="235" customFormat="1" ht="10.5" x14ac:dyDescent="0.25">
      <c r="B56" s="237"/>
      <c r="DT56" s="238"/>
      <c r="DU56" s="238"/>
      <c r="DV56" s="238"/>
      <c r="DW56" s="238"/>
      <c r="DX56" s="238"/>
      <c r="DY56" s="238"/>
      <c r="DZ56" s="238"/>
      <c r="EA56" s="238"/>
      <c r="EB56" s="238"/>
      <c r="EC56" s="238"/>
      <c r="ED56" s="238"/>
      <c r="EE56" s="238"/>
      <c r="EF56" s="238"/>
      <c r="EH56" s="238"/>
    </row>
    <row r="57" spans="1:169" s="235" customFormat="1" ht="10.5" x14ac:dyDescent="0.25">
      <c r="B57" s="135"/>
      <c r="C57" s="135"/>
      <c r="D57" s="537"/>
      <c r="E57" s="290"/>
      <c r="F57" s="290"/>
      <c r="G57" s="290"/>
      <c r="H57" s="290"/>
      <c r="I57" s="537"/>
      <c r="J57" s="290"/>
      <c r="K57" s="290"/>
      <c r="L57" s="290"/>
      <c r="M57" s="290"/>
      <c r="N57" s="538"/>
      <c r="DH57" s="235">
        <f>CZ41*CZ8</f>
        <v>361.9370521178148</v>
      </c>
      <c r="DI57" s="235">
        <f>DY31*DY43</f>
        <v>1283.1000000000001</v>
      </c>
      <c r="DT57" s="238"/>
      <c r="DU57" s="238"/>
      <c r="DV57" s="238"/>
      <c r="DW57" s="238"/>
      <c r="DX57" s="238"/>
      <c r="DY57" s="238"/>
      <c r="DZ57" s="238"/>
      <c r="EA57" s="238"/>
      <c r="EB57" s="238"/>
      <c r="EC57" s="238"/>
      <c r="ED57" s="238"/>
      <c r="EE57" s="238"/>
      <c r="EF57" s="238"/>
      <c r="EH57" s="238"/>
    </row>
    <row r="58" spans="1:169" s="235" customFormat="1" ht="10.5" x14ac:dyDescent="0.25">
      <c r="DT58" s="238"/>
      <c r="DU58" s="238"/>
      <c r="DV58" s="238"/>
      <c r="DW58" s="238"/>
      <c r="DX58" s="238"/>
      <c r="DY58" s="238"/>
      <c r="DZ58" s="238"/>
      <c r="EA58" s="238"/>
      <c r="EB58" s="238"/>
      <c r="EC58" s="238"/>
      <c r="ED58" s="238"/>
      <c r="EE58" s="238"/>
      <c r="EF58" s="238"/>
      <c r="EH58" s="238"/>
    </row>
    <row r="59" spans="1:169" s="235" customFormat="1" ht="10.5" x14ac:dyDescent="0.25">
      <c r="DH59" s="235">
        <f>DH57/DI57</f>
        <v>0.28208015908176665</v>
      </c>
      <c r="DT59" s="238"/>
      <c r="DU59" s="238"/>
      <c r="DV59" s="238"/>
      <c r="DW59" s="238"/>
      <c r="DX59" s="238"/>
      <c r="DY59" s="238"/>
      <c r="DZ59" s="238"/>
      <c r="EA59" s="238"/>
      <c r="EB59" s="238"/>
      <c r="EC59" s="238"/>
      <c r="ED59" s="238"/>
      <c r="EE59" s="238"/>
      <c r="EF59" s="238"/>
      <c r="EH59" s="238"/>
    </row>
    <row r="60" spans="1:169" s="235" customFormat="1" ht="10.5" x14ac:dyDescent="0.25">
      <c r="DT60" s="238"/>
      <c r="DU60" s="238"/>
      <c r="DV60" s="238"/>
      <c r="DW60" s="238"/>
      <c r="DX60" s="238"/>
      <c r="DY60" s="238"/>
      <c r="DZ60" s="238"/>
      <c r="EA60" s="238"/>
      <c r="EB60" s="238"/>
      <c r="EC60" s="238"/>
      <c r="ED60" s="238"/>
      <c r="EE60" s="238"/>
      <c r="EF60" s="238"/>
      <c r="EH60" s="238"/>
    </row>
    <row r="61" spans="1:169" s="235" customFormat="1" ht="10.5" x14ac:dyDescent="0.25">
      <c r="DT61" s="238"/>
      <c r="DU61" s="238"/>
      <c r="DV61" s="238"/>
      <c r="DW61" s="238"/>
      <c r="DX61" s="238"/>
      <c r="DY61" s="238"/>
      <c r="DZ61" s="238"/>
      <c r="EA61" s="238"/>
      <c r="EB61" s="238"/>
      <c r="EC61" s="238"/>
      <c r="ED61" s="238"/>
      <c r="EE61" s="238"/>
      <c r="EF61" s="238"/>
      <c r="EH61" s="238"/>
    </row>
    <row r="62" spans="1:169" s="235" customFormat="1" ht="10.5" x14ac:dyDescent="0.25">
      <c r="DT62" s="238"/>
      <c r="DU62" s="238"/>
      <c r="DV62" s="238"/>
      <c r="DW62" s="238"/>
      <c r="DX62" s="238"/>
      <c r="DY62" s="238"/>
      <c r="DZ62" s="238"/>
      <c r="EA62" s="238"/>
      <c r="EB62" s="238"/>
      <c r="EC62" s="238"/>
      <c r="ED62" s="238"/>
      <c r="EE62" s="238"/>
      <c r="EF62" s="238"/>
      <c r="EH62" s="238"/>
    </row>
    <row r="63" spans="1:169" s="235" customFormat="1" ht="10.5" x14ac:dyDescent="0.25">
      <c r="DT63" s="238"/>
      <c r="DU63" s="238"/>
      <c r="DV63" s="238"/>
      <c r="DW63" s="238"/>
      <c r="DX63" s="238"/>
      <c r="DY63" s="238"/>
      <c r="DZ63" s="238"/>
      <c r="EA63" s="238"/>
      <c r="EB63" s="238"/>
      <c r="EC63" s="238"/>
      <c r="ED63" s="238"/>
      <c r="EE63" s="238"/>
      <c r="EF63" s="238"/>
      <c r="EH63" s="238"/>
    </row>
    <row r="64" spans="1:169" s="235" customFormat="1" ht="10.5" x14ac:dyDescent="0.25"/>
    <row r="65" s="235" customFormat="1" ht="10.5" x14ac:dyDescent="0.25"/>
    <row r="66" s="235" customFormat="1" ht="10.5" x14ac:dyDescent="0.25"/>
    <row r="67" s="235" customFormat="1" ht="10.5" x14ac:dyDescent="0.25"/>
    <row r="68" s="235" customFormat="1" ht="10.5" x14ac:dyDescent="0.25"/>
    <row r="69" s="235" customFormat="1" ht="10.5" x14ac:dyDescent="0.25"/>
    <row r="70" s="235" customFormat="1" ht="10.5" x14ac:dyDescent="0.25"/>
    <row r="71" s="235" customFormat="1" ht="10.5" x14ac:dyDescent="0.25"/>
    <row r="72" s="235" customFormat="1" ht="10.5" x14ac:dyDescent="0.25"/>
    <row r="73" s="235" customFormat="1" ht="10.5" x14ac:dyDescent="0.25"/>
    <row r="74" s="235" customFormat="1" ht="10.5" x14ac:dyDescent="0.25"/>
    <row r="75" s="235" customFormat="1" ht="10.5" x14ac:dyDescent="0.25"/>
    <row r="76" s="235" customFormat="1" ht="10.5" x14ac:dyDescent="0.25"/>
    <row r="77" s="235" customFormat="1" ht="10.5" x14ac:dyDescent="0.25"/>
    <row r="78" s="235" customFormat="1" ht="10.5" x14ac:dyDescent="0.25"/>
    <row r="79" s="235" customFormat="1" ht="10.5" x14ac:dyDescent="0.25"/>
    <row r="80" s="235" customFormat="1" ht="10.5" x14ac:dyDescent="0.25"/>
    <row r="81" s="235" customFormat="1" ht="10.5" x14ac:dyDescent="0.25"/>
    <row r="82" s="235" customFormat="1" ht="10.5" x14ac:dyDescent="0.25"/>
    <row r="83" s="235" customFormat="1" ht="10.5" x14ac:dyDescent="0.25"/>
    <row r="84" s="235" customFormat="1" ht="10.5" x14ac:dyDescent="0.25"/>
    <row r="85" s="235" customFormat="1" ht="10.5" x14ac:dyDescent="0.25"/>
    <row r="86" s="235" customFormat="1" ht="10.5" x14ac:dyDescent="0.25"/>
    <row r="87" s="235" customFormat="1" ht="10.5" x14ac:dyDescent="0.25"/>
    <row r="88" s="235" customFormat="1" ht="10.5" x14ac:dyDescent="0.25"/>
    <row r="89" s="235" customFormat="1" ht="10.5" x14ac:dyDescent="0.25"/>
    <row r="90" s="235" customFormat="1" ht="10.5" x14ac:dyDescent="0.25"/>
    <row r="91" s="235" customFormat="1" ht="10.5" x14ac:dyDescent="0.25"/>
    <row r="92" s="235" customFormat="1" ht="10.5" x14ac:dyDescent="0.25"/>
    <row r="93" s="235" customFormat="1" ht="10.5" x14ac:dyDescent="0.25"/>
    <row r="94" s="235" customFormat="1" ht="10.5" x14ac:dyDescent="0.25"/>
    <row r="95" s="235" customFormat="1" ht="10.5" x14ac:dyDescent="0.25"/>
    <row r="96" s="235" customFormat="1" ht="10.5" x14ac:dyDescent="0.25"/>
    <row r="97" s="235" customFormat="1" ht="10.5" x14ac:dyDescent="0.25"/>
    <row r="98" s="235" customFormat="1" ht="10.5" x14ac:dyDescent="0.25"/>
    <row r="99" s="235" customFormat="1" ht="10.5" x14ac:dyDescent="0.25"/>
    <row r="100" s="235" customFormat="1" ht="10.5" x14ac:dyDescent="0.25"/>
    <row r="101" s="235" customFormat="1" ht="10.5" x14ac:dyDescent="0.25"/>
    <row r="102" s="235" customFormat="1" ht="10.5" x14ac:dyDescent="0.25"/>
    <row r="103" s="235" customFormat="1" ht="10.5" x14ac:dyDescent="0.25"/>
    <row r="104" s="235" customFormat="1" ht="10.5" x14ac:dyDescent="0.25"/>
    <row r="105" s="235" customFormat="1" ht="10.5" x14ac:dyDescent="0.25"/>
    <row r="106" s="235" customFormat="1" ht="10.5" x14ac:dyDescent="0.25"/>
    <row r="107" s="235" customFormat="1" ht="10.5" x14ac:dyDescent="0.25"/>
    <row r="108" s="235" customFormat="1" ht="10.5" x14ac:dyDescent="0.25"/>
    <row r="109" s="235" customFormat="1" ht="10.5" x14ac:dyDescent="0.25"/>
    <row r="110" s="235" customFormat="1" ht="10.5" x14ac:dyDescent="0.25"/>
    <row r="111" s="235" customFormat="1" ht="10.5" x14ac:dyDescent="0.25"/>
    <row r="112" s="235" customFormat="1" ht="10.5" x14ac:dyDescent="0.25"/>
    <row r="113" s="235" customFormat="1" ht="10.5" x14ac:dyDescent="0.25"/>
    <row r="114" s="235" customFormat="1" ht="10.5" x14ac:dyDescent="0.25"/>
    <row r="115" s="235" customFormat="1" ht="10.5" x14ac:dyDescent="0.25"/>
    <row r="116" s="235" customFormat="1" ht="10.5" x14ac:dyDescent="0.25"/>
    <row r="117" s="235" customFormat="1" ht="10.5" x14ac:dyDescent="0.25"/>
    <row r="118" s="235" customFormat="1" ht="10.5" x14ac:dyDescent="0.25"/>
    <row r="119" s="235" customFormat="1" ht="10.5" x14ac:dyDescent="0.25"/>
    <row r="120" s="235" customFormat="1" ht="10.5" x14ac:dyDescent="0.25"/>
    <row r="121" s="235" customFormat="1" ht="10.5" x14ac:dyDescent="0.25"/>
    <row r="122" s="235" customFormat="1" ht="10.5" x14ac:dyDescent="0.25"/>
  </sheetData>
  <mergeCells count="51">
    <mergeCell ref="B37:B38"/>
    <mergeCell ref="B46:B47"/>
    <mergeCell ref="B49:B50"/>
    <mergeCell ref="DM4:DO4"/>
    <mergeCell ref="DP4:DR4"/>
    <mergeCell ref="CP4:CR4"/>
    <mergeCell ref="CX4:CZ4"/>
    <mergeCell ref="DA4:DC4"/>
    <mergeCell ref="DD4:DF4"/>
    <mergeCell ref="DG4:DI4"/>
    <mergeCell ref="DJ4:DL4"/>
    <mergeCell ref="BE4:BG4"/>
    <mergeCell ref="BH4:BL4"/>
    <mergeCell ref="BW4:CA4"/>
    <mergeCell ref="CG4:CI4"/>
    <mergeCell ref="CJ4:CL4"/>
    <mergeCell ref="DU4:DV4"/>
    <mergeCell ref="DW4:EA4"/>
    <mergeCell ref="EB4:EF4"/>
    <mergeCell ref="DZ6:EA6"/>
    <mergeCell ref="EB6:EC6"/>
    <mergeCell ref="EE6:EF6"/>
    <mergeCell ref="CM4:CO4"/>
    <mergeCell ref="CJ3:CL3"/>
    <mergeCell ref="CM3:CO3"/>
    <mergeCell ref="CP3:CR3"/>
    <mergeCell ref="CS3:CU3"/>
    <mergeCell ref="CX3:DC3"/>
    <mergeCell ref="B4:C4"/>
    <mergeCell ref="D4:H4"/>
    <mergeCell ref="I4:M4"/>
    <mergeCell ref="AW4:BA4"/>
    <mergeCell ref="BB4:BD4"/>
    <mergeCell ref="BH3:BL3"/>
    <mergeCell ref="BM3:BQ3"/>
    <mergeCell ref="BR3:BV3"/>
    <mergeCell ref="BW3:CA3"/>
    <mergeCell ref="CB3:CF3"/>
    <mergeCell ref="CG3:CI3"/>
    <mergeCell ref="AH3:AL3"/>
    <mergeCell ref="AM3:AQ3"/>
    <mergeCell ref="AR3:AV3"/>
    <mergeCell ref="AW3:BA3"/>
    <mergeCell ref="BB3:BD3"/>
    <mergeCell ref="BE3:BG3"/>
    <mergeCell ref="D3:H3"/>
    <mergeCell ref="I3:M3"/>
    <mergeCell ref="N3:R3"/>
    <mergeCell ref="S3:W3"/>
    <mergeCell ref="X3:AB3"/>
    <mergeCell ref="AC3:AG3"/>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487AD-BAF5-4C06-89F0-882B0915B7E2}">
  <dimension ref="A1:AB119"/>
  <sheetViews>
    <sheetView workbookViewId="0">
      <selection activeCell="H19" sqref="H19"/>
    </sheetView>
  </sheetViews>
  <sheetFormatPr defaultColWidth="8.81640625" defaultRowHeight="10.5" x14ac:dyDescent="0.25"/>
  <cols>
    <col min="1" max="1" width="2.1796875" style="235" customWidth="1"/>
    <col min="2" max="2" width="25.1796875" style="2" customWidth="1"/>
    <col min="3" max="5" width="8.81640625" style="2"/>
    <col min="6" max="8" width="9.81640625" style="2" customWidth="1"/>
    <col min="9" max="9" width="7.54296875" style="2" customWidth="1"/>
    <col min="10" max="10" width="4.54296875" style="235" customWidth="1"/>
    <col min="11" max="11" width="4.81640625" style="235" customWidth="1"/>
    <col min="12" max="12" width="26.54296875" style="2" customWidth="1"/>
    <col min="13" max="18" width="8.81640625" style="2"/>
    <col min="19" max="19" width="8.81640625" style="235"/>
    <col min="20" max="20" width="19.7265625" style="267" customWidth="1"/>
    <col min="21" max="16384" width="8.81640625" style="2"/>
  </cols>
  <sheetData>
    <row r="1" spans="1:28" s="235" customFormat="1" ht="11" thickBot="1" x14ac:dyDescent="0.3">
      <c r="T1" s="839" t="s">
        <v>69</v>
      </c>
      <c r="U1" s="2"/>
      <c r="V1" s="2"/>
      <c r="W1" s="2"/>
      <c r="X1" s="2"/>
      <c r="Y1" s="2"/>
      <c r="Z1" s="2"/>
      <c r="AA1" s="2"/>
      <c r="AB1" s="2"/>
    </row>
    <row r="2" spans="1:28" s="175" customFormat="1" ht="19.399999999999999" customHeight="1" x14ac:dyDescent="0.35">
      <c r="A2" s="339"/>
      <c r="B2" s="396" t="s">
        <v>528</v>
      </c>
      <c r="C2" s="1495" t="s">
        <v>196</v>
      </c>
      <c r="D2" s="1495"/>
      <c r="E2" s="1495"/>
      <c r="F2" s="1495"/>
      <c r="G2" s="1495"/>
      <c r="H2" s="1495"/>
      <c r="I2" s="1496"/>
      <c r="J2" s="339"/>
      <c r="K2" s="339"/>
      <c r="L2" s="396" t="s">
        <v>528</v>
      </c>
      <c r="M2" s="1495" t="s">
        <v>74</v>
      </c>
      <c r="N2" s="1495"/>
      <c r="O2" s="1495"/>
      <c r="P2" s="1495"/>
      <c r="Q2" s="1495"/>
      <c r="R2" s="1496"/>
      <c r="S2" s="339"/>
      <c r="T2" s="349" t="s">
        <v>529</v>
      </c>
    </row>
    <row r="3" spans="1:28" ht="31.5" x14ac:dyDescent="0.25">
      <c r="A3" s="290"/>
      <c r="B3" s="397" t="s">
        <v>530</v>
      </c>
      <c r="C3" s="393" t="s">
        <v>531</v>
      </c>
      <c r="D3" s="4" t="s">
        <v>532</v>
      </c>
      <c r="E3" s="4" t="s">
        <v>533</v>
      </c>
      <c r="F3" s="4" t="s">
        <v>534</v>
      </c>
      <c r="G3" s="4" t="s">
        <v>535</v>
      </c>
      <c r="H3" s="4" t="s">
        <v>536</v>
      </c>
      <c r="I3" s="394" t="s">
        <v>216</v>
      </c>
      <c r="K3" s="290"/>
      <c r="L3" s="397" t="s">
        <v>530</v>
      </c>
      <c r="M3" s="4" t="s">
        <v>532</v>
      </c>
      <c r="N3" s="4" t="s">
        <v>533</v>
      </c>
      <c r="O3" s="4" t="s">
        <v>534</v>
      </c>
      <c r="P3" s="4" t="s">
        <v>535</v>
      </c>
      <c r="Q3" s="4" t="s">
        <v>536</v>
      </c>
      <c r="R3" s="394" t="s">
        <v>216</v>
      </c>
      <c r="T3" s="349" t="s">
        <v>537</v>
      </c>
    </row>
    <row r="4" spans="1:28" x14ac:dyDescent="0.25">
      <c r="A4" s="290"/>
      <c r="B4" s="398"/>
      <c r="C4" s="173"/>
      <c r="D4" s="174"/>
      <c r="E4" s="174" t="s">
        <v>538</v>
      </c>
      <c r="F4" s="174"/>
      <c r="G4" s="174" t="s">
        <v>539</v>
      </c>
      <c r="H4" s="174"/>
      <c r="I4" s="395" t="s">
        <v>538</v>
      </c>
      <c r="K4" s="290"/>
      <c r="L4" s="398"/>
      <c r="M4" s="174"/>
      <c r="N4" s="174" t="s">
        <v>538</v>
      </c>
      <c r="O4" s="174"/>
      <c r="P4" s="174" t="s">
        <v>539</v>
      </c>
      <c r="Q4" s="174"/>
      <c r="R4" s="395" t="s">
        <v>538</v>
      </c>
      <c r="T4" s="267" t="s">
        <v>540</v>
      </c>
    </row>
    <row r="5" spans="1:28" x14ac:dyDescent="0.25">
      <c r="A5" s="290"/>
      <c r="B5" s="399" t="s">
        <v>541</v>
      </c>
      <c r="C5" s="623">
        <v>643.09457370199993</v>
      </c>
      <c r="D5" s="633">
        <v>0.19295200046128508</v>
      </c>
      <c r="E5" s="628">
        <f>'Cropping GMs - baseline'!D78</f>
        <v>745.65306393646711</v>
      </c>
      <c r="F5" s="628">
        <f>'Cropping GMs - baseline'!D26</f>
        <v>1447.264645083593</v>
      </c>
      <c r="G5" s="857">
        <f>'Cropping GMs - baseline'!D8</f>
        <v>8.5063509672239537</v>
      </c>
      <c r="H5" s="628">
        <f>'Cropping GMs - baseline'!D70</f>
        <v>701.61158114712589</v>
      </c>
      <c r="I5" s="16">
        <f>'Cropping GMs - baseline'!D4</f>
        <v>15.178545742284125</v>
      </c>
      <c r="K5" s="290"/>
      <c r="L5" s="399" t="s">
        <v>541</v>
      </c>
      <c r="M5" s="633">
        <v>0.33300000000000002</v>
      </c>
      <c r="N5" s="628">
        <f>'Cropping GMs - baseline'!D119</f>
        <v>879.11400000000003</v>
      </c>
      <c r="O5" s="628">
        <f>'Cropping GMs - baseline'!D98</f>
        <v>990.65</v>
      </c>
      <c r="P5" s="857">
        <f>'Cropping GMs - baseline'!D93</f>
        <v>5.3</v>
      </c>
      <c r="Q5" s="628">
        <f>'Cropping GMs - baseline'!D116</f>
        <v>111.536</v>
      </c>
      <c r="R5" s="16">
        <f>'Cropping GMs - N cost Grain £'!D87</f>
        <v>4.4746944000000006</v>
      </c>
      <c r="T5" s="636">
        <v>1</v>
      </c>
      <c r="U5" s="2" t="s">
        <v>542</v>
      </c>
    </row>
    <row r="6" spans="1:28" x14ac:dyDescent="0.25">
      <c r="A6" s="539"/>
      <c r="B6" s="399" t="s">
        <v>543</v>
      </c>
      <c r="C6" s="623">
        <v>131.71816569799998</v>
      </c>
      <c r="D6" s="633">
        <v>3.952028925110658E-2</v>
      </c>
      <c r="E6" s="628">
        <f>'Cropping GMs - baseline'!E78</f>
        <v>612.50933560052044</v>
      </c>
      <c r="F6" s="628">
        <f>'Cropping GMs - baseline'!E26</f>
        <v>1327.4428213875167</v>
      </c>
      <c r="G6" s="857">
        <f>'Cropping GMs - baseline'!E8</f>
        <v>7.7075388092501118</v>
      </c>
      <c r="H6" s="628">
        <f>'Cropping GMs - baseline'!E70</f>
        <v>714.93348578699624</v>
      </c>
      <c r="I6" s="16">
        <f>'Cropping GMs - baseline'!E4</f>
        <v>15.5302440247767</v>
      </c>
      <c r="K6" s="539"/>
      <c r="L6" s="399" t="s">
        <v>543</v>
      </c>
      <c r="M6" s="633">
        <v>0</v>
      </c>
      <c r="N6" s="628"/>
      <c r="O6" s="628"/>
      <c r="P6" s="857"/>
      <c r="Q6" s="628"/>
      <c r="R6" s="16"/>
      <c r="T6" s="636">
        <v>2</v>
      </c>
      <c r="U6" s="2" t="s">
        <v>542</v>
      </c>
    </row>
    <row r="7" spans="1:28" x14ac:dyDescent="0.25">
      <c r="A7" s="290"/>
      <c r="B7" s="399" t="s">
        <v>544</v>
      </c>
      <c r="C7" s="623">
        <v>538.09954126085711</v>
      </c>
      <c r="D7" s="633">
        <v>0.16144963303903445</v>
      </c>
      <c r="E7" s="628">
        <f>'Cropping GMs - baseline'!F78</f>
        <v>701.91002029260244</v>
      </c>
      <c r="F7" s="628">
        <f>'Cropping GMs - baseline'!F26</f>
        <v>1455.8552173475225</v>
      </c>
      <c r="G7" s="857">
        <f>'Cropping GMs - baseline'!F8</f>
        <v>7.8325805935824544</v>
      </c>
      <c r="H7" s="628">
        <f>'Cropping GMs - baseline'!F70</f>
        <v>753.94519705492007</v>
      </c>
      <c r="I7" s="16">
        <f>'Cropping GMs - baseline'!F4</f>
        <v>15.856153202249894</v>
      </c>
      <c r="K7" s="290"/>
      <c r="L7" s="399" t="s">
        <v>544</v>
      </c>
      <c r="M7" s="633">
        <v>0</v>
      </c>
      <c r="N7" s="628"/>
      <c r="O7" s="628"/>
      <c r="P7" s="857"/>
      <c r="Q7" s="628"/>
      <c r="R7" s="16"/>
      <c r="T7" s="636">
        <v>3</v>
      </c>
      <c r="U7" s="2" t="s">
        <v>545</v>
      </c>
    </row>
    <row r="8" spans="1:28" x14ac:dyDescent="0.25">
      <c r="A8" s="290"/>
      <c r="B8" s="399" t="s">
        <v>546</v>
      </c>
      <c r="C8" s="623">
        <v>110.21315905342857</v>
      </c>
      <c r="D8" s="633">
        <v>3.3067997128476939E-2</v>
      </c>
      <c r="E8" s="628">
        <f>'Cropping GMs - baseline'!G78</f>
        <v>552.91549266958282</v>
      </c>
      <c r="F8" s="628">
        <f>'Cropping GMs - baseline'!G26</f>
        <v>1335.2266724622052</v>
      </c>
      <c r="G8" s="857">
        <f>'Cropping GMs - baseline'!G8</f>
        <v>7.0970406857451538</v>
      </c>
      <c r="H8" s="628">
        <f>'Cropping GMs - baseline'!G70</f>
        <v>782.3111797926224</v>
      </c>
      <c r="I8" s="16">
        <f>'Cropping GMs - baseline'!G4</f>
        <v>16.605015146525233</v>
      </c>
      <c r="K8" s="290"/>
      <c r="L8" s="399" t="s">
        <v>546</v>
      </c>
      <c r="M8" s="633">
        <v>0</v>
      </c>
      <c r="N8" s="628"/>
      <c r="O8" s="628"/>
      <c r="P8" s="857"/>
      <c r="Q8" s="628"/>
      <c r="R8" s="16"/>
      <c r="T8" s="636">
        <v>4</v>
      </c>
      <c r="U8" s="2" t="s">
        <v>547</v>
      </c>
    </row>
    <row r="9" spans="1:28" x14ac:dyDescent="0.25">
      <c r="A9" s="290"/>
      <c r="B9" s="399" t="s">
        <v>548</v>
      </c>
      <c r="C9" s="623">
        <v>131.24379055142856</v>
      </c>
      <c r="D9" s="633">
        <v>3.9377959277813276E-2</v>
      </c>
      <c r="E9" s="628">
        <f>'Cropping GMs - baseline'!H78</f>
        <v>707.63154815273629</v>
      </c>
      <c r="F9" s="628">
        <f>'Cropping GMs - baseline'!H26</f>
        <v>1447.0119811934774</v>
      </c>
      <c r="G9" s="857">
        <f>'Cropping GMs - baseline'!H8</f>
        <v>8.337908373813578</v>
      </c>
      <c r="H9" s="628">
        <f>'Cropping GMs - baseline'!H70</f>
        <v>739.38043304074108</v>
      </c>
      <c r="I9" s="16">
        <f>'Cropping GMs - baseline'!H4</f>
        <v>15.647643432275565</v>
      </c>
      <c r="K9" s="290"/>
      <c r="L9" s="399" t="s">
        <v>548</v>
      </c>
      <c r="M9" s="633">
        <v>0</v>
      </c>
      <c r="N9" s="628"/>
      <c r="O9" s="628"/>
      <c r="P9" s="857"/>
      <c r="Q9" s="628"/>
      <c r="R9" s="16"/>
      <c r="T9" s="636">
        <v>5</v>
      </c>
      <c r="U9" s="2" t="s">
        <v>545</v>
      </c>
    </row>
    <row r="10" spans="1:28" ht="12.65" customHeight="1" x14ac:dyDescent="0.25">
      <c r="A10" s="290"/>
      <c r="B10" s="399" t="s">
        <v>549</v>
      </c>
      <c r="C10" s="623">
        <v>26.881258305714283</v>
      </c>
      <c r="D10" s="633">
        <v>8.0653651532870563E-3</v>
      </c>
      <c r="E10" s="628">
        <f>'Cropping GMs - baseline'!I78</f>
        <v>562.29993363613312</v>
      </c>
      <c r="F10" s="628">
        <f>'Cropping GMs - baseline'!I26</f>
        <v>1327.2138845912025</v>
      </c>
      <c r="G10" s="857">
        <f>'Cropping GMs - baseline'!I8</f>
        <v>7.5549142783738725</v>
      </c>
      <c r="H10" s="628">
        <f>'Cropping GMs - baseline'!I70</f>
        <v>764.91395095506937</v>
      </c>
      <c r="I10" s="16">
        <f>'Cropping GMs - baseline'!I4</f>
        <v>16.321728305213831</v>
      </c>
      <c r="K10" s="290"/>
      <c r="L10" s="399" t="s">
        <v>549</v>
      </c>
      <c r="M10" s="633">
        <v>0</v>
      </c>
      <c r="N10" s="628"/>
      <c r="O10" s="628"/>
      <c r="P10" s="857"/>
      <c r="Q10" s="628"/>
      <c r="R10" s="16"/>
      <c r="T10" s="636">
        <v>6</v>
      </c>
      <c r="U10" s="2" t="s">
        <v>550</v>
      </c>
    </row>
    <row r="11" spans="1:28" x14ac:dyDescent="0.25">
      <c r="A11" s="290"/>
      <c r="B11" s="399" t="s">
        <v>551</v>
      </c>
      <c r="C11" s="623">
        <v>48.90465428571428</v>
      </c>
      <c r="D11" s="633">
        <v>1.4673193123020721E-2</v>
      </c>
      <c r="E11" s="628">
        <f>'Cropping GMs - baseline'!J78</f>
        <v>584.50694092354797</v>
      </c>
      <c r="F11" s="628">
        <f>'Cropping GMs - baseline'!J26</f>
        <v>1160.6394715928743</v>
      </c>
      <c r="G11" s="857">
        <f>'Cropping GMs - baseline'!J8</f>
        <v>6.0324845828833809</v>
      </c>
      <c r="H11" s="628">
        <f>'Cropping GMs - baseline'!J70</f>
        <v>576.13253066932634</v>
      </c>
      <c r="I11" s="16">
        <f>'Cropping GMs - baseline'!J4</f>
        <v>8.9893172800531929</v>
      </c>
      <c r="K11" s="290"/>
      <c r="L11" s="399" t="s">
        <v>551</v>
      </c>
      <c r="M11" s="633">
        <v>0</v>
      </c>
      <c r="N11" s="628">
        <f>'Cropping GMs - baseline'!J119</f>
        <v>649.28428238758215</v>
      </c>
      <c r="O11" s="628">
        <f>'Cropping GMs - baseline'!J98</f>
        <v>809.03303238758213</v>
      </c>
      <c r="P11" s="857">
        <f>'Cropping GMs - baseline'!J93</f>
        <v>3.740140441387696</v>
      </c>
      <c r="Q11" s="628">
        <f>'Cropping GMs - baseline'!J116</f>
        <v>159.74875</v>
      </c>
      <c r="R11" s="16">
        <f>'Cropping GMs - N cost Grain £'!J87</f>
        <v>4.8768500000000001</v>
      </c>
    </row>
    <row r="12" spans="1:28" x14ac:dyDescent="0.25">
      <c r="A12" s="290"/>
      <c r="B12" s="399" t="s">
        <v>552</v>
      </c>
      <c r="C12" s="623">
        <v>175.57064285714287</v>
      </c>
      <c r="D12" s="633">
        <v>5.2677643610871905E-2</v>
      </c>
      <c r="E12" s="628">
        <f>'Cropping GMs - baseline'!K78</f>
        <v>607.62698424123278</v>
      </c>
      <c r="F12" s="628">
        <f>'Cropping GMs - baseline'!K26</f>
        <v>1135.4003013670419</v>
      </c>
      <c r="G12" s="857">
        <f>'Cropping GMs - baseline'!K8</f>
        <v>7.2730710028018475</v>
      </c>
      <c r="H12" s="628">
        <f>'Cropping GMs - baseline'!K70</f>
        <v>527.77331712580917</v>
      </c>
      <c r="I12" s="16">
        <f>'Cropping GMs - baseline'!K4</f>
        <v>11.469215572121362</v>
      </c>
      <c r="K12" s="290"/>
      <c r="L12" s="399" t="s">
        <v>552</v>
      </c>
      <c r="M12" s="633">
        <f>50%*(1/6)</f>
        <v>8.3333333333333329E-2</v>
      </c>
      <c r="N12" s="628">
        <f>'Cropping GMs - baseline'!K119</f>
        <v>652.76782684756608</v>
      </c>
      <c r="O12" s="628">
        <f>'Cropping GMs - baseline'!K98</f>
        <v>779.71882684756611</v>
      </c>
      <c r="P12" s="857">
        <f>'Cropping GMs - baseline'!K93</f>
        <v>4.5093040217371456</v>
      </c>
      <c r="Q12" s="628">
        <f>'Cropping GMs - baseline'!K116</f>
        <v>126.95099999999999</v>
      </c>
      <c r="R12" s="16">
        <f>'Cropping GMs - N cost Grain £'!K87</f>
        <v>4.4444664000000005</v>
      </c>
      <c r="T12" s="267" t="s">
        <v>541</v>
      </c>
      <c r="U12" s="2">
        <v>8.1</v>
      </c>
      <c r="V12" s="637">
        <v>0.8</v>
      </c>
      <c r="W12" s="2" t="s">
        <v>553</v>
      </c>
    </row>
    <row r="13" spans="1:28" x14ac:dyDescent="0.25">
      <c r="A13" s="290"/>
      <c r="B13" s="399" t="s">
        <v>554</v>
      </c>
      <c r="C13" s="623">
        <v>175.57064285714287</v>
      </c>
      <c r="D13" s="633">
        <v>5.2677643610871905E-2</v>
      </c>
      <c r="E13" s="628">
        <f>'Cropping GMs - baseline'!L78</f>
        <v>750.16895307672246</v>
      </c>
      <c r="F13" s="628">
        <f>'Cropping GMs - baseline'!L26</f>
        <v>1208.1801063777216</v>
      </c>
      <c r="G13" s="857">
        <f>'Cropping GMs - baseline'!L8</f>
        <v>6.7470533314323795</v>
      </c>
      <c r="H13" s="628">
        <f>'Cropping GMs - baseline'!L70</f>
        <v>458.01115330099913</v>
      </c>
      <c r="I13" s="16">
        <f>'Cropping GMs - baseline'!L4</f>
        <v>10.507494447146378</v>
      </c>
      <c r="K13" s="290"/>
      <c r="L13" s="399" t="s">
        <v>554</v>
      </c>
      <c r="M13" s="633">
        <v>0</v>
      </c>
      <c r="N13" s="628"/>
      <c r="O13" s="628"/>
      <c r="P13" s="857"/>
      <c r="Q13" s="628"/>
      <c r="R13" s="16"/>
      <c r="T13" s="267" t="s">
        <v>551</v>
      </c>
      <c r="U13" s="2">
        <v>2</v>
      </c>
      <c r="V13" s="637">
        <v>0.2</v>
      </c>
      <c r="W13" s="2" t="s">
        <v>553</v>
      </c>
    </row>
    <row r="14" spans="1:28" x14ac:dyDescent="0.25">
      <c r="A14" s="290"/>
      <c r="B14" s="399" t="s">
        <v>555</v>
      </c>
      <c r="C14" s="623">
        <v>23.881657142857147</v>
      </c>
      <c r="D14" s="633">
        <v>7.1653745941574467E-3</v>
      </c>
      <c r="E14" s="628">
        <f>'Cropping GMs - baseline'!M78</f>
        <v>540.45866138214001</v>
      </c>
      <c r="F14" s="628">
        <f>'Cropping GMs - baseline'!M26</f>
        <v>970.13414414183239</v>
      </c>
      <c r="G14" s="857">
        <f>'Cropping GMs - baseline'!M8</f>
        <v>5.9018484285636061</v>
      </c>
      <c r="H14" s="628">
        <f>'Cropping GMs - baseline'!M70</f>
        <v>429.67548275969244</v>
      </c>
      <c r="I14" s="16">
        <f>'Cropping GMs - baseline'!M4</f>
        <v>7.1268429885271827</v>
      </c>
      <c r="K14" s="290"/>
      <c r="L14" s="399" t="s">
        <v>555</v>
      </c>
      <c r="M14" s="633">
        <f>50%*(1/6)</f>
        <v>8.3333333333333329E-2</v>
      </c>
      <c r="N14" s="628">
        <f>'Cropping GMs - baseline'!M119</f>
        <v>554.92812936793609</v>
      </c>
      <c r="O14" s="628">
        <f>'Cropping GMs - baseline'!M98</f>
        <v>666.84812936793605</v>
      </c>
      <c r="P14" s="857">
        <f>'Cropping GMs - baseline'!M93</f>
        <v>3.6591460257094357</v>
      </c>
      <c r="Q14" s="628">
        <f>'Cropping GMs - baseline'!M116</f>
        <v>111.92</v>
      </c>
      <c r="R14" s="16">
        <f>'Cropping GMs - N cost Grain £'!M87</f>
        <v>3.3757500000000005</v>
      </c>
      <c r="T14" s="267" t="s">
        <v>552</v>
      </c>
      <c r="U14" s="2">
        <v>6</v>
      </c>
      <c r="V14" s="637">
        <v>0.5</v>
      </c>
      <c r="W14" s="2" t="s">
        <v>556</v>
      </c>
    </row>
    <row r="15" spans="1:28" x14ac:dyDescent="0.25">
      <c r="A15" s="290"/>
      <c r="B15" s="399" t="s">
        <v>557</v>
      </c>
      <c r="C15" s="623">
        <v>453.75148571428571</v>
      </c>
      <c r="D15" s="633">
        <v>0.13614211728899145</v>
      </c>
      <c r="E15" s="628">
        <f>'Cropping GMs - baseline'!N78</f>
        <v>722.63686047072133</v>
      </c>
      <c r="F15" s="628">
        <f>'Cropping GMs - baseline'!N26</f>
        <v>1099.1028143523129</v>
      </c>
      <c r="G15" s="857">
        <f>'Cropping GMs - baseline'!N8</f>
        <v>5.7459287538363872</v>
      </c>
      <c r="H15" s="628">
        <f>'Cropping GMs - baseline'!N70</f>
        <v>376.46595388159153</v>
      </c>
      <c r="I15" s="16">
        <f>'Cropping GMs - baseline'!N4</f>
        <v>6.5959857442984982</v>
      </c>
      <c r="K15" s="290"/>
      <c r="L15" s="399" t="s">
        <v>557</v>
      </c>
      <c r="M15" s="633">
        <v>0</v>
      </c>
      <c r="N15" s="628"/>
      <c r="O15" s="628"/>
      <c r="P15" s="857"/>
      <c r="Q15" s="628"/>
      <c r="R15" s="16"/>
      <c r="T15" s="267" t="s">
        <v>555</v>
      </c>
      <c r="U15" s="2">
        <v>4</v>
      </c>
      <c r="V15" s="637">
        <v>0.3</v>
      </c>
      <c r="W15" s="2" t="s">
        <v>556</v>
      </c>
    </row>
    <row r="16" spans="1:28" x14ac:dyDescent="0.25">
      <c r="A16" s="290"/>
      <c r="B16" s="399" t="s">
        <v>558</v>
      </c>
      <c r="C16" s="623">
        <v>124.49</v>
      </c>
      <c r="D16" s="633">
        <v>3.735157396702922E-2</v>
      </c>
      <c r="E16" s="628">
        <f>'Cropping GMs - baseline'!O78</f>
        <v>460.0599344121174</v>
      </c>
      <c r="F16" s="628">
        <f>'Cropping GMs - baseline'!O26</f>
        <v>915.65679849758544</v>
      </c>
      <c r="G16" s="857">
        <f>'Cropping GMs - baseline'!O8</f>
        <v>5.5695328129586672</v>
      </c>
      <c r="H16" s="628">
        <f>'Cropping GMs - baseline'!O70</f>
        <v>455.59686408546804</v>
      </c>
      <c r="I16" s="16">
        <f>'Cropping GMs - baseline'!O4</f>
        <v>9.7397572118563573</v>
      </c>
      <c r="K16" s="290"/>
      <c r="L16" s="399" t="s">
        <v>558</v>
      </c>
      <c r="M16" s="633">
        <v>0</v>
      </c>
      <c r="N16" s="628">
        <f>'Cropping GMs - baseline'!O119</f>
        <v>573.54660000000001</v>
      </c>
      <c r="O16" s="628">
        <f>'Cropping GMs - baseline'!O98</f>
        <v>696.6</v>
      </c>
      <c r="P16" s="857">
        <f>'Cropping GMs - baseline'!O93</f>
        <v>3.6</v>
      </c>
      <c r="Q16" s="628">
        <f>'Cropping GMs - baseline'!O116</f>
        <v>123.0534</v>
      </c>
      <c r="R16" s="16">
        <f>'Cropping GMs - N cost Grain £'!O87</f>
        <v>3.618198</v>
      </c>
      <c r="T16" s="267" t="s">
        <v>559</v>
      </c>
      <c r="U16" s="2">
        <v>8</v>
      </c>
      <c r="V16" s="637">
        <v>0.5</v>
      </c>
      <c r="W16" s="2" t="s">
        <v>560</v>
      </c>
    </row>
    <row r="17" spans="1:28" x14ac:dyDescent="0.25">
      <c r="A17" s="290"/>
      <c r="B17" s="399" t="s">
        <v>561</v>
      </c>
      <c r="C17" s="623"/>
      <c r="D17" s="633"/>
      <c r="E17" s="628"/>
      <c r="F17" s="628"/>
      <c r="G17" s="857"/>
      <c r="H17" s="628"/>
      <c r="I17" s="16"/>
      <c r="K17" s="290"/>
      <c r="L17" s="399" t="s">
        <v>561</v>
      </c>
      <c r="M17" s="633">
        <v>0</v>
      </c>
      <c r="N17" s="628">
        <f>'Cropping GMs - baseline'!P119</f>
        <v>538.4</v>
      </c>
      <c r="O17" s="634"/>
      <c r="P17" s="1258"/>
      <c r="Q17" s="634"/>
      <c r="R17" s="635"/>
      <c r="T17" s="267" t="s">
        <v>561</v>
      </c>
      <c r="U17" s="2">
        <v>8</v>
      </c>
      <c r="V17" s="637">
        <v>0.5</v>
      </c>
      <c r="W17" s="2" t="s">
        <v>560</v>
      </c>
    </row>
    <row r="18" spans="1:28" x14ac:dyDescent="0.25">
      <c r="A18" s="290"/>
      <c r="B18" s="399" t="s">
        <v>562</v>
      </c>
      <c r="C18" s="623">
        <v>519.13571428571424</v>
      </c>
      <c r="D18" s="633">
        <v>0.15575978818434738</v>
      </c>
      <c r="E18" s="628">
        <f>'Cropping GMs - baseline'!Q78</f>
        <v>614.98442472050999</v>
      </c>
      <c r="F18" s="628">
        <f>'Cropping GMs - baseline'!Q26</f>
        <v>1201.165639084739</v>
      </c>
      <c r="G18" s="857">
        <f>'Cropping GMs - baseline'!Q8</f>
        <v>3.4319018259563974</v>
      </c>
      <c r="H18" s="628">
        <f>'Cropping GMs - baseline'!Q70</f>
        <v>586.18121436422905</v>
      </c>
      <c r="I18" s="16">
        <f>'Cropping GMs - baseline'!Q4</f>
        <v>12.131184059215649</v>
      </c>
      <c r="K18" s="290"/>
      <c r="L18" s="399" t="s">
        <v>562</v>
      </c>
      <c r="M18" s="633">
        <v>0</v>
      </c>
      <c r="N18" s="628"/>
      <c r="O18" s="628"/>
      <c r="P18" s="857"/>
      <c r="Q18" s="628"/>
      <c r="R18" s="16"/>
      <c r="T18" s="267" t="s">
        <v>563</v>
      </c>
      <c r="U18" s="2">
        <v>0</v>
      </c>
      <c r="V18" s="637">
        <v>0.25</v>
      </c>
      <c r="W18" s="2" t="s">
        <v>564</v>
      </c>
    </row>
    <row r="19" spans="1:28" x14ac:dyDescent="0.25">
      <c r="A19" s="290"/>
      <c r="B19" s="399" t="s">
        <v>565</v>
      </c>
      <c r="C19" s="623">
        <v>8.9548571428571417</v>
      </c>
      <c r="D19" s="633">
        <v>2.6867861590136439E-3</v>
      </c>
      <c r="E19" s="628">
        <f>'Cropping GMs - baseline'!R78</f>
        <v>438.86594145408856</v>
      </c>
      <c r="F19" s="628">
        <f>'Cropping GMs - baseline'!R26</f>
        <v>780.7576654050805</v>
      </c>
      <c r="G19" s="857">
        <f>'Cropping GMs - baseline'!R8</f>
        <v>2.2307361868716584</v>
      </c>
      <c r="H19" s="628">
        <f>'Cropping GMs - baseline'!R70</f>
        <v>341.89172395099195</v>
      </c>
      <c r="I19" s="16">
        <f>'Cropping GMs - baseline'!R4</f>
        <v>5.7711678123531716</v>
      </c>
      <c r="K19" s="290"/>
      <c r="L19" s="399" t="s">
        <v>565</v>
      </c>
      <c r="M19" s="633">
        <v>0</v>
      </c>
      <c r="N19" s="628"/>
      <c r="O19" s="628"/>
      <c r="P19" s="857"/>
      <c r="Q19" s="628"/>
      <c r="R19" s="16"/>
      <c r="T19" s="267" t="s">
        <v>566</v>
      </c>
      <c r="U19" s="2">
        <v>0</v>
      </c>
      <c r="V19" s="637">
        <v>0.25</v>
      </c>
      <c r="W19" s="2" t="s">
        <v>564</v>
      </c>
    </row>
    <row r="20" spans="1:28" x14ac:dyDescent="0.25">
      <c r="A20" s="290"/>
      <c r="B20" s="399" t="s">
        <v>563</v>
      </c>
      <c r="C20" s="623">
        <v>47.277471428571445</v>
      </c>
      <c r="D20" s="633">
        <v>1.4184978480507648E-2</v>
      </c>
      <c r="E20" s="628">
        <f>'Cropping GMs - baseline'!S78</f>
        <v>458.47682163236431</v>
      </c>
      <c r="F20" s="628">
        <f>'Cropping GMs - baseline'!S26</f>
        <v>738.73275000000001</v>
      </c>
      <c r="G20" s="857">
        <f>'Cropping GMs - baseline'!S8</f>
        <v>3.99315</v>
      </c>
      <c r="H20" s="628">
        <f>'Cropping GMs - baseline'!S70</f>
        <v>280.2559283676357</v>
      </c>
      <c r="I20" s="16">
        <f>'Cropping GMs - baseline'!S4</f>
        <v>7.3987565089055831</v>
      </c>
      <c r="K20" s="290"/>
      <c r="L20" s="399" t="s">
        <v>563</v>
      </c>
      <c r="M20" s="633">
        <f>V18*(1/6)</f>
        <v>4.1666666666666664E-2</v>
      </c>
      <c r="N20" s="628">
        <f>'Cropping GMs - baseline'!S119</f>
        <v>469.6</v>
      </c>
      <c r="O20" s="628">
        <f>'Cropping GMs - baseline'!S98</f>
        <v>647.5</v>
      </c>
      <c r="P20" s="857">
        <f>'Cropping GMs - baseline'!S93</f>
        <v>3.5</v>
      </c>
      <c r="Q20" s="628">
        <f>'Cropping GMs - baseline'!S116</f>
        <v>177.89999999999998</v>
      </c>
      <c r="R20" s="16">
        <f>'Cropping GMs - N cost Grain £'!S87</f>
        <v>7.8206040000000012</v>
      </c>
      <c r="T20" s="267" t="s">
        <v>567</v>
      </c>
      <c r="U20" s="2">
        <v>0</v>
      </c>
      <c r="V20" s="637">
        <v>0.25</v>
      </c>
      <c r="W20" s="2" t="s">
        <v>564</v>
      </c>
    </row>
    <row r="21" spans="1:28" x14ac:dyDescent="0.25">
      <c r="A21" s="290"/>
      <c r="B21" s="399" t="s">
        <v>566</v>
      </c>
      <c r="C21" s="623">
        <v>55.157049999999991</v>
      </c>
      <c r="D21" s="633">
        <v>1.654914156059225E-2</v>
      </c>
      <c r="E21" s="628">
        <f>'Cropping GMs - baseline'!T78</f>
        <v>401.65884424105991</v>
      </c>
      <c r="F21" s="628">
        <f>'Cropping GMs - baseline'!T26</f>
        <v>679.21579999999994</v>
      </c>
      <c r="G21" s="857">
        <f>'Cropping GMs - baseline'!T8</f>
        <v>3.6128499999999999</v>
      </c>
      <c r="H21" s="628">
        <f>'Cropping GMs - baseline'!T70</f>
        <v>277.55695575894003</v>
      </c>
      <c r="I21" s="16">
        <f>'Cropping GMs - baseline'!T4</f>
        <v>5.5511391151788008</v>
      </c>
      <c r="K21" s="290"/>
      <c r="L21" s="399" t="s">
        <v>566</v>
      </c>
      <c r="M21" s="633">
        <f t="shared" ref="M21:M23" si="0">V19*(1/6)</f>
        <v>4.1666666666666664E-2</v>
      </c>
      <c r="N21" s="628">
        <f>'Cropping GMs - baseline'!T119</f>
        <v>358.37264000000005</v>
      </c>
      <c r="O21" s="628">
        <f>'Cropping GMs - baseline'!T98</f>
        <v>543.37264000000005</v>
      </c>
      <c r="P21" s="857">
        <f>'Cropping GMs - baseline'!T93</f>
        <v>2.8902800000000002</v>
      </c>
      <c r="Q21" s="628">
        <f>'Cropping GMs - baseline'!T116</f>
        <v>185</v>
      </c>
      <c r="R21" s="16">
        <f>'Cropping GMs - N cost Grain £'!T87</f>
        <v>8.6790000000000003</v>
      </c>
      <c r="T21" s="267" t="s">
        <v>568</v>
      </c>
      <c r="U21" s="2">
        <v>0</v>
      </c>
      <c r="V21" s="637">
        <v>0.25</v>
      </c>
      <c r="W21" s="2" t="s">
        <v>564</v>
      </c>
    </row>
    <row r="22" spans="1:28" x14ac:dyDescent="0.25">
      <c r="A22" s="290"/>
      <c r="B22" s="399" t="s">
        <v>569</v>
      </c>
      <c r="C22" s="623">
        <v>55.157049999999991</v>
      </c>
      <c r="D22" s="633">
        <v>1.654914156059225E-2</v>
      </c>
      <c r="E22" s="628">
        <f>'Cropping GMs - baseline'!U78</f>
        <v>391.15779424105995</v>
      </c>
      <c r="F22" s="628">
        <f>'Cropping GMs - baseline'!U26</f>
        <v>668.37725</v>
      </c>
      <c r="G22" s="857">
        <f>'Cropping GMs - baseline'!U8</f>
        <v>3.6128499999999999</v>
      </c>
      <c r="H22" s="628">
        <f>'Cropping GMs - baseline'!U70</f>
        <v>277.21945575894006</v>
      </c>
      <c r="I22" s="16">
        <f>'Cropping GMs - baseline'!U4</f>
        <v>5.5443891151788014</v>
      </c>
      <c r="K22" s="290"/>
      <c r="L22" s="399" t="s">
        <v>569</v>
      </c>
      <c r="M22" s="633">
        <f t="shared" si="0"/>
        <v>4.1666666666666664E-2</v>
      </c>
      <c r="N22" s="628">
        <f>'Cropping GMs - baseline'!U119</f>
        <v>349.70180000000005</v>
      </c>
      <c r="O22" s="628">
        <f>'Cropping GMs - baseline'!U98</f>
        <v>534.70180000000005</v>
      </c>
      <c r="P22" s="857">
        <f>'Cropping GMs - baseline'!U93</f>
        <v>2.8902800000000002</v>
      </c>
      <c r="Q22" s="628">
        <f>'Cropping GMs - baseline'!U116</f>
        <v>185</v>
      </c>
      <c r="R22" s="16">
        <f>'Cropping GMs - N cost Grain £'!U87</f>
        <v>6.5750000000000002</v>
      </c>
      <c r="T22" s="267" t="s">
        <v>570</v>
      </c>
      <c r="U22" s="2">
        <v>2</v>
      </c>
      <c r="V22" s="637">
        <v>0.2</v>
      </c>
      <c r="W22" s="2" t="s">
        <v>556</v>
      </c>
    </row>
    <row r="23" spans="1:28" x14ac:dyDescent="0.25">
      <c r="A23" s="290"/>
      <c r="B23" s="399" t="s">
        <v>571</v>
      </c>
      <c r="C23" s="623">
        <v>41.674571428571426</v>
      </c>
      <c r="D23" s="633">
        <v>1.2503902620760931E-2</v>
      </c>
      <c r="E23" s="628">
        <f>'Cropping GMs - baseline'!V78</f>
        <v>403.45787504896191</v>
      </c>
      <c r="F23" s="628">
        <f>'Cropping GMs - baseline'!V26</f>
        <v>692.51666666666654</v>
      </c>
      <c r="G23" s="857">
        <f>'Cropping GMs - baseline'!V8</f>
        <v>3.7433333333333327</v>
      </c>
      <c r="H23" s="628">
        <f>'Cropping GMs - baseline'!V70</f>
        <v>289.05879161770463</v>
      </c>
      <c r="I23" s="16">
        <f>'Cropping GMs - baseline'!V4</f>
        <v>5.7811758323540925</v>
      </c>
      <c r="K23" s="290"/>
      <c r="L23" s="399" t="s">
        <v>568</v>
      </c>
      <c r="M23" s="633">
        <f t="shared" si="0"/>
        <v>4.1666666666666664E-2</v>
      </c>
      <c r="N23" s="628">
        <f>'Cropping GMs - baseline'!V119</f>
        <v>332.86241330833332</v>
      </c>
      <c r="O23" s="628">
        <f>'Cropping GMs - baseline'!V98</f>
        <v>554.01333333333332</v>
      </c>
      <c r="P23" s="857">
        <f>'Cropping GMs - baseline'!V93</f>
        <v>2.9946666666666664</v>
      </c>
      <c r="Q23" s="628">
        <f>'Cropping GMs - baseline'!V116</f>
        <v>221.150920025</v>
      </c>
      <c r="R23" s="16">
        <f>'Cropping GMs - N cost Grain £'!V87</f>
        <v>7.6487684005000007</v>
      </c>
      <c r="T23" s="267" t="s">
        <v>572</v>
      </c>
      <c r="U23" s="2">
        <v>2</v>
      </c>
      <c r="V23" s="637">
        <v>0.33</v>
      </c>
      <c r="W23" s="2" t="s">
        <v>573</v>
      </c>
    </row>
    <row r="24" spans="1:28" x14ac:dyDescent="0.25">
      <c r="A24" s="290"/>
      <c r="B24" s="399" t="s">
        <v>574</v>
      </c>
      <c r="C24" s="623">
        <v>4.7142857142857144</v>
      </c>
      <c r="D24" s="633">
        <v>1.4144589248843446E-3</v>
      </c>
      <c r="E24" s="628">
        <f>'Cropping GMs - baseline'!W78</f>
        <v>446.18175230566533</v>
      </c>
      <c r="F24" s="628">
        <f>'Cropping GMs - baseline'!W26</f>
        <v>700</v>
      </c>
      <c r="G24" s="857">
        <f>'Cropping GMs - baseline'!W8</f>
        <v>1.75</v>
      </c>
      <c r="H24" s="628">
        <f>'Cropping GMs - baseline'!W70</f>
        <v>253.81824769433467</v>
      </c>
      <c r="I24" s="16">
        <f>'Cropping GMs - baseline'!W4</f>
        <v>4.409698287220027</v>
      </c>
      <c r="K24" s="290"/>
      <c r="L24" s="399" t="s">
        <v>574</v>
      </c>
      <c r="M24" s="633">
        <v>0</v>
      </c>
      <c r="N24" s="628"/>
      <c r="O24" s="628"/>
      <c r="P24" s="857"/>
      <c r="Q24" s="628"/>
      <c r="R24" s="16"/>
    </row>
    <row r="25" spans="1:28" x14ac:dyDescent="0.25">
      <c r="A25" s="290"/>
      <c r="B25" s="399" t="s">
        <v>575</v>
      </c>
      <c r="C25" s="623">
        <v>17.434571428571427</v>
      </c>
      <c r="D25" s="633">
        <v>5.2310120033556111E-3</v>
      </c>
      <c r="E25" s="628">
        <f>'Cropping GMs - baseline'!X78</f>
        <v>579.6774044795784</v>
      </c>
      <c r="F25" s="628">
        <f>'Cropping GMs - baseline'!X26</f>
        <v>900</v>
      </c>
      <c r="G25" s="857">
        <f>'Cropping GMs - baseline'!X8</f>
        <v>2.25</v>
      </c>
      <c r="H25" s="628">
        <f>'Cropping GMs - baseline'!X70</f>
        <v>320.3225955204216</v>
      </c>
      <c r="I25" s="16">
        <f>'Cropping GMs - baseline'!X4</f>
        <v>7.0485165217391303</v>
      </c>
      <c r="K25" s="290"/>
      <c r="L25" s="399" t="s">
        <v>575</v>
      </c>
      <c r="M25" s="633">
        <v>0</v>
      </c>
      <c r="N25" s="628"/>
      <c r="O25" s="628"/>
      <c r="P25" s="857"/>
      <c r="Q25" s="628"/>
      <c r="R25" s="16"/>
    </row>
    <row r="26" spans="1:28" x14ac:dyDescent="0.25">
      <c r="A26" s="290"/>
      <c r="B26" s="399" t="s">
        <v>576</v>
      </c>
      <c r="C26" s="623"/>
      <c r="D26" s="633"/>
      <c r="E26" s="628"/>
      <c r="F26" s="628"/>
      <c r="G26" s="628"/>
      <c r="H26" s="628"/>
      <c r="I26" s="16"/>
      <c r="K26" s="290"/>
      <c r="L26" s="399" t="s">
        <v>576</v>
      </c>
      <c r="M26" s="633">
        <v>0.33300000000000002</v>
      </c>
      <c r="N26" s="628">
        <v>0</v>
      </c>
      <c r="O26" s="628">
        <v>0</v>
      </c>
      <c r="P26" s="857"/>
      <c r="Q26" s="628">
        <f>(Forage!V29)</f>
        <v>125.66500000000001</v>
      </c>
      <c r="R26" s="16">
        <f>Forage!V6</f>
        <v>2.5133000000000001</v>
      </c>
    </row>
    <row r="27" spans="1:28" x14ac:dyDescent="0.25">
      <c r="A27" s="290"/>
      <c r="B27" s="399"/>
      <c r="C27" s="623"/>
      <c r="D27" s="633"/>
      <c r="E27" s="628"/>
      <c r="F27" s="628"/>
      <c r="G27" s="628"/>
      <c r="H27" s="628"/>
      <c r="I27" s="16"/>
      <c r="K27" s="290"/>
      <c r="L27" s="399"/>
      <c r="M27" s="633"/>
      <c r="N27" s="628"/>
      <c r="O27" s="628"/>
      <c r="P27" s="857"/>
      <c r="Q27" s="628"/>
      <c r="R27" s="16"/>
      <c r="V27" s="637">
        <v>0.79</v>
      </c>
      <c r="W27" s="2">
        <v>879</v>
      </c>
    </row>
    <row r="28" spans="1:28" ht="11" thickBot="1" x14ac:dyDescent="0.3">
      <c r="A28" s="290"/>
      <c r="B28" s="400" t="s">
        <v>246</v>
      </c>
      <c r="C28" s="631">
        <v>3332.9251428571424</v>
      </c>
      <c r="D28" s="632">
        <v>1.0000000000000004</v>
      </c>
      <c r="E28" s="629">
        <f>SUMPRODUCT($D$5:$D$25,E5:E25)</f>
        <v>656.9300020096972</v>
      </c>
      <c r="F28" s="629">
        <f>SUMPRODUCT($D$5:$D$25,F5:F25)</f>
        <v>1246.1989443760331</v>
      </c>
      <c r="G28" s="1253">
        <f>SUMPRODUCT($D$5:$D$25,G5:G25)</f>
        <v>6.4719013907663294</v>
      </c>
      <c r="H28" s="629">
        <f>SUMPRODUCT($D$5:$D$25,H5:H25)</f>
        <v>589.26894236633598</v>
      </c>
      <c r="I28" s="630">
        <f>SUMPRODUCT($D$5:$D$25,I5:I25)</f>
        <v>12.310829381613869</v>
      </c>
      <c r="K28" s="290"/>
      <c r="L28" s="400" t="s">
        <v>246</v>
      </c>
      <c r="M28" s="632">
        <f>SUM(M5:M26)</f>
        <v>0.99933333333333318</v>
      </c>
      <c r="N28" s="629">
        <f>SUMPRODUCT($M$5:$M$26,N5:N26)</f>
        <v>456.32532723913909</v>
      </c>
      <c r="O28" s="629">
        <f>SUMPRODUCT($M$5:$M$26,O5:O26)</f>
        <v>545.41652024018072</v>
      </c>
      <c r="P28" s="1253">
        <f>SUMPRODUCT($M$5:$M$26,P5:P26)</f>
        <v>2.9570719483983265</v>
      </c>
      <c r="Q28" s="629">
        <f>SUMPRODUCT($M$5:$M$26,Q5:Q26)</f>
        <v>130.93763800104165</v>
      </c>
      <c r="R28" s="630">
        <f>SUMPRODUCT($M$5:$M$26,R5:R26)</f>
        <v>4.2588273518874997</v>
      </c>
      <c r="V28" s="637">
        <v>0.21</v>
      </c>
      <c r="W28" s="2">
        <v>649</v>
      </c>
    </row>
    <row r="29" spans="1:28" s="235" customFormat="1" x14ac:dyDescent="0.25">
      <c r="A29" s="290"/>
      <c r="B29" s="340"/>
      <c r="C29" s="621"/>
      <c r="D29" s="92"/>
      <c r="E29" s="622"/>
      <c r="F29" s="622"/>
      <c r="G29" s="622"/>
      <c r="H29" s="622"/>
      <c r="I29" s="622"/>
      <c r="K29" s="290"/>
      <c r="L29" s="340"/>
      <c r="M29" s="92"/>
      <c r="N29" s="622"/>
      <c r="O29" s="622"/>
      <c r="P29" s="622"/>
      <c r="Q29" s="622"/>
      <c r="R29" s="622"/>
      <c r="T29" s="267"/>
      <c r="U29" s="2"/>
      <c r="V29" s="2"/>
      <c r="W29" s="2">
        <f>SUMPRODUCT(V27:V28,W27:W28)</f>
        <v>830.7</v>
      </c>
      <c r="X29" s="2"/>
      <c r="Y29" s="2"/>
      <c r="Z29" s="2"/>
      <c r="AA29" s="2"/>
      <c r="AB29" s="2"/>
    </row>
    <row r="30" spans="1:28" s="235" customFormat="1" x14ac:dyDescent="0.25">
      <c r="A30" s="290"/>
      <c r="B30" s="340"/>
      <c r="C30" s="621"/>
      <c r="D30" s="92"/>
      <c r="E30" s="622"/>
      <c r="F30" s="622"/>
      <c r="G30" s="622"/>
      <c r="H30" s="622"/>
      <c r="I30" s="622"/>
      <c r="K30" s="290"/>
      <c r="L30" s="340"/>
      <c r="M30" s="92"/>
      <c r="N30" s="622"/>
      <c r="O30" s="622"/>
      <c r="P30" s="622"/>
      <c r="Q30" s="622"/>
      <c r="R30" s="622"/>
      <c r="T30" s="267"/>
      <c r="U30" s="2"/>
      <c r="V30" s="2"/>
      <c r="W30" s="2"/>
      <c r="X30" s="2"/>
      <c r="Y30" s="2"/>
      <c r="Z30" s="2"/>
      <c r="AA30" s="2"/>
      <c r="AB30" s="2"/>
    </row>
    <row r="31" spans="1:28" s="235" customFormat="1" ht="11" thickBot="1" x14ac:dyDescent="0.3">
      <c r="A31" s="290"/>
      <c r="B31" s="340"/>
      <c r="C31" s="621"/>
      <c r="D31" s="92"/>
      <c r="E31" s="622"/>
      <c r="F31" s="622"/>
      <c r="G31" s="622"/>
      <c r="H31" s="622"/>
      <c r="I31" s="622"/>
      <c r="K31" s="290"/>
      <c r="L31" s="340"/>
      <c r="M31" s="92"/>
      <c r="N31" s="622"/>
      <c r="O31" s="622"/>
      <c r="P31" s="622"/>
      <c r="Q31" s="622"/>
      <c r="R31" s="622"/>
      <c r="T31" s="267"/>
      <c r="U31" s="2"/>
      <c r="V31" s="2"/>
      <c r="W31" s="2"/>
      <c r="X31" s="2"/>
      <c r="Y31" s="2"/>
      <c r="Z31" s="2"/>
      <c r="AA31" s="2"/>
      <c r="AB31" s="2"/>
    </row>
    <row r="32" spans="1:28" s="235" customFormat="1" ht="20.5" customHeight="1" x14ac:dyDescent="0.25">
      <c r="A32" s="290"/>
      <c r="B32" s="396" t="s">
        <v>528</v>
      </c>
      <c r="C32" s="1495" t="s">
        <v>196</v>
      </c>
      <c r="D32" s="1495"/>
      <c r="E32" s="1495"/>
      <c r="F32" s="1495"/>
      <c r="G32" s="1495"/>
      <c r="H32" s="1495"/>
      <c r="I32" s="1496"/>
      <c r="K32" s="290"/>
      <c r="L32" s="396" t="s">
        <v>528</v>
      </c>
      <c r="M32" s="1495" t="s">
        <v>74</v>
      </c>
      <c r="N32" s="1495"/>
      <c r="O32" s="1495"/>
      <c r="P32" s="1495"/>
      <c r="Q32" s="1495"/>
      <c r="R32" s="1496"/>
      <c r="T32" s="349" t="s">
        <v>577</v>
      </c>
      <c r="U32" s="2"/>
      <c r="V32" s="2"/>
      <c r="W32" s="2"/>
      <c r="X32" s="2"/>
      <c r="Y32" s="2"/>
      <c r="Z32" s="2"/>
      <c r="AA32" s="2"/>
      <c r="AB32" s="2"/>
    </row>
    <row r="33" spans="1:28" s="235" customFormat="1" ht="31.5" x14ac:dyDescent="0.25">
      <c r="A33" s="290"/>
      <c r="B33" s="397" t="s">
        <v>530</v>
      </c>
      <c r="C33" s="393" t="s">
        <v>531</v>
      </c>
      <c r="D33" s="4" t="s">
        <v>532</v>
      </c>
      <c r="E33" s="4" t="s">
        <v>533</v>
      </c>
      <c r="F33" s="4" t="s">
        <v>534</v>
      </c>
      <c r="G33" s="4" t="s">
        <v>535</v>
      </c>
      <c r="H33" s="4" t="s">
        <v>536</v>
      </c>
      <c r="I33" s="394" t="s">
        <v>216</v>
      </c>
      <c r="K33" s="290"/>
      <c r="L33" s="397" t="s">
        <v>530</v>
      </c>
      <c r="M33" s="4" t="s">
        <v>532</v>
      </c>
      <c r="N33" s="4" t="s">
        <v>533</v>
      </c>
      <c r="O33" s="4" t="s">
        <v>534</v>
      </c>
      <c r="P33" s="4" t="s">
        <v>535</v>
      </c>
      <c r="Q33" s="4" t="s">
        <v>536</v>
      </c>
      <c r="R33" s="394" t="s">
        <v>216</v>
      </c>
      <c r="T33" s="267"/>
      <c r="U33" s="2"/>
      <c r="V33" s="2"/>
      <c r="W33" s="2"/>
      <c r="X33" s="2"/>
      <c r="Y33" s="2"/>
      <c r="Z33" s="2"/>
      <c r="AA33" s="2"/>
      <c r="AB33" s="2"/>
    </row>
    <row r="34" spans="1:28" s="235" customFormat="1" x14ac:dyDescent="0.25">
      <c r="A34" s="290"/>
      <c r="B34" s="398"/>
      <c r="C34" s="173"/>
      <c r="D34" s="174"/>
      <c r="E34" s="174" t="s">
        <v>538</v>
      </c>
      <c r="F34" s="174"/>
      <c r="G34" s="174" t="s">
        <v>539</v>
      </c>
      <c r="H34" s="174"/>
      <c r="I34" s="395" t="s">
        <v>538</v>
      </c>
      <c r="K34" s="290"/>
      <c r="L34" s="398"/>
      <c r="M34" s="174"/>
      <c r="N34" s="174" t="s">
        <v>538</v>
      </c>
      <c r="O34" s="174"/>
      <c r="P34" s="174" t="s">
        <v>539</v>
      </c>
      <c r="Q34" s="174"/>
      <c r="R34" s="395" t="s">
        <v>538</v>
      </c>
      <c r="T34" s="267"/>
      <c r="U34" s="2"/>
      <c r="V34" s="2"/>
      <c r="W34" s="2"/>
      <c r="X34" s="2"/>
      <c r="Y34" s="2"/>
      <c r="Z34" s="2"/>
      <c r="AA34" s="2"/>
      <c r="AB34" s="2"/>
    </row>
    <row r="35" spans="1:28" s="235" customFormat="1" x14ac:dyDescent="0.25">
      <c r="A35" s="290"/>
      <c r="B35" s="399" t="s">
        <v>541</v>
      </c>
      <c r="C35" s="623">
        <v>643.09457370199993</v>
      </c>
      <c r="D35" s="633">
        <v>0.19295200046128508</v>
      </c>
      <c r="E35" s="628">
        <f>E5</f>
        <v>745.65306393646711</v>
      </c>
      <c r="F35" s="628">
        <f>F5</f>
        <v>1447.264645083593</v>
      </c>
      <c r="G35" s="857">
        <f>G5</f>
        <v>8.5063509672239537</v>
      </c>
      <c r="H35" s="628">
        <f>H5</f>
        <v>701.61158114712589</v>
      </c>
      <c r="I35" s="16">
        <v>15.178545742284125</v>
      </c>
      <c r="K35" s="290"/>
      <c r="L35" s="399" t="s">
        <v>541</v>
      </c>
      <c r="M35" s="633">
        <f>80%*(2/6)</f>
        <v>0.26666666666666666</v>
      </c>
      <c r="N35" s="628">
        <f t="shared" ref="N35:R56" si="1">N5</f>
        <v>879.11400000000003</v>
      </c>
      <c r="O35" s="628">
        <f t="shared" si="1"/>
        <v>990.65</v>
      </c>
      <c r="P35" s="857">
        <f t="shared" ref="P35:P56" si="2">P5</f>
        <v>5.3</v>
      </c>
      <c r="Q35" s="628">
        <f t="shared" si="1"/>
        <v>111.536</v>
      </c>
      <c r="R35" s="16">
        <f t="shared" si="1"/>
        <v>4.4746944000000006</v>
      </c>
      <c r="T35" s="267"/>
      <c r="U35" s="2"/>
      <c r="V35" s="2"/>
      <c r="W35" s="2"/>
      <c r="X35" s="2"/>
      <c r="Y35" s="2"/>
      <c r="Z35" s="2"/>
      <c r="AA35" s="2"/>
      <c r="AB35" s="2"/>
    </row>
    <row r="36" spans="1:28" s="235" customFormat="1" x14ac:dyDescent="0.25">
      <c r="A36" s="290"/>
      <c r="B36" s="399" t="s">
        <v>543</v>
      </c>
      <c r="C36" s="623">
        <v>131.71816569799998</v>
      </c>
      <c r="D36" s="633">
        <v>3.952028925110658E-2</v>
      </c>
      <c r="E36" s="628">
        <f t="shared" ref="E36:G46" si="3">E6</f>
        <v>612.50933560052044</v>
      </c>
      <c r="F36" s="628">
        <f t="shared" si="3"/>
        <v>1327.4428213875167</v>
      </c>
      <c r="G36" s="857">
        <f t="shared" si="3"/>
        <v>7.7075388092501118</v>
      </c>
      <c r="H36" s="628">
        <f t="shared" ref="H36:H54" si="4">H6</f>
        <v>714.93348578699624</v>
      </c>
      <c r="I36" s="16">
        <v>15.5302440247767</v>
      </c>
      <c r="K36" s="290"/>
      <c r="L36" s="399" t="s">
        <v>543</v>
      </c>
      <c r="M36" s="633">
        <f>M6</f>
        <v>0</v>
      </c>
      <c r="N36" s="628">
        <f t="shared" si="1"/>
        <v>0</v>
      </c>
      <c r="O36" s="628">
        <f t="shared" si="1"/>
        <v>0</v>
      </c>
      <c r="P36" s="857">
        <f t="shared" si="2"/>
        <v>0</v>
      </c>
      <c r="Q36" s="628">
        <f t="shared" si="1"/>
        <v>0</v>
      </c>
      <c r="R36" s="16">
        <f t="shared" si="1"/>
        <v>0</v>
      </c>
      <c r="T36" s="267"/>
      <c r="U36" s="2"/>
      <c r="V36" s="2"/>
      <c r="W36" s="2"/>
      <c r="X36" s="2"/>
      <c r="Y36" s="2"/>
      <c r="Z36" s="2"/>
      <c r="AA36" s="2"/>
      <c r="AB36" s="2"/>
    </row>
    <row r="37" spans="1:28" s="235" customFormat="1" x14ac:dyDescent="0.25">
      <c r="A37" s="290"/>
      <c r="B37" s="399" t="s">
        <v>544</v>
      </c>
      <c r="C37" s="623">
        <v>538.09954126085711</v>
      </c>
      <c r="D37" s="633">
        <v>0.16144963303903445</v>
      </c>
      <c r="E37" s="628">
        <f t="shared" si="3"/>
        <v>701.91002029260244</v>
      </c>
      <c r="F37" s="628">
        <f t="shared" si="3"/>
        <v>1455.8552173475225</v>
      </c>
      <c r="G37" s="857">
        <f t="shared" si="3"/>
        <v>7.8325805935824544</v>
      </c>
      <c r="H37" s="628">
        <f t="shared" si="4"/>
        <v>753.94519705492007</v>
      </c>
      <c r="I37" s="16">
        <v>15.856153202249894</v>
      </c>
      <c r="K37" s="290"/>
      <c r="L37" s="399" t="s">
        <v>544</v>
      </c>
      <c r="M37" s="633">
        <f>M7</f>
        <v>0</v>
      </c>
      <c r="N37" s="628">
        <f t="shared" si="1"/>
        <v>0</v>
      </c>
      <c r="O37" s="628">
        <f t="shared" si="1"/>
        <v>0</v>
      </c>
      <c r="P37" s="857">
        <f t="shared" si="2"/>
        <v>0</v>
      </c>
      <c r="Q37" s="628">
        <f t="shared" si="1"/>
        <v>0</v>
      </c>
      <c r="R37" s="16">
        <f t="shared" si="1"/>
        <v>0</v>
      </c>
      <c r="T37" s="267"/>
      <c r="U37" s="2"/>
      <c r="V37" s="2"/>
      <c r="W37" s="2"/>
      <c r="X37" s="2"/>
      <c r="Y37" s="2"/>
      <c r="Z37" s="2"/>
      <c r="AA37" s="2"/>
      <c r="AB37" s="2"/>
    </row>
    <row r="38" spans="1:28" s="235" customFormat="1" x14ac:dyDescent="0.25">
      <c r="A38" s="290"/>
      <c r="B38" s="399" t="s">
        <v>546</v>
      </c>
      <c r="C38" s="623">
        <v>110.21315905342857</v>
      </c>
      <c r="D38" s="633">
        <v>3.3067997128476939E-2</v>
      </c>
      <c r="E38" s="628">
        <f t="shared" si="3"/>
        <v>552.91549266958282</v>
      </c>
      <c r="F38" s="628">
        <f t="shared" si="3"/>
        <v>1335.2266724622052</v>
      </c>
      <c r="G38" s="857">
        <f t="shared" si="3"/>
        <v>7.0970406857451538</v>
      </c>
      <c r="H38" s="628">
        <f t="shared" si="4"/>
        <v>782.3111797926224</v>
      </c>
      <c r="I38" s="16">
        <v>16.605015146525233</v>
      </c>
      <c r="K38" s="290"/>
      <c r="L38" s="399" t="s">
        <v>546</v>
      </c>
      <c r="M38" s="633">
        <f>M8</f>
        <v>0</v>
      </c>
      <c r="N38" s="628">
        <f t="shared" si="1"/>
        <v>0</v>
      </c>
      <c r="O38" s="628">
        <f t="shared" si="1"/>
        <v>0</v>
      </c>
      <c r="P38" s="857">
        <f t="shared" si="2"/>
        <v>0</v>
      </c>
      <c r="Q38" s="628">
        <f t="shared" si="1"/>
        <v>0</v>
      </c>
      <c r="R38" s="16">
        <f t="shared" si="1"/>
        <v>0</v>
      </c>
      <c r="T38" s="267"/>
      <c r="U38" s="2"/>
      <c r="V38" s="2"/>
      <c r="W38" s="2"/>
      <c r="X38" s="2"/>
      <c r="Y38" s="2"/>
      <c r="Z38" s="2"/>
      <c r="AA38" s="2"/>
      <c r="AB38" s="2"/>
    </row>
    <row r="39" spans="1:28" s="235" customFormat="1" x14ac:dyDescent="0.25">
      <c r="A39" s="290"/>
      <c r="B39" s="399" t="s">
        <v>548</v>
      </c>
      <c r="C39" s="623">
        <v>131.24379055142856</v>
      </c>
      <c r="D39" s="633">
        <v>3.9377959277813276E-2</v>
      </c>
      <c r="E39" s="628">
        <f t="shared" si="3"/>
        <v>707.63154815273629</v>
      </c>
      <c r="F39" s="628">
        <f t="shared" si="3"/>
        <v>1447.0119811934774</v>
      </c>
      <c r="G39" s="857">
        <f t="shared" si="3"/>
        <v>8.337908373813578</v>
      </c>
      <c r="H39" s="628">
        <f t="shared" si="4"/>
        <v>739.38043304074108</v>
      </c>
      <c r="I39" s="16">
        <v>15.647643432275565</v>
      </c>
      <c r="K39" s="290"/>
      <c r="L39" s="399" t="s">
        <v>548</v>
      </c>
      <c r="M39" s="633">
        <f>M9</f>
        <v>0</v>
      </c>
      <c r="N39" s="628">
        <f t="shared" si="1"/>
        <v>0</v>
      </c>
      <c r="O39" s="628">
        <f t="shared" si="1"/>
        <v>0</v>
      </c>
      <c r="P39" s="857">
        <f t="shared" si="2"/>
        <v>0</v>
      </c>
      <c r="Q39" s="628">
        <f t="shared" si="1"/>
        <v>0</v>
      </c>
      <c r="R39" s="16">
        <f t="shared" si="1"/>
        <v>0</v>
      </c>
      <c r="T39" s="267"/>
      <c r="U39" s="2"/>
      <c r="V39" s="2"/>
      <c r="W39" s="2"/>
      <c r="X39" s="2"/>
      <c r="Y39" s="2"/>
      <c r="Z39" s="2"/>
      <c r="AA39" s="2"/>
      <c r="AB39" s="2"/>
    </row>
    <row r="40" spans="1:28" s="235" customFormat="1" x14ac:dyDescent="0.25">
      <c r="A40" s="290"/>
      <c r="B40" s="399" t="s">
        <v>549</v>
      </c>
      <c r="C40" s="623">
        <v>26.881258305714283</v>
      </c>
      <c r="D40" s="633">
        <v>8.0653651532870563E-3</v>
      </c>
      <c r="E40" s="628">
        <f t="shared" si="3"/>
        <v>562.29993363613312</v>
      </c>
      <c r="F40" s="628">
        <f t="shared" si="3"/>
        <v>1327.2138845912025</v>
      </c>
      <c r="G40" s="857">
        <f t="shared" si="3"/>
        <v>7.5549142783738725</v>
      </c>
      <c r="H40" s="628">
        <f t="shared" si="4"/>
        <v>764.91395095506937</v>
      </c>
      <c r="I40" s="16">
        <v>16.321728305213831</v>
      </c>
      <c r="K40" s="290"/>
      <c r="L40" s="399" t="s">
        <v>549</v>
      </c>
      <c r="M40" s="633">
        <f>M10</f>
        <v>0</v>
      </c>
      <c r="N40" s="628">
        <f t="shared" si="1"/>
        <v>0</v>
      </c>
      <c r="O40" s="628">
        <f t="shared" si="1"/>
        <v>0</v>
      </c>
      <c r="P40" s="857">
        <f t="shared" si="2"/>
        <v>0</v>
      </c>
      <c r="Q40" s="628">
        <f t="shared" si="1"/>
        <v>0</v>
      </c>
      <c r="R40" s="16">
        <f t="shared" si="1"/>
        <v>0</v>
      </c>
      <c r="T40" s="267"/>
      <c r="U40" s="2"/>
      <c r="V40" s="2"/>
      <c r="W40" s="2"/>
      <c r="X40" s="2"/>
      <c r="Y40" s="2"/>
      <c r="Z40" s="2"/>
      <c r="AA40" s="2"/>
      <c r="AB40" s="2"/>
    </row>
    <row r="41" spans="1:28" s="235" customFormat="1" x14ac:dyDescent="0.25">
      <c r="B41" s="399" t="s">
        <v>551</v>
      </c>
      <c r="C41" s="623">
        <v>48.90465428571428</v>
      </c>
      <c r="D41" s="633">
        <v>1.4673193123020721E-2</v>
      </c>
      <c r="E41" s="628">
        <f t="shared" si="3"/>
        <v>584.50694092354797</v>
      </c>
      <c r="F41" s="628">
        <f t="shared" si="3"/>
        <v>1160.6394715928743</v>
      </c>
      <c r="G41" s="857">
        <f t="shared" si="3"/>
        <v>6.0324845828833809</v>
      </c>
      <c r="H41" s="628">
        <f t="shared" si="4"/>
        <v>576.13253066932634</v>
      </c>
      <c r="I41" s="16">
        <v>8.9893172800531929</v>
      </c>
      <c r="L41" s="399" t="s">
        <v>551</v>
      </c>
      <c r="M41" s="633">
        <f>20%*(2/6)</f>
        <v>6.6666666666666666E-2</v>
      </c>
      <c r="N41" s="628">
        <f t="shared" si="1"/>
        <v>649.28428238758215</v>
      </c>
      <c r="O41" s="628">
        <f t="shared" si="1"/>
        <v>809.03303238758213</v>
      </c>
      <c r="P41" s="857">
        <f t="shared" si="2"/>
        <v>3.740140441387696</v>
      </c>
      <c r="Q41" s="628">
        <f t="shared" si="1"/>
        <v>159.74875</v>
      </c>
      <c r="R41" s="16">
        <f t="shared" si="1"/>
        <v>4.8768500000000001</v>
      </c>
      <c r="T41" s="267"/>
      <c r="U41" s="2"/>
      <c r="V41" s="2"/>
      <c r="W41" s="2"/>
      <c r="X41" s="2"/>
      <c r="Y41" s="2"/>
      <c r="Z41" s="2"/>
      <c r="AA41" s="2"/>
      <c r="AB41" s="2"/>
    </row>
    <row r="42" spans="1:28" s="235" customFormat="1" x14ac:dyDescent="0.25">
      <c r="B42" s="399" t="s">
        <v>552</v>
      </c>
      <c r="C42" s="623">
        <v>175.57064285714287</v>
      </c>
      <c r="D42" s="633">
        <v>5.2677643610871905E-2</v>
      </c>
      <c r="E42" s="628">
        <f t="shared" si="3"/>
        <v>607.62698424123278</v>
      </c>
      <c r="F42" s="628">
        <f t="shared" si="3"/>
        <v>1135.4003013670419</v>
      </c>
      <c r="G42" s="857">
        <f t="shared" si="3"/>
        <v>7.2730710028018475</v>
      </c>
      <c r="H42" s="628">
        <f t="shared" si="4"/>
        <v>527.77331712580917</v>
      </c>
      <c r="I42" s="16">
        <v>11.469215572121362</v>
      </c>
      <c r="L42" s="399" t="s">
        <v>552</v>
      </c>
      <c r="M42" s="633">
        <v>0</v>
      </c>
      <c r="N42" s="628">
        <f t="shared" si="1"/>
        <v>652.76782684756608</v>
      </c>
      <c r="O42" s="628">
        <f t="shared" si="1"/>
        <v>779.71882684756611</v>
      </c>
      <c r="P42" s="857">
        <f t="shared" si="2"/>
        <v>4.5093040217371456</v>
      </c>
      <c r="Q42" s="628">
        <f t="shared" si="1"/>
        <v>126.95099999999999</v>
      </c>
      <c r="R42" s="16">
        <f t="shared" si="1"/>
        <v>4.4444664000000005</v>
      </c>
      <c r="T42" s="267"/>
      <c r="U42" s="2"/>
      <c r="V42" s="2"/>
      <c r="W42" s="2"/>
      <c r="X42" s="2"/>
      <c r="Y42" s="2"/>
      <c r="Z42" s="2"/>
      <c r="AA42" s="2"/>
      <c r="AB42" s="2"/>
    </row>
    <row r="43" spans="1:28" s="235" customFormat="1" x14ac:dyDescent="0.25">
      <c r="B43" s="399" t="s">
        <v>554</v>
      </c>
      <c r="C43" s="623">
        <v>175.57064285714287</v>
      </c>
      <c r="D43" s="633">
        <v>5.2677643610871905E-2</v>
      </c>
      <c r="E43" s="628">
        <f t="shared" si="3"/>
        <v>750.16895307672246</v>
      </c>
      <c r="F43" s="628">
        <f t="shared" si="3"/>
        <v>1208.1801063777216</v>
      </c>
      <c r="G43" s="857">
        <f t="shared" si="3"/>
        <v>6.7470533314323795</v>
      </c>
      <c r="H43" s="628">
        <f t="shared" si="4"/>
        <v>458.01115330099913</v>
      </c>
      <c r="I43" s="16">
        <v>10.507494447146378</v>
      </c>
      <c r="L43" s="399" t="s">
        <v>554</v>
      </c>
      <c r="M43" s="633">
        <f>M13</f>
        <v>0</v>
      </c>
      <c r="N43" s="628">
        <f t="shared" si="1"/>
        <v>0</v>
      </c>
      <c r="O43" s="628">
        <f t="shared" si="1"/>
        <v>0</v>
      </c>
      <c r="P43" s="857">
        <f t="shared" si="2"/>
        <v>0</v>
      </c>
      <c r="Q43" s="628">
        <f t="shared" si="1"/>
        <v>0</v>
      </c>
      <c r="R43" s="16">
        <f t="shared" si="1"/>
        <v>0</v>
      </c>
      <c r="T43" s="267"/>
      <c r="U43" s="2"/>
      <c r="V43" s="2"/>
      <c r="W43" s="2"/>
      <c r="X43" s="2"/>
      <c r="Y43" s="2"/>
      <c r="Z43" s="2"/>
      <c r="AA43" s="2"/>
      <c r="AB43" s="2"/>
    </row>
    <row r="44" spans="1:28" s="235" customFormat="1" x14ac:dyDescent="0.25">
      <c r="B44" s="399" t="s">
        <v>555</v>
      </c>
      <c r="C44" s="623">
        <v>23.881657142857147</v>
      </c>
      <c r="D44" s="633">
        <v>7.1653745941574467E-3</v>
      </c>
      <c r="E44" s="628">
        <f t="shared" si="3"/>
        <v>540.45866138214001</v>
      </c>
      <c r="F44" s="628">
        <f t="shared" si="3"/>
        <v>970.13414414183239</v>
      </c>
      <c r="G44" s="857">
        <f t="shared" si="3"/>
        <v>5.9018484285636061</v>
      </c>
      <c r="H44" s="628">
        <f t="shared" si="4"/>
        <v>429.67548275969244</v>
      </c>
      <c r="I44" s="16">
        <v>7.1268429885271827</v>
      </c>
      <c r="L44" s="399" t="s">
        <v>555</v>
      </c>
      <c r="M44" s="633">
        <v>0</v>
      </c>
      <c r="N44" s="628">
        <f t="shared" si="1"/>
        <v>554.92812936793609</v>
      </c>
      <c r="O44" s="628">
        <f t="shared" si="1"/>
        <v>666.84812936793605</v>
      </c>
      <c r="P44" s="857">
        <f t="shared" si="2"/>
        <v>3.6591460257094357</v>
      </c>
      <c r="Q44" s="628">
        <f t="shared" si="1"/>
        <v>111.92</v>
      </c>
      <c r="R44" s="16">
        <f t="shared" si="1"/>
        <v>3.3757500000000005</v>
      </c>
      <c r="T44" s="267"/>
      <c r="U44" s="2"/>
      <c r="V44" s="2"/>
      <c r="W44" s="2"/>
      <c r="X44" s="2"/>
      <c r="Y44" s="2"/>
      <c r="Z44" s="2"/>
      <c r="AA44" s="2"/>
      <c r="AB44" s="2"/>
    </row>
    <row r="45" spans="1:28" s="235" customFormat="1" x14ac:dyDescent="0.25">
      <c r="B45" s="399" t="s">
        <v>557</v>
      </c>
      <c r="C45" s="623">
        <v>453.75148571428571</v>
      </c>
      <c r="D45" s="633">
        <v>0.13614211728899145</v>
      </c>
      <c r="E45" s="628">
        <f t="shared" si="3"/>
        <v>722.63686047072133</v>
      </c>
      <c r="F45" s="628">
        <f t="shared" si="3"/>
        <v>1099.1028143523129</v>
      </c>
      <c r="G45" s="857">
        <f t="shared" si="3"/>
        <v>5.7459287538363872</v>
      </c>
      <c r="H45" s="628">
        <f t="shared" si="4"/>
        <v>376.46595388159153</v>
      </c>
      <c r="I45" s="16">
        <v>6.5959857442984982</v>
      </c>
      <c r="L45" s="399" t="s">
        <v>557</v>
      </c>
      <c r="M45" s="633">
        <f t="shared" ref="M45:M55" si="5">M15</f>
        <v>0</v>
      </c>
      <c r="N45" s="628">
        <f t="shared" si="1"/>
        <v>0</v>
      </c>
      <c r="O45" s="628">
        <f t="shared" si="1"/>
        <v>0</v>
      </c>
      <c r="P45" s="857">
        <f t="shared" si="2"/>
        <v>0</v>
      </c>
      <c r="Q45" s="628">
        <f t="shared" si="1"/>
        <v>0</v>
      </c>
      <c r="R45" s="16">
        <f t="shared" si="1"/>
        <v>0</v>
      </c>
      <c r="T45" s="267"/>
      <c r="U45" s="2"/>
      <c r="V45" s="2"/>
      <c r="W45" s="2"/>
      <c r="X45" s="2"/>
      <c r="Y45" s="2"/>
      <c r="Z45" s="2"/>
      <c r="AA45" s="2"/>
      <c r="AB45" s="2"/>
    </row>
    <row r="46" spans="1:28" s="235" customFormat="1" x14ac:dyDescent="0.25">
      <c r="B46" s="399" t="s">
        <v>558</v>
      </c>
      <c r="C46" s="623">
        <v>124.49</v>
      </c>
      <c r="D46" s="633">
        <v>3.735157396702922E-2</v>
      </c>
      <c r="E46" s="628">
        <f t="shared" si="3"/>
        <v>460.0599344121174</v>
      </c>
      <c r="F46" s="628">
        <f t="shared" si="3"/>
        <v>915.65679849758544</v>
      </c>
      <c r="G46" s="857">
        <f t="shared" si="3"/>
        <v>5.5695328129586672</v>
      </c>
      <c r="H46" s="628">
        <f t="shared" si="4"/>
        <v>455.59686408546804</v>
      </c>
      <c r="I46" s="16">
        <v>9.7397572118563573</v>
      </c>
      <c r="L46" s="399" t="s">
        <v>558</v>
      </c>
      <c r="M46" s="633">
        <f t="shared" si="5"/>
        <v>0</v>
      </c>
      <c r="N46" s="628">
        <f t="shared" si="1"/>
        <v>573.54660000000001</v>
      </c>
      <c r="O46" s="628">
        <f t="shared" si="1"/>
        <v>696.6</v>
      </c>
      <c r="P46" s="857">
        <f t="shared" si="2"/>
        <v>3.6</v>
      </c>
      <c r="Q46" s="628">
        <f t="shared" si="1"/>
        <v>123.0534</v>
      </c>
      <c r="R46" s="16">
        <f t="shared" si="1"/>
        <v>3.618198</v>
      </c>
      <c r="T46" s="267"/>
      <c r="U46" s="2"/>
      <c r="V46" s="2"/>
      <c r="W46" s="2"/>
      <c r="X46" s="2"/>
      <c r="Y46" s="2"/>
      <c r="Z46" s="2"/>
      <c r="AA46" s="2"/>
      <c r="AB46" s="2"/>
    </row>
    <row r="47" spans="1:28" s="235" customFormat="1" x14ac:dyDescent="0.25">
      <c r="B47" s="399" t="s">
        <v>561</v>
      </c>
      <c r="C47" s="623"/>
      <c r="D47" s="633"/>
      <c r="E47" s="628"/>
      <c r="F47" s="628"/>
      <c r="G47" s="857"/>
      <c r="H47" s="628">
        <f t="shared" si="4"/>
        <v>0</v>
      </c>
      <c r="I47" s="16"/>
      <c r="L47" s="399" t="s">
        <v>561</v>
      </c>
      <c r="M47" s="633">
        <f t="shared" si="5"/>
        <v>0</v>
      </c>
      <c r="N47" s="628">
        <f t="shared" si="1"/>
        <v>538.4</v>
      </c>
      <c r="O47" s="634">
        <f t="shared" si="1"/>
        <v>0</v>
      </c>
      <c r="P47" s="1258">
        <f t="shared" si="2"/>
        <v>0</v>
      </c>
      <c r="Q47" s="634">
        <f t="shared" si="1"/>
        <v>0</v>
      </c>
      <c r="R47" s="635">
        <f t="shared" si="1"/>
        <v>0</v>
      </c>
      <c r="T47" s="267"/>
      <c r="U47" s="2"/>
      <c r="V47" s="2"/>
      <c r="W47" s="2"/>
      <c r="X47" s="2"/>
      <c r="Y47" s="2"/>
      <c r="Z47" s="2"/>
      <c r="AA47" s="2"/>
      <c r="AB47" s="2"/>
    </row>
    <row r="48" spans="1:28" s="235" customFormat="1" x14ac:dyDescent="0.25">
      <c r="B48" s="399" t="s">
        <v>562</v>
      </c>
      <c r="C48" s="623">
        <v>519.13571428571424</v>
      </c>
      <c r="D48" s="633">
        <v>0.15575978818434738</v>
      </c>
      <c r="E48" s="628">
        <f t="shared" ref="E48:G55" si="6">E18</f>
        <v>614.98442472050999</v>
      </c>
      <c r="F48" s="628">
        <f t="shared" si="6"/>
        <v>1201.165639084739</v>
      </c>
      <c r="G48" s="857">
        <f t="shared" si="6"/>
        <v>3.4319018259563974</v>
      </c>
      <c r="H48" s="628">
        <f t="shared" si="4"/>
        <v>586.18121436422905</v>
      </c>
      <c r="I48" s="16">
        <v>12.131184059215649</v>
      </c>
      <c r="L48" s="399" t="s">
        <v>562</v>
      </c>
      <c r="M48" s="633">
        <f t="shared" si="5"/>
        <v>0</v>
      </c>
      <c r="N48" s="628">
        <f t="shared" si="1"/>
        <v>0</v>
      </c>
      <c r="O48" s="628">
        <f t="shared" si="1"/>
        <v>0</v>
      </c>
      <c r="P48" s="857">
        <f t="shared" si="2"/>
        <v>0</v>
      </c>
      <c r="Q48" s="628">
        <f t="shared" si="1"/>
        <v>0</v>
      </c>
      <c r="R48" s="16">
        <f t="shared" si="1"/>
        <v>0</v>
      </c>
      <c r="T48" s="267"/>
      <c r="U48" s="2"/>
      <c r="V48" s="2"/>
      <c r="W48" s="2"/>
      <c r="X48" s="2"/>
      <c r="Y48" s="2"/>
      <c r="Z48" s="2"/>
      <c r="AA48" s="2"/>
      <c r="AB48" s="2"/>
    </row>
    <row r="49" spans="1:28" s="235" customFormat="1" x14ac:dyDescent="0.25">
      <c r="B49" s="399" t="s">
        <v>565</v>
      </c>
      <c r="C49" s="623">
        <v>8.9548571428571417</v>
      </c>
      <c r="D49" s="633">
        <v>2.6867861590136439E-3</v>
      </c>
      <c r="E49" s="628">
        <f t="shared" si="6"/>
        <v>438.86594145408856</v>
      </c>
      <c r="F49" s="628">
        <f t="shared" si="6"/>
        <v>780.7576654050805</v>
      </c>
      <c r="G49" s="857">
        <f t="shared" si="6"/>
        <v>2.2307361868716584</v>
      </c>
      <c r="H49" s="628">
        <f t="shared" si="4"/>
        <v>341.89172395099195</v>
      </c>
      <c r="I49" s="16">
        <v>5.7711678123531716</v>
      </c>
      <c r="L49" s="399" t="s">
        <v>565</v>
      </c>
      <c r="M49" s="633">
        <f t="shared" si="5"/>
        <v>0</v>
      </c>
      <c r="N49" s="628">
        <f t="shared" si="1"/>
        <v>0</v>
      </c>
      <c r="O49" s="628">
        <f t="shared" si="1"/>
        <v>0</v>
      </c>
      <c r="P49" s="857">
        <f t="shared" si="2"/>
        <v>0</v>
      </c>
      <c r="Q49" s="628">
        <f t="shared" si="1"/>
        <v>0</v>
      </c>
      <c r="R49" s="16">
        <f t="shared" si="1"/>
        <v>0</v>
      </c>
      <c r="T49" s="267"/>
      <c r="U49" s="2"/>
      <c r="V49" s="2"/>
      <c r="W49" s="2"/>
      <c r="X49" s="2"/>
      <c r="Y49" s="2"/>
      <c r="Z49" s="2"/>
      <c r="AA49" s="2"/>
      <c r="AB49" s="2"/>
    </row>
    <row r="50" spans="1:28" s="235" customFormat="1" x14ac:dyDescent="0.25">
      <c r="B50" s="399" t="s">
        <v>563</v>
      </c>
      <c r="C50" s="623">
        <v>47.277471428571445</v>
      </c>
      <c r="D50" s="633">
        <v>1.4184978480507648E-2</v>
      </c>
      <c r="E50" s="628">
        <f t="shared" si="6"/>
        <v>458.47682163236431</v>
      </c>
      <c r="F50" s="628">
        <f t="shared" si="6"/>
        <v>738.73275000000001</v>
      </c>
      <c r="G50" s="857">
        <f t="shared" si="6"/>
        <v>3.99315</v>
      </c>
      <c r="H50" s="628">
        <f t="shared" si="4"/>
        <v>280.2559283676357</v>
      </c>
      <c r="I50" s="16">
        <v>7.3987565089055831</v>
      </c>
      <c r="L50" s="399" t="s">
        <v>563</v>
      </c>
      <c r="M50" s="633">
        <f t="shared" si="5"/>
        <v>4.1666666666666664E-2</v>
      </c>
      <c r="N50" s="628">
        <f t="shared" si="1"/>
        <v>469.6</v>
      </c>
      <c r="O50" s="628">
        <f t="shared" si="1"/>
        <v>647.5</v>
      </c>
      <c r="P50" s="857">
        <f t="shared" si="2"/>
        <v>3.5</v>
      </c>
      <c r="Q50" s="628">
        <f t="shared" si="1"/>
        <v>177.89999999999998</v>
      </c>
      <c r="R50" s="16">
        <f t="shared" si="1"/>
        <v>7.8206040000000012</v>
      </c>
      <c r="T50" s="267"/>
      <c r="U50" s="2"/>
      <c r="V50" s="2"/>
      <c r="W50" s="2"/>
      <c r="X50" s="2"/>
      <c r="Y50" s="2"/>
      <c r="Z50" s="2"/>
      <c r="AA50" s="2"/>
      <c r="AB50" s="2"/>
    </row>
    <row r="51" spans="1:28" s="235" customFormat="1" x14ac:dyDescent="0.25">
      <c r="B51" s="399" t="s">
        <v>566</v>
      </c>
      <c r="C51" s="623">
        <v>55.157049999999991</v>
      </c>
      <c r="D51" s="633">
        <v>1.654914156059225E-2</v>
      </c>
      <c r="E51" s="628">
        <f t="shared" si="6"/>
        <v>401.65884424105991</v>
      </c>
      <c r="F51" s="628">
        <f t="shared" si="6"/>
        <v>679.21579999999994</v>
      </c>
      <c r="G51" s="857">
        <f t="shared" si="6"/>
        <v>3.6128499999999999</v>
      </c>
      <c r="H51" s="628">
        <f t="shared" si="4"/>
        <v>277.55695575894003</v>
      </c>
      <c r="I51" s="16">
        <v>5.5511391151788008</v>
      </c>
      <c r="L51" s="399" t="s">
        <v>566</v>
      </c>
      <c r="M51" s="633">
        <f t="shared" si="5"/>
        <v>4.1666666666666664E-2</v>
      </c>
      <c r="N51" s="628">
        <f t="shared" si="1"/>
        <v>358.37264000000005</v>
      </c>
      <c r="O51" s="628">
        <f t="shared" si="1"/>
        <v>543.37264000000005</v>
      </c>
      <c r="P51" s="857">
        <f t="shared" si="2"/>
        <v>2.8902800000000002</v>
      </c>
      <c r="Q51" s="628">
        <f t="shared" si="1"/>
        <v>185</v>
      </c>
      <c r="R51" s="16">
        <f t="shared" si="1"/>
        <v>8.6790000000000003</v>
      </c>
      <c r="T51" s="267"/>
      <c r="U51" s="2"/>
      <c r="V51" s="2"/>
      <c r="W51" s="2"/>
      <c r="X51" s="2"/>
      <c r="Y51" s="2"/>
      <c r="Z51" s="2"/>
      <c r="AA51" s="2"/>
      <c r="AB51" s="2"/>
    </row>
    <row r="52" spans="1:28" s="235" customFormat="1" x14ac:dyDescent="0.25">
      <c r="B52" s="399" t="s">
        <v>569</v>
      </c>
      <c r="C52" s="623">
        <v>55.157049999999991</v>
      </c>
      <c r="D52" s="633">
        <v>1.654914156059225E-2</v>
      </c>
      <c r="E52" s="628">
        <f t="shared" si="6"/>
        <v>391.15779424105995</v>
      </c>
      <c r="F52" s="628">
        <f t="shared" si="6"/>
        <v>668.37725</v>
      </c>
      <c r="G52" s="857">
        <f t="shared" si="6"/>
        <v>3.6128499999999999</v>
      </c>
      <c r="H52" s="628">
        <f t="shared" si="4"/>
        <v>277.21945575894006</v>
      </c>
      <c r="I52" s="16">
        <v>5.5443891151788014</v>
      </c>
      <c r="L52" s="399" t="s">
        <v>569</v>
      </c>
      <c r="M52" s="633">
        <f t="shared" si="5"/>
        <v>4.1666666666666664E-2</v>
      </c>
      <c r="N52" s="628">
        <f t="shared" si="1"/>
        <v>349.70180000000005</v>
      </c>
      <c r="O52" s="628">
        <f t="shared" si="1"/>
        <v>534.70180000000005</v>
      </c>
      <c r="P52" s="857">
        <f t="shared" si="2"/>
        <v>2.8902800000000002</v>
      </c>
      <c r="Q52" s="628">
        <f t="shared" si="1"/>
        <v>185</v>
      </c>
      <c r="R52" s="16">
        <f t="shared" si="1"/>
        <v>6.5750000000000002</v>
      </c>
      <c r="T52" s="267"/>
      <c r="U52" s="2"/>
      <c r="V52" s="2"/>
      <c r="W52" s="2"/>
      <c r="X52" s="2"/>
      <c r="Y52" s="2"/>
      <c r="Z52" s="2"/>
      <c r="AA52" s="2"/>
      <c r="AB52" s="2"/>
    </row>
    <row r="53" spans="1:28" s="235" customFormat="1" x14ac:dyDescent="0.25">
      <c r="B53" s="399" t="s">
        <v>571</v>
      </c>
      <c r="C53" s="623">
        <v>41.674571428571426</v>
      </c>
      <c r="D53" s="633">
        <v>1.2503902620760931E-2</v>
      </c>
      <c r="E53" s="628">
        <f t="shared" si="6"/>
        <v>403.45787504896191</v>
      </c>
      <c r="F53" s="628">
        <f t="shared" si="6"/>
        <v>692.51666666666654</v>
      </c>
      <c r="G53" s="857">
        <f t="shared" si="6"/>
        <v>3.7433333333333327</v>
      </c>
      <c r="H53" s="628">
        <f t="shared" si="4"/>
        <v>289.05879161770463</v>
      </c>
      <c r="I53" s="16">
        <v>5.7811758323540925</v>
      </c>
      <c r="L53" s="399" t="s">
        <v>568</v>
      </c>
      <c r="M53" s="633">
        <f t="shared" si="5"/>
        <v>4.1666666666666664E-2</v>
      </c>
      <c r="N53" s="628">
        <f t="shared" si="1"/>
        <v>332.86241330833332</v>
      </c>
      <c r="O53" s="628">
        <f t="shared" si="1"/>
        <v>554.01333333333332</v>
      </c>
      <c r="P53" s="857">
        <f t="shared" si="2"/>
        <v>2.9946666666666664</v>
      </c>
      <c r="Q53" s="628">
        <f t="shared" si="1"/>
        <v>221.150920025</v>
      </c>
      <c r="R53" s="16">
        <f t="shared" si="1"/>
        <v>7.6487684005000007</v>
      </c>
      <c r="T53" s="267"/>
      <c r="U53" s="2"/>
      <c r="V53" s="2"/>
      <c r="W53" s="2"/>
      <c r="X53" s="2"/>
      <c r="Y53" s="2"/>
      <c r="Z53" s="2"/>
      <c r="AA53" s="2"/>
      <c r="AB53" s="2"/>
    </row>
    <row r="54" spans="1:28" s="235" customFormat="1" x14ac:dyDescent="0.25">
      <c r="A54" s="290"/>
      <c r="B54" s="399" t="s">
        <v>574</v>
      </c>
      <c r="C54" s="623">
        <v>4.7142857142857144</v>
      </c>
      <c r="D54" s="633">
        <v>1.4144589248843446E-3</v>
      </c>
      <c r="E54" s="628">
        <f t="shared" si="6"/>
        <v>446.18175230566533</v>
      </c>
      <c r="F54" s="628">
        <f t="shared" si="6"/>
        <v>700</v>
      </c>
      <c r="G54" s="857">
        <f t="shared" si="6"/>
        <v>1.75</v>
      </c>
      <c r="H54" s="628">
        <f t="shared" si="4"/>
        <v>253.81824769433467</v>
      </c>
      <c r="I54" s="16">
        <v>4.409698287220027</v>
      </c>
      <c r="L54" s="399" t="s">
        <v>574</v>
      </c>
      <c r="M54" s="633">
        <f t="shared" si="5"/>
        <v>0</v>
      </c>
      <c r="N54" s="628">
        <f t="shared" si="1"/>
        <v>0</v>
      </c>
      <c r="O54" s="628">
        <f t="shared" si="1"/>
        <v>0</v>
      </c>
      <c r="P54" s="857">
        <f t="shared" si="2"/>
        <v>0</v>
      </c>
      <c r="Q54" s="628">
        <f t="shared" si="1"/>
        <v>0</v>
      </c>
      <c r="R54" s="16">
        <f t="shared" si="1"/>
        <v>0</v>
      </c>
      <c r="T54" s="267"/>
      <c r="U54" s="2"/>
      <c r="V54" s="2"/>
      <c r="W54" s="2"/>
      <c r="X54" s="2"/>
      <c r="Y54" s="2"/>
      <c r="Z54" s="2"/>
      <c r="AA54" s="2"/>
      <c r="AB54" s="2"/>
    </row>
    <row r="55" spans="1:28" s="235" customFormat="1" x14ac:dyDescent="0.25">
      <c r="A55" s="290"/>
      <c r="B55" s="399" t="s">
        <v>575</v>
      </c>
      <c r="C55" s="623">
        <v>17.434571428571427</v>
      </c>
      <c r="D55" s="633">
        <v>5.2310120033556111E-3</v>
      </c>
      <c r="E55" s="628">
        <f t="shared" si="6"/>
        <v>579.6774044795784</v>
      </c>
      <c r="F55" s="628">
        <f t="shared" si="6"/>
        <v>900</v>
      </c>
      <c r="G55" s="857">
        <f t="shared" si="6"/>
        <v>2.25</v>
      </c>
      <c r="H55" s="628">
        <f>H25</f>
        <v>320.3225955204216</v>
      </c>
      <c r="I55" s="16">
        <v>7.0485165217391303</v>
      </c>
      <c r="L55" s="399" t="s">
        <v>575</v>
      </c>
      <c r="M55" s="633">
        <f t="shared" si="5"/>
        <v>0</v>
      </c>
      <c r="N55" s="628">
        <f t="shared" si="1"/>
        <v>0</v>
      </c>
      <c r="O55" s="628">
        <f t="shared" si="1"/>
        <v>0</v>
      </c>
      <c r="P55" s="857">
        <f t="shared" si="2"/>
        <v>0</v>
      </c>
      <c r="Q55" s="628">
        <f t="shared" si="1"/>
        <v>0</v>
      </c>
      <c r="R55" s="16">
        <f t="shared" si="1"/>
        <v>0</v>
      </c>
      <c r="T55" s="267"/>
      <c r="U55" s="2"/>
      <c r="V55" s="2"/>
      <c r="W55" s="2"/>
      <c r="X55" s="2"/>
      <c r="Y55" s="2"/>
      <c r="Z55" s="2"/>
      <c r="AA55" s="2"/>
      <c r="AB55" s="2"/>
    </row>
    <row r="56" spans="1:28" s="235" customFormat="1" x14ac:dyDescent="0.25">
      <c r="A56" s="290"/>
      <c r="B56" s="399" t="s">
        <v>576</v>
      </c>
      <c r="C56" s="623"/>
      <c r="D56" s="633"/>
      <c r="E56" s="628"/>
      <c r="F56" s="628"/>
      <c r="G56" s="628"/>
      <c r="H56" s="628"/>
      <c r="I56" s="16"/>
      <c r="L56" s="399" t="s">
        <v>576</v>
      </c>
      <c r="M56" s="633">
        <v>0.5</v>
      </c>
      <c r="N56" s="628">
        <f t="shared" si="1"/>
        <v>0</v>
      </c>
      <c r="O56" s="628">
        <f t="shared" si="1"/>
        <v>0</v>
      </c>
      <c r="P56" s="857">
        <f t="shared" si="2"/>
        <v>0</v>
      </c>
      <c r="Q56" s="628">
        <f t="shared" si="1"/>
        <v>125.66500000000001</v>
      </c>
      <c r="R56" s="16">
        <f t="shared" si="1"/>
        <v>2.5133000000000001</v>
      </c>
      <c r="T56" s="267"/>
      <c r="U56" s="2"/>
      <c r="V56" s="2"/>
      <c r="W56" s="2"/>
      <c r="X56" s="2"/>
      <c r="Y56" s="2"/>
      <c r="Z56" s="2"/>
      <c r="AA56" s="2"/>
      <c r="AB56" s="2"/>
    </row>
    <row r="57" spans="1:28" s="235" customFormat="1" ht="11" thickBot="1" x14ac:dyDescent="0.3">
      <c r="B57" s="400" t="s">
        <v>246</v>
      </c>
      <c r="C57" s="631">
        <v>3332.9251428571424</v>
      </c>
      <c r="D57" s="632">
        <v>1.0000000000000004</v>
      </c>
      <c r="E57" s="629">
        <v>763.41162645513634</v>
      </c>
      <c r="F57" s="629">
        <v>1246.1989443760331</v>
      </c>
      <c r="G57" s="1253">
        <f>G28</f>
        <v>6.4719013907663294</v>
      </c>
      <c r="H57" s="629">
        <v>482.78731792089673</v>
      </c>
      <c r="I57" s="630">
        <v>12.310829381613869</v>
      </c>
      <c r="L57" s="400" t="s">
        <v>246</v>
      </c>
      <c r="M57" s="632">
        <f>SUM(M35:M56)</f>
        <v>1</v>
      </c>
      <c r="N57" s="629">
        <f>SUMPRODUCT($M$35:$M$56,N35:N56)</f>
        <v>340.65505438035262</v>
      </c>
      <c r="O57" s="629">
        <f>SUMPRODUCT($M$35:$M$56,O35:O56)</f>
        <v>413.0916927147278</v>
      </c>
      <c r="P57" s="1253">
        <f>SUMPRODUCT($M$35:$M$56,P35:P56)</f>
        <v>2.1741438072036239</v>
      </c>
      <c r="Q57" s="629">
        <f>SUMPRODUCT($M$35:$M$56,Q35:Q56)</f>
        <v>135.26913833437501</v>
      </c>
      <c r="R57" s="630">
        <f>SUMPRODUCT($M$35:$M$56,R35:R56)</f>
        <v>4.055165690020833</v>
      </c>
      <c r="T57" s="267"/>
      <c r="U57" s="2"/>
      <c r="V57" s="2"/>
      <c r="W57" s="2"/>
      <c r="X57" s="2"/>
      <c r="Y57" s="2"/>
      <c r="Z57" s="2"/>
      <c r="AA57" s="2"/>
      <c r="AB57" s="2"/>
    </row>
    <row r="58" spans="1:28" s="235" customFormat="1" x14ac:dyDescent="0.25">
      <c r="A58" s="290"/>
      <c r="T58" s="267"/>
      <c r="U58" s="2"/>
      <c r="V58" s="2"/>
      <c r="W58" s="2"/>
      <c r="X58" s="2"/>
      <c r="Y58" s="2"/>
      <c r="Z58" s="2"/>
      <c r="AA58" s="2"/>
      <c r="AB58" s="2"/>
    </row>
    <row r="59" spans="1:28" s="235" customFormat="1" x14ac:dyDescent="0.25">
      <c r="A59" s="290"/>
      <c r="T59" s="267"/>
      <c r="U59" s="2"/>
      <c r="V59" s="2"/>
      <c r="W59" s="2"/>
      <c r="X59" s="2"/>
      <c r="Y59" s="2"/>
      <c r="Z59" s="2"/>
      <c r="AA59" s="2"/>
      <c r="AB59" s="2"/>
    </row>
    <row r="60" spans="1:28" s="235" customFormat="1" ht="11" thickBot="1" x14ac:dyDescent="0.3">
      <c r="A60" s="290"/>
      <c r="T60" s="267"/>
      <c r="U60" s="2"/>
      <c r="V60" s="2"/>
      <c r="W60" s="2"/>
      <c r="X60" s="2"/>
      <c r="Y60" s="2"/>
      <c r="Z60" s="2"/>
      <c r="AA60" s="2"/>
      <c r="AB60" s="2"/>
    </row>
    <row r="61" spans="1:28" s="235" customFormat="1" ht="21" customHeight="1" x14ac:dyDescent="0.35">
      <c r="A61" s="290"/>
      <c r="L61" s="396" t="s">
        <v>528</v>
      </c>
      <c r="M61" s="1500" t="s">
        <v>74</v>
      </c>
      <c r="N61" s="1501"/>
      <c r="O61" s="1501"/>
      <c r="P61" s="1501"/>
      <c r="Q61" s="1501"/>
      <c r="R61" s="1501"/>
      <c r="S61"/>
      <c r="T61" s="349" t="s">
        <v>578</v>
      </c>
      <c r="U61" s="2"/>
      <c r="V61" s="2"/>
      <c r="W61" s="2"/>
      <c r="X61" s="2"/>
      <c r="Y61" s="2"/>
      <c r="Z61" s="2"/>
      <c r="AA61" s="2"/>
      <c r="AB61" s="2"/>
    </row>
    <row r="62" spans="1:28" s="235" customFormat="1" ht="31.5" x14ac:dyDescent="0.35">
      <c r="A62" s="290"/>
      <c r="L62" s="397" t="s">
        <v>530</v>
      </c>
      <c r="M62" s="917" t="s">
        <v>532</v>
      </c>
      <c r="N62" s="4" t="s">
        <v>533</v>
      </c>
      <c r="O62" s="4" t="s">
        <v>534</v>
      </c>
      <c r="P62" s="4" t="s">
        <v>535</v>
      </c>
      <c r="Q62" s="4" t="s">
        <v>536</v>
      </c>
      <c r="R62" s="394" t="s">
        <v>216</v>
      </c>
      <c r="S62"/>
      <c r="T62" s="267"/>
      <c r="U62" s="2"/>
      <c r="V62" s="2"/>
      <c r="W62" s="2"/>
      <c r="X62" s="2"/>
      <c r="Y62" s="2"/>
      <c r="Z62" s="2"/>
      <c r="AA62" s="2"/>
      <c r="AB62" s="2"/>
    </row>
    <row r="63" spans="1:28" s="235" customFormat="1" ht="14.5" x14ac:dyDescent="0.35">
      <c r="A63" s="290"/>
      <c r="L63" s="398"/>
      <c r="M63" s="918"/>
      <c r="N63" s="174" t="s">
        <v>538</v>
      </c>
      <c r="O63" s="174"/>
      <c r="P63" s="174" t="s">
        <v>539</v>
      </c>
      <c r="Q63" s="174"/>
      <c r="R63" s="395" t="s">
        <v>538</v>
      </c>
      <c r="S63"/>
      <c r="T63" s="267"/>
      <c r="U63" s="2"/>
      <c r="V63" s="2"/>
      <c r="W63" s="2"/>
      <c r="X63" s="2"/>
      <c r="Y63" s="2"/>
      <c r="Z63" s="2"/>
      <c r="AA63" s="2"/>
      <c r="AB63" s="2"/>
    </row>
    <row r="64" spans="1:28" s="235" customFormat="1" ht="14.5" x14ac:dyDescent="0.35">
      <c r="L64" s="399" t="s">
        <v>552</v>
      </c>
      <c r="M64" s="838">
        <f>1/2*50%</f>
        <v>0.25</v>
      </c>
      <c r="N64" s="628">
        <f>N42</f>
        <v>652.76782684756608</v>
      </c>
      <c r="O64" s="628">
        <f>O42</f>
        <v>779.71882684756611</v>
      </c>
      <c r="P64" s="857">
        <f>P42</f>
        <v>4.5093040217371456</v>
      </c>
      <c r="Q64" s="628">
        <f>Q42</f>
        <v>126.95099999999999</v>
      </c>
      <c r="R64" s="858">
        <f>R42</f>
        <v>4.4444664000000005</v>
      </c>
      <c r="S64"/>
      <c r="T64" s="267"/>
      <c r="U64" s="2"/>
      <c r="V64" s="2"/>
      <c r="W64" s="2"/>
      <c r="X64" s="2"/>
      <c r="Y64" s="2"/>
      <c r="Z64" s="2"/>
      <c r="AA64" s="2"/>
      <c r="AB64" s="2"/>
    </row>
    <row r="65" spans="2:28" s="235" customFormat="1" ht="14.5" x14ac:dyDescent="0.35">
      <c r="L65" s="399" t="s">
        <v>555</v>
      </c>
      <c r="M65" s="838">
        <v>0.25</v>
      </c>
      <c r="N65" s="628">
        <f>N44</f>
        <v>554.92812936793609</v>
      </c>
      <c r="O65" s="628">
        <f>O44</f>
        <v>666.84812936793605</v>
      </c>
      <c r="P65" s="857">
        <f>P44</f>
        <v>3.6591460257094357</v>
      </c>
      <c r="Q65" s="628">
        <f>Q44</f>
        <v>111.92</v>
      </c>
      <c r="R65" s="858">
        <f>R44</f>
        <v>3.3757500000000005</v>
      </c>
      <c r="S65"/>
      <c r="T65" s="267"/>
      <c r="U65" s="2"/>
      <c r="V65" s="2"/>
      <c r="W65" s="2"/>
      <c r="X65" s="2"/>
      <c r="Y65" s="2"/>
      <c r="Z65" s="2"/>
      <c r="AA65" s="2"/>
      <c r="AB65" s="2"/>
    </row>
    <row r="66" spans="2:28" s="235" customFormat="1" ht="14.5" x14ac:dyDescent="0.35">
      <c r="L66" s="399" t="s">
        <v>563</v>
      </c>
      <c r="M66" s="838">
        <f>1/4*50%</f>
        <v>0.125</v>
      </c>
      <c r="N66" s="628">
        <f t="shared" ref="N66:R69" si="7">N50</f>
        <v>469.6</v>
      </c>
      <c r="O66" s="628">
        <f t="shared" si="7"/>
        <v>647.5</v>
      </c>
      <c r="P66" s="857">
        <f>P50</f>
        <v>3.5</v>
      </c>
      <c r="Q66" s="628">
        <f t="shared" si="7"/>
        <v>177.89999999999998</v>
      </c>
      <c r="R66" s="858">
        <f t="shared" si="7"/>
        <v>7.8206040000000012</v>
      </c>
      <c r="S66"/>
      <c r="T66" s="267"/>
      <c r="U66" s="2"/>
      <c r="V66" s="2"/>
      <c r="W66" s="2"/>
      <c r="X66" s="2"/>
      <c r="Y66" s="2"/>
      <c r="Z66" s="2"/>
      <c r="AA66" s="2"/>
      <c r="AB66" s="2"/>
    </row>
    <row r="67" spans="2:28" s="235" customFormat="1" ht="14.5" x14ac:dyDescent="0.35">
      <c r="L67" s="399" t="s">
        <v>566</v>
      </c>
      <c r="M67" s="838">
        <f t="shared" ref="M67:M69" si="8">1/4*50%</f>
        <v>0.125</v>
      </c>
      <c r="N67" s="628">
        <f t="shared" si="7"/>
        <v>358.37264000000005</v>
      </c>
      <c r="O67" s="628">
        <f t="shared" si="7"/>
        <v>543.37264000000005</v>
      </c>
      <c r="P67" s="857">
        <f>P51</f>
        <v>2.8902800000000002</v>
      </c>
      <c r="Q67" s="628">
        <f t="shared" si="7"/>
        <v>185</v>
      </c>
      <c r="R67" s="858">
        <f t="shared" si="7"/>
        <v>8.6790000000000003</v>
      </c>
      <c r="S67"/>
      <c r="T67" s="267"/>
      <c r="U67" s="2"/>
      <c r="V67" s="2"/>
      <c r="W67" s="2"/>
      <c r="X67" s="2"/>
      <c r="Y67" s="2"/>
      <c r="Z67" s="2"/>
      <c r="AA67" s="2"/>
      <c r="AB67" s="2"/>
    </row>
    <row r="68" spans="2:28" s="235" customFormat="1" ht="14.5" x14ac:dyDescent="0.35">
      <c r="L68" s="399" t="s">
        <v>569</v>
      </c>
      <c r="M68" s="838">
        <f t="shared" si="8"/>
        <v>0.125</v>
      </c>
      <c r="N68" s="628">
        <f t="shared" si="7"/>
        <v>349.70180000000005</v>
      </c>
      <c r="O68" s="628">
        <f t="shared" si="7"/>
        <v>534.70180000000005</v>
      </c>
      <c r="P68" s="857">
        <f>P52</f>
        <v>2.8902800000000002</v>
      </c>
      <c r="Q68" s="628">
        <f t="shared" si="7"/>
        <v>185</v>
      </c>
      <c r="R68" s="858">
        <f t="shared" si="7"/>
        <v>6.5750000000000002</v>
      </c>
      <c r="S68"/>
      <c r="T68" s="267"/>
      <c r="U68" s="2"/>
      <c r="V68" s="2"/>
      <c r="W68" s="2"/>
      <c r="X68" s="2"/>
      <c r="Y68" s="2"/>
      <c r="Z68" s="2"/>
      <c r="AA68" s="2"/>
      <c r="AB68" s="2"/>
    </row>
    <row r="69" spans="2:28" s="235" customFormat="1" ht="14.5" x14ac:dyDescent="0.35">
      <c r="L69" s="399" t="s">
        <v>568</v>
      </c>
      <c r="M69" s="838">
        <f t="shared" si="8"/>
        <v>0.125</v>
      </c>
      <c r="N69" s="628">
        <f t="shared" si="7"/>
        <v>332.86241330833332</v>
      </c>
      <c r="O69" s="628">
        <f t="shared" si="7"/>
        <v>554.01333333333332</v>
      </c>
      <c r="P69" s="857">
        <f>P53</f>
        <v>2.9946666666666664</v>
      </c>
      <c r="Q69" s="628">
        <f t="shared" si="7"/>
        <v>221.150920025</v>
      </c>
      <c r="R69" s="858">
        <f t="shared" si="7"/>
        <v>7.6487684005000007</v>
      </c>
      <c r="S69"/>
      <c r="T69" s="267"/>
      <c r="U69" s="2"/>
      <c r="V69" s="2"/>
      <c r="W69" s="2"/>
      <c r="X69" s="2"/>
      <c r="Y69" s="2"/>
      <c r="Z69" s="2"/>
      <c r="AA69" s="2"/>
      <c r="AB69" s="2"/>
    </row>
    <row r="70" spans="2:28" s="235" customFormat="1" ht="15" thickBot="1" x14ac:dyDescent="0.4">
      <c r="L70" s="400" t="s">
        <v>246</v>
      </c>
      <c r="M70" s="919">
        <f>SUM(M64:M69)</f>
        <v>1</v>
      </c>
      <c r="N70" s="629">
        <f>SUMPRODUCT($M$64:$M$69,N64:N69)</f>
        <v>490.74109571741712</v>
      </c>
      <c r="O70" s="629">
        <f>SUMPRODUCT($M$64:$M$69,O64:O69)</f>
        <v>646.59021072054225</v>
      </c>
      <c r="P70" s="1253">
        <f>SUMPRODUCT($M$64:$M$69,P64:P69)</f>
        <v>3.576515845194979</v>
      </c>
      <c r="Q70" s="629">
        <f>SUMPRODUCT($M$64:$M$69,Q64:Q69)</f>
        <v>155.84911500312498</v>
      </c>
      <c r="R70" s="1260">
        <f>SUMPRODUCT($M$64:$M$69,R64:R69)</f>
        <v>5.7954756500625013</v>
      </c>
      <c r="S70"/>
      <c r="T70" s="267" t="s">
        <v>579</v>
      </c>
      <c r="U70" s="2"/>
      <c r="V70" s="2"/>
      <c r="W70" s="2"/>
      <c r="X70" s="2"/>
      <c r="Y70" s="2"/>
      <c r="Z70" s="2"/>
      <c r="AA70" s="2"/>
      <c r="AB70" s="2"/>
    </row>
    <row r="71" spans="2:28" s="235" customFormat="1" x14ac:dyDescent="0.25">
      <c r="T71" s="267"/>
      <c r="U71" s="2"/>
      <c r="V71" s="2"/>
      <c r="W71" s="2"/>
      <c r="X71" s="2"/>
      <c r="Y71" s="2"/>
      <c r="Z71" s="2"/>
      <c r="AA71" s="2"/>
      <c r="AB71" s="2"/>
    </row>
    <row r="72" spans="2:28" s="235" customFormat="1" x14ac:dyDescent="0.25">
      <c r="T72" s="267"/>
      <c r="U72" s="2"/>
      <c r="V72" s="2"/>
      <c r="W72" s="2"/>
      <c r="X72" s="2"/>
      <c r="Y72" s="2"/>
      <c r="Z72" s="2"/>
      <c r="AA72" s="2"/>
      <c r="AB72" s="2"/>
    </row>
    <row r="73" spans="2:28" s="235" customFormat="1" ht="11" thickBot="1" x14ac:dyDescent="0.3">
      <c r="S73" s="965"/>
      <c r="T73" s="267"/>
      <c r="U73" s="2"/>
      <c r="V73" s="2"/>
      <c r="W73" s="2"/>
      <c r="X73" s="2"/>
      <c r="Y73" s="2"/>
      <c r="Z73" s="2"/>
      <c r="AA73" s="2"/>
      <c r="AB73" s="2"/>
    </row>
    <row r="74" spans="2:28" s="339" customFormat="1" ht="22.75" customHeight="1" thickBot="1" x14ac:dyDescent="0.4">
      <c r="B74" s="396" t="s">
        <v>580</v>
      </c>
      <c r="C74" s="1497" t="s">
        <v>581</v>
      </c>
      <c r="D74" s="1497"/>
      <c r="E74" s="1497"/>
      <c r="F74" s="1497"/>
      <c r="G74" s="1497"/>
      <c r="H74" s="1497"/>
      <c r="I74" s="1498"/>
      <c r="L74" s="396" t="s">
        <v>580</v>
      </c>
      <c r="M74" s="1499" t="s">
        <v>74</v>
      </c>
      <c r="N74" s="1497"/>
      <c r="O74" s="1497"/>
      <c r="P74" s="1497"/>
      <c r="Q74" s="1497"/>
      <c r="R74" s="1497"/>
      <c r="S74" s="966"/>
      <c r="T74" s="349"/>
      <c r="U74" s="175"/>
      <c r="V74" s="175"/>
      <c r="W74" s="175"/>
      <c r="X74" s="175"/>
      <c r="Y74" s="175"/>
      <c r="Z74" s="175"/>
      <c r="AA74" s="175"/>
      <c r="AB74" s="175"/>
    </row>
    <row r="75" spans="2:28" s="235" customFormat="1" x14ac:dyDescent="0.25">
      <c r="B75" s="953"/>
      <c r="C75" s="955" t="s">
        <v>531</v>
      </c>
      <c r="D75" s="955" t="s">
        <v>582</v>
      </c>
      <c r="E75" s="955" t="s">
        <v>583</v>
      </c>
      <c r="F75" s="955"/>
      <c r="G75" s="955"/>
      <c r="H75" s="955"/>
      <c r="I75" s="956"/>
      <c r="L75" s="953"/>
      <c r="M75" s="955" t="s">
        <v>582</v>
      </c>
      <c r="N75" s="955" t="s">
        <v>583</v>
      </c>
      <c r="O75" s="955"/>
      <c r="P75" s="955"/>
      <c r="Q75" s="955"/>
      <c r="R75" s="956"/>
      <c r="S75" s="299"/>
      <c r="T75" s="267"/>
      <c r="U75" s="2"/>
      <c r="V75" s="2"/>
      <c r="W75" s="2"/>
      <c r="X75" s="2"/>
      <c r="Y75" s="2"/>
      <c r="Z75" s="2"/>
      <c r="AA75" s="2"/>
    </row>
    <row r="76" spans="2:28" s="235" customFormat="1" ht="31.5" x14ac:dyDescent="0.25">
      <c r="B76" s="397"/>
      <c r="C76" s="957" t="s">
        <v>584</v>
      </c>
      <c r="D76" s="1"/>
      <c r="E76" s="4" t="s">
        <v>525</v>
      </c>
      <c r="F76" s="4" t="s">
        <v>534</v>
      </c>
      <c r="G76" s="4" t="s">
        <v>535</v>
      </c>
      <c r="H76" s="4" t="s">
        <v>536</v>
      </c>
      <c r="I76" s="958" t="s">
        <v>216</v>
      </c>
      <c r="L76" s="397"/>
      <c r="M76" s="1"/>
      <c r="N76" s="4" t="s">
        <v>525</v>
      </c>
      <c r="O76" s="4" t="s">
        <v>534</v>
      </c>
      <c r="P76" s="4" t="s">
        <v>535</v>
      </c>
      <c r="Q76" s="4" t="s">
        <v>536</v>
      </c>
      <c r="R76" s="958" t="s">
        <v>216</v>
      </c>
      <c r="S76" s="299"/>
      <c r="T76" s="267"/>
      <c r="U76" s="2"/>
      <c r="V76" s="2"/>
      <c r="W76" s="2"/>
      <c r="X76" s="2"/>
      <c r="Y76" s="2"/>
      <c r="Z76" s="2"/>
      <c r="AA76" s="2"/>
    </row>
    <row r="77" spans="2:28" s="235" customFormat="1" ht="11" thickBot="1" x14ac:dyDescent="0.3">
      <c r="B77" s="953"/>
      <c r="C77" s="959"/>
      <c r="D77" s="960"/>
      <c r="E77" s="960" t="s">
        <v>538</v>
      </c>
      <c r="F77" s="960"/>
      <c r="G77" s="174" t="s">
        <v>539</v>
      </c>
      <c r="H77" s="960"/>
      <c r="I77" s="961" t="s">
        <v>538</v>
      </c>
      <c r="L77" s="953"/>
      <c r="M77" s="960"/>
      <c r="N77" s="960" t="s">
        <v>538</v>
      </c>
      <c r="O77" s="960"/>
      <c r="P77" s="174" t="s">
        <v>539</v>
      </c>
      <c r="Q77" s="960"/>
      <c r="R77" s="961" t="s">
        <v>538</v>
      </c>
      <c r="S77" s="299"/>
      <c r="T77" s="267"/>
      <c r="U77" s="2"/>
      <c r="V77" s="2"/>
      <c r="W77" s="2"/>
      <c r="X77" s="2"/>
      <c r="Y77" s="2"/>
      <c r="Z77" s="2"/>
      <c r="AA77" s="2"/>
    </row>
    <row r="78" spans="2:28" s="235" customFormat="1" x14ac:dyDescent="0.25">
      <c r="B78" s="951"/>
      <c r="C78" s="967"/>
      <c r="D78" s="968"/>
      <c r="E78" s="968"/>
      <c r="F78" s="968"/>
      <c r="G78" s="968"/>
      <c r="H78" s="968"/>
      <c r="I78" s="969"/>
      <c r="L78" s="951"/>
      <c r="M78" s="967"/>
      <c r="N78" s="968"/>
      <c r="O78" s="968"/>
      <c r="P78" s="968"/>
      <c r="Q78" s="968"/>
      <c r="R78" s="969"/>
      <c r="T78" s="267"/>
      <c r="U78" s="2"/>
      <c r="V78" s="2"/>
      <c r="W78" s="2"/>
      <c r="X78" s="2"/>
      <c r="Y78" s="2"/>
      <c r="Z78" s="2"/>
      <c r="AA78" s="2"/>
    </row>
    <row r="79" spans="2:28" s="235" customFormat="1" x14ac:dyDescent="0.25">
      <c r="B79" s="399" t="s">
        <v>541</v>
      </c>
      <c r="C79" s="970">
        <v>643.09457370199993</v>
      </c>
      <c r="D79" s="962">
        <f t="shared" ref="D79:D93" si="9">C79/$C$94</f>
        <v>0.34837633290459108</v>
      </c>
      <c r="E79" s="323">
        <f>E35</f>
        <v>745.65306393646711</v>
      </c>
      <c r="F79" s="323">
        <f>F35</f>
        <v>1447.264645083593</v>
      </c>
      <c r="G79" s="1254">
        <f>G5</f>
        <v>8.5063509672239537</v>
      </c>
      <c r="H79" s="323">
        <f>H35</f>
        <v>701.61158114712589</v>
      </c>
      <c r="I79" s="964">
        <f>I35</f>
        <v>15.178545742284125</v>
      </c>
      <c r="L79" s="399" t="s">
        <v>541</v>
      </c>
      <c r="M79" s="992">
        <v>0</v>
      </c>
      <c r="N79" s="323">
        <f>E79</f>
        <v>745.65306393646711</v>
      </c>
      <c r="O79" s="323">
        <f>F79</f>
        <v>1447.264645083593</v>
      </c>
      <c r="P79" s="1254">
        <f>G79</f>
        <v>8.5063509672239537</v>
      </c>
      <c r="Q79" s="323">
        <f>H79</f>
        <v>701.61158114712589</v>
      </c>
      <c r="R79" s="964">
        <f>I79</f>
        <v>15.178545742284125</v>
      </c>
      <c r="T79" s="267"/>
      <c r="U79" s="2"/>
      <c r="V79" s="2"/>
      <c r="W79" s="2"/>
      <c r="X79" s="2"/>
      <c r="Y79" s="2"/>
      <c r="Z79" s="2"/>
      <c r="AA79" s="2"/>
    </row>
    <row r="80" spans="2:28" s="235" customFormat="1" x14ac:dyDescent="0.25">
      <c r="B80" s="397" t="s">
        <v>544</v>
      </c>
      <c r="C80" s="970">
        <v>538.09954126085711</v>
      </c>
      <c r="D80" s="962">
        <f t="shared" si="9"/>
        <v>0.29149856426710685</v>
      </c>
      <c r="E80" s="323">
        <f>E37</f>
        <v>701.91002029260244</v>
      </c>
      <c r="F80" s="323">
        <f>F37</f>
        <v>1455.8552173475225</v>
      </c>
      <c r="G80" s="1254">
        <f>G7</f>
        <v>7.8325805935824544</v>
      </c>
      <c r="H80" s="323">
        <f>H37</f>
        <v>753.94519705492007</v>
      </c>
      <c r="I80" s="964">
        <f>I37</f>
        <v>15.856153202249894</v>
      </c>
      <c r="L80" s="397" t="s">
        <v>544</v>
      </c>
      <c r="M80" s="992">
        <v>0</v>
      </c>
      <c r="N80" s="323">
        <f t="shared" ref="N80:N93" si="10">E80</f>
        <v>701.91002029260244</v>
      </c>
      <c r="O80" s="323">
        <f t="shared" ref="O80:O93" si="11">F80</f>
        <v>1455.8552173475225</v>
      </c>
      <c r="P80" s="1254">
        <f t="shared" ref="P80:P93" si="12">G80</f>
        <v>7.8325805935824544</v>
      </c>
      <c r="Q80" s="323">
        <f t="shared" ref="Q80:Q93" si="13">H80</f>
        <v>753.94519705492007</v>
      </c>
      <c r="R80" s="964">
        <f t="shared" ref="R80:R93" si="14">I80</f>
        <v>15.856153202249894</v>
      </c>
      <c r="T80" s="267"/>
      <c r="U80" s="2"/>
      <c r="V80" s="2"/>
      <c r="W80" s="2"/>
      <c r="X80" s="2"/>
      <c r="Y80" s="2"/>
      <c r="Z80" s="2"/>
      <c r="AA80" s="2"/>
    </row>
    <row r="81" spans="2:28" s="235" customFormat="1" x14ac:dyDescent="0.25">
      <c r="B81" s="399" t="s">
        <v>554</v>
      </c>
      <c r="C81" s="970">
        <v>175.57064285714287</v>
      </c>
      <c r="D81" s="962">
        <f t="shared" si="9"/>
        <v>9.510989398056377E-2</v>
      </c>
      <c r="E81" s="323">
        <f t="shared" ref="E81:H82" si="15">E43</f>
        <v>750.16895307672246</v>
      </c>
      <c r="F81" s="323">
        <f t="shared" si="15"/>
        <v>1208.1801063777216</v>
      </c>
      <c r="G81" s="1254">
        <f>G13</f>
        <v>6.7470533314323795</v>
      </c>
      <c r="H81" s="323">
        <f t="shared" si="15"/>
        <v>458.01115330099913</v>
      </c>
      <c r="I81" s="964">
        <v>10.507494447146378</v>
      </c>
      <c r="L81" s="399" t="s">
        <v>554</v>
      </c>
      <c r="M81" s="992">
        <v>0</v>
      </c>
      <c r="N81" s="323">
        <f t="shared" si="10"/>
        <v>750.16895307672246</v>
      </c>
      <c r="O81" s="323">
        <f t="shared" si="11"/>
        <v>1208.1801063777216</v>
      </c>
      <c r="P81" s="1254">
        <f t="shared" si="12"/>
        <v>6.7470533314323795</v>
      </c>
      <c r="Q81" s="323">
        <f t="shared" si="13"/>
        <v>458.01115330099913</v>
      </c>
      <c r="R81" s="964">
        <f t="shared" si="14"/>
        <v>10.507494447146378</v>
      </c>
      <c r="T81" s="267"/>
      <c r="U81" s="2"/>
      <c r="V81" s="2"/>
      <c r="W81" s="2"/>
      <c r="X81" s="2"/>
      <c r="Y81" s="2"/>
      <c r="Z81" s="2"/>
      <c r="AA81" s="2"/>
    </row>
    <row r="82" spans="2:28" s="235" customFormat="1" x14ac:dyDescent="0.25">
      <c r="B82" s="399" t="s">
        <v>555</v>
      </c>
      <c r="C82" s="970">
        <v>23.881657142857147</v>
      </c>
      <c r="D82" s="962">
        <f t="shared" si="9"/>
        <v>1.2937139387166677E-2</v>
      </c>
      <c r="E82" s="323">
        <f t="shared" si="15"/>
        <v>540.45866138214001</v>
      </c>
      <c r="F82" s="323">
        <f t="shared" si="15"/>
        <v>970.13414414183239</v>
      </c>
      <c r="G82" s="1254">
        <f>G44</f>
        <v>5.9018484285636061</v>
      </c>
      <c r="H82" s="323">
        <f t="shared" si="15"/>
        <v>429.67548275969244</v>
      </c>
      <c r="I82" s="964">
        <f>I44</f>
        <v>7.1268429885271827</v>
      </c>
      <c r="L82" s="399" t="s">
        <v>555</v>
      </c>
      <c r="M82" s="992">
        <v>0</v>
      </c>
      <c r="N82" s="323">
        <f t="shared" si="10"/>
        <v>540.45866138214001</v>
      </c>
      <c r="O82" s="323">
        <f t="shared" si="11"/>
        <v>970.13414414183239</v>
      </c>
      <c r="P82" s="1254">
        <f t="shared" si="12"/>
        <v>5.9018484285636061</v>
      </c>
      <c r="Q82" s="323">
        <f t="shared" si="13"/>
        <v>429.67548275969244</v>
      </c>
      <c r="R82" s="964">
        <f t="shared" si="14"/>
        <v>7.1268429885271827</v>
      </c>
      <c r="T82" s="267"/>
      <c r="U82" s="2"/>
      <c r="V82" s="2"/>
      <c r="W82" s="2"/>
      <c r="X82" s="2"/>
      <c r="Y82" s="2"/>
      <c r="Z82" s="2"/>
      <c r="AA82" s="2"/>
    </row>
    <row r="83" spans="2:28" s="235" customFormat="1" x14ac:dyDescent="0.25">
      <c r="B83" s="399" t="s">
        <v>563</v>
      </c>
      <c r="C83" s="970">
        <v>47.277471428571445</v>
      </c>
      <c r="D83" s="962">
        <f t="shared" si="9"/>
        <v>2.5611088631140286E-2</v>
      </c>
      <c r="E83" s="323">
        <f t="shared" ref="E83:I85" si="16">E50</f>
        <v>458.47682163236431</v>
      </c>
      <c r="F83" s="323">
        <f t="shared" si="16"/>
        <v>738.73275000000001</v>
      </c>
      <c r="G83" s="1254">
        <f>G50</f>
        <v>3.99315</v>
      </c>
      <c r="H83" s="323">
        <f t="shared" si="16"/>
        <v>280.2559283676357</v>
      </c>
      <c r="I83" s="964">
        <f t="shared" si="16"/>
        <v>7.3987565089055831</v>
      </c>
      <c r="L83" s="399" t="s">
        <v>563</v>
      </c>
      <c r="M83" s="992">
        <v>0</v>
      </c>
      <c r="N83" s="323">
        <f t="shared" si="10"/>
        <v>458.47682163236431</v>
      </c>
      <c r="O83" s="323">
        <f t="shared" si="11"/>
        <v>738.73275000000001</v>
      </c>
      <c r="P83" s="1254">
        <f t="shared" si="12"/>
        <v>3.99315</v>
      </c>
      <c r="Q83" s="323">
        <f t="shared" si="13"/>
        <v>280.2559283676357</v>
      </c>
      <c r="R83" s="964">
        <f t="shared" si="14"/>
        <v>7.3987565089055831</v>
      </c>
      <c r="T83" s="267"/>
      <c r="U83" s="2"/>
      <c r="V83" s="2"/>
      <c r="W83" s="2"/>
      <c r="X83" s="2"/>
      <c r="Y83" s="2"/>
      <c r="Z83" s="2"/>
      <c r="AA83" s="2"/>
    </row>
    <row r="84" spans="2:28" s="235" customFormat="1" x14ac:dyDescent="0.25">
      <c r="B84" s="399" t="s">
        <v>566</v>
      </c>
      <c r="C84" s="970">
        <v>55.157049999999991</v>
      </c>
      <c r="D84" s="962">
        <f t="shared" si="9"/>
        <v>2.9879603402996984E-2</v>
      </c>
      <c r="E84" s="323">
        <f t="shared" si="16"/>
        <v>401.65884424105991</v>
      </c>
      <c r="F84" s="323">
        <f t="shared" si="16"/>
        <v>679.21579999999994</v>
      </c>
      <c r="G84" s="1254">
        <f>G51</f>
        <v>3.6128499999999999</v>
      </c>
      <c r="H84" s="323">
        <f t="shared" si="16"/>
        <v>277.55695575894003</v>
      </c>
      <c r="I84" s="964">
        <f t="shared" si="16"/>
        <v>5.5511391151788008</v>
      </c>
      <c r="L84" s="399" t="s">
        <v>566</v>
      </c>
      <c r="M84" s="992">
        <v>0</v>
      </c>
      <c r="N84" s="323">
        <f t="shared" si="10"/>
        <v>401.65884424105991</v>
      </c>
      <c r="O84" s="323">
        <f t="shared" si="11"/>
        <v>679.21579999999994</v>
      </c>
      <c r="P84" s="1254">
        <f t="shared" si="12"/>
        <v>3.6128499999999999</v>
      </c>
      <c r="Q84" s="323">
        <f t="shared" si="13"/>
        <v>277.55695575894003</v>
      </c>
      <c r="R84" s="964">
        <f t="shared" si="14"/>
        <v>5.5511391151788008</v>
      </c>
      <c r="T84" s="267"/>
      <c r="U84" s="2"/>
      <c r="V84" s="2"/>
      <c r="W84" s="2"/>
      <c r="X84" s="2"/>
      <c r="Y84" s="2"/>
      <c r="Z84" s="2"/>
      <c r="AA84" s="2"/>
    </row>
    <row r="85" spans="2:28" s="235" customFormat="1" x14ac:dyDescent="0.25">
      <c r="B85" s="399" t="s">
        <v>569</v>
      </c>
      <c r="C85" s="970">
        <v>55.157049999999991</v>
      </c>
      <c r="D85" s="962">
        <f t="shared" si="9"/>
        <v>2.9879603402996984E-2</v>
      </c>
      <c r="E85" s="323">
        <f t="shared" si="16"/>
        <v>391.15779424105995</v>
      </c>
      <c r="F85" s="323">
        <f t="shared" si="16"/>
        <v>668.37725</v>
      </c>
      <c r="G85" s="1254">
        <f>G52</f>
        <v>3.6128499999999999</v>
      </c>
      <c r="H85" s="323">
        <f t="shared" si="16"/>
        <v>277.21945575894006</v>
      </c>
      <c r="I85" s="964">
        <f t="shared" si="16"/>
        <v>5.5443891151788014</v>
      </c>
      <c r="L85" s="399" t="s">
        <v>569</v>
      </c>
      <c r="M85" s="992">
        <v>0</v>
      </c>
      <c r="N85" s="323">
        <f t="shared" si="10"/>
        <v>391.15779424105995</v>
      </c>
      <c r="O85" s="323">
        <f t="shared" si="11"/>
        <v>668.37725</v>
      </c>
      <c r="P85" s="1254">
        <f t="shared" si="12"/>
        <v>3.6128499999999999</v>
      </c>
      <c r="Q85" s="323">
        <f t="shared" si="13"/>
        <v>277.21945575894006</v>
      </c>
      <c r="R85" s="964">
        <f t="shared" si="14"/>
        <v>5.5443891151788014</v>
      </c>
      <c r="T85" s="267"/>
      <c r="U85" s="2"/>
      <c r="V85" s="2"/>
      <c r="W85" s="2"/>
      <c r="X85" s="2"/>
      <c r="Y85" s="2"/>
      <c r="Z85" s="2"/>
      <c r="AA85" s="2"/>
    </row>
    <row r="86" spans="2:28" s="235" customFormat="1" x14ac:dyDescent="0.25">
      <c r="B86" s="952" t="s">
        <v>585</v>
      </c>
      <c r="C86" s="970">
        <v>105.23928571428571</v>
      </c>
      <c r="D86" s="962">
        <f t="shared" si="9"/>
        <v>5.7010085194141892E-2</v>
      </c>
      <c r="E86" s="323">
        <f>'Cropping GMs - baseline'!AI78</f>
        <v>2607.9835362318854</v>
      </c>
      <c r="F86" s="323">
        <f>'Cropping GMs - baseline'!AI26</f>
        <v>7875.2500000000009</v>
      </c>
      <c r="G86" s="1254">
        <f>'Cropping GMs - baseline'!AI8</f>
        <v>46.325000000000003</v>
      </c>
      <c r="H86" s="323">
        <f>'Cropping GMs - baseline'!AI70</f>
        <v>5267.2664637681155</v>
      </c>
      <c r="I86" s="964">
        <f>'Cropping GMs - N cost Grain £'!AI4</f>
        <v>136.23983464347828</v>
      </c>
      <c r="L86" s="952" t="s">
        <v>585</v>
      </c>
      <c r="M86" s="992">
        <v>0</v>
      </c>
      <c r="N86" s="323">
        <f t="shared" si="10"/>
        <v>2607.9835362318854</v>
      </c>
      <c r="O86" s="323">
        <f t="shared" si="11"/>
        <v>7875.2500000000009</v>
      </c>
      <c r="P86" s="1254">
        <f t="shared" si="12"/>
        <v>46.325000000000003</v>
      </c>
      <c r="Q86" s="323">
        <f t="shared" si="13"/>
        <v>5267.2664637681155</v>
      </c>
      <c r="R86" s="964">
        <f t="shared" si="14"/>
        <v>136.23983464347828</v>
      </c>
      <c r="T86" s="267"/>
      <c r="U86" s="2"/>
      <c r="V86" s="2"/>
      <c r="W86" s="2"/>
      <c r="X86" s="2"/>
      <c r="Y86" s="2"/>
      <c r="Z86" s="2"/>
      <c r="AA86" s="2"/>
    </row>
    <row r="87" spans="2:28" s="235" customFormat="1" x14ac:dyDescent="0.25">
      <c r="B87" s="952" t="s">
        <v>586</v>
      </c>
      <c r="C87" s="970">
        <v>105.40814285714285</v>
      </c>
      <c r="D87" s="962">
        <f t="shared" si="9"/>
        <v>5.7101558259875722E-2</v>
      </c>
      <c r="E87" s="323">
        <f>'Cropping GMs - baseline'!AG78</f>
        <v>664.08357778885488</v>
      </c>
      <c r="F87" s="323">
        <f>'Cropping GMs - baseline'!AG26</f>
        <v>1615.2143665781769</v>
      </c>
      <c r="G87" s="1254">
        <f>'Cropping GMs - baseline'!AG8</f>
        <v>74.571300396037714</v>
      </c>
      <c r="H87" s="323">
        <f>'Cropping GMs - baseline'!AG70</f>
        <v>951.13078878932197</v>
      </c>
      <c r="I87" s="964">
        <f>'Cropping GMs - N cost Grain £'!AG4</f>
        <v>22.3642528240381</v>
      </c>
      <c r="L87" s="952" t="s">
        <v>586</v>
      </c>
      <c r="M87" s="992">
        <v>0</v>
      </c>
      <c r="N87" s="323">
        <f t="shared" si="10"/>
        <v>664.08357778885488</v>
      </c>
      <c r="O87" s="323">
        <f t="shared" si="11"/>
        <v>1615.2143665781769</v>
      </c>
      <c r="P87" s="1254">
        <f t="shared" si="12"/>
        <v>74.571300396037714</v>
      </c>
      <c r="Q87" s="323">
        <f t="shared" si="13"/>
        <v>951.13078878932197</v>
      </c>
      <c r="R87" s="964">
        <f t="shared" si="14"/>
        <v>22.3642528240381</v>
      </c>
      <c r="T87" s="267"/>
      <c r="U87" s="2"/>
      <c r="V87" s="2"/>
      <c r="W87" s="2"/>
      <c r="X87" s="2"/>
      <c r="Y87" s="2"/>
      <c r="Z87" s="2"/>
      <c r="AA87" s="2"/>
    </row>
    <row r="88" spans="2:28" s="235" customFormat="1" x14ac:dyDescent="0.25">
      <c r="B88" s="952" t="s">
        <v>587</v>
      </c>
      <c r="C88" s="970">
        <v>97.091228571428573</v>
      </c>
      <c r="D88" s="962">
        <f t="shared" si="9"/>
        <v>5.2596130569419787E-2</v>
      </c>
      <c r="E88" s="323">
        <f>'Cropping GMs - baseline'!AJ78</f>
        <v>740</v>
      </c>
      <c r="F88" s="323">
        <f>'Cropping GMs - baseline'!AJ26</f>
        <v>4920</v>
      </c>
      <c r="G88" s="1254">
        <f>'Cropping GMs - baseline'!AJ8</f>
        <v>12</v>
      </c>
      <c r="H88" s="323">
        <f>'Cropping GMs - baseline'!AJ70</f>
        <v>4180</v>
      </c>
      <c r="I88" s="964">
        <f>'Cropping GMs - N cost Grain £'!AJ4</f>
        <v>101.9568</v>
      </c>
      <c r="L88" s="952" t="s">
        <v>587</v>
      </c>
      <c r="M88" s="992">
        <v>0</v>
      </c>
      <c r="N88" s="323">
        <f>E88</f>
        <v>740</v>
      </c>
      <c r="O88" s="323">
        <f t="shared" si="11"/>
        <v>4920</v>
      </c>
      <c r="P88" s="1254">
        <f t="shared" si="12"/>
        <v>12</v>
      </c>
      <c r="Q88" s="323">
        <f t="shared" si="13"/>
        <v>4180</v>
      </c>
      <c r="R88" s="964">
        <f t="shared" si="14"/>
        <v>101.9568</v>
      </c>
      <c r="T88" s="267"/>
      <c r="U88" s="2"/>
      <c r="V88" s="2"/>
      <c r="W88" s="2"/>
      <c r="X88" s="2"/>
      <c r="Y88" s="2"/>
      <c r="Z88" s="2"/>
      <c r="AA88" s="2"/>
    </row>
    <row r="89" spans="2:28" s="235" customFormat="1" x14ac:dyDescent="0.25">
      <c r="B89" s="952" t="s">
        <v>588</v>
      </c>
      <c r="C89" s="970">
        <v>0</v>
      </c>
      <c r="D89" s="962">
        <f t="shared" si="9"/>
        <v>0</v>
      </c>
      <c r="E89" s="323">
        <f>0</f>
        <v>0</v>
      </c>
      <c r="F89" s="323">
        <v>0</v>
      </c>
      <c r="G89" s="1254"/>
      <c r="H89" s="323">
        <f>Q56</f>
        <v>125.66500000000001</v>
      </c>
      <c r="I89" s="964">
        <f>R56</f>
        <v>2.5133000000000001</v>
      </c>
      <c r="L89" s="952" t="str">
        <f>B89</f>
        <v>Agroecological herbal ley</v>
      </c>
      <c r="M89" s="992">
        <f>3/7</f>
        <v>0.42857142857142855</v>
      </c>
      <c r="N89" s="323">
        <f t="shared" si="10"/>
        <v>0</v>
      </c>
      <c r="O89" s="323">
        <f t="shared" si="11"/>
        <v>0</v>
      </c>
      <c r="P89" s="1254">
        <f t="shared" si="12"/>
        <v>0</v>
      </c>
      <c r="Q89" s="323">
        <f t="shared" si="13"/>
        <v>125.66500000000001</v>
      </c>
      <c r="R89" s="964">
        <f t="shared" si="14"/>
        <v>2.5133000000000001</v>
      </c>
      <c r="T89" s="267"/>
      <c r="U89" s="2"/>
      <c r="V89" s="2"/>
      <c r="W89" s="2"/>
      <c r="X89" s="2"/>
      <c r="Y89" s="2"/>
      <c r="Z89" s="2"/>
      <c r="AA89" s="2"/>
    </row>
    <row r="90" spans="2:28" s="235" customFormat="1" x14ac:dyDescent="0.25">
      <c r="B90" s="952" t="s">
        <v>589</v>
      </c>
      <c r="C90" s="970">
        <v>0</v>
      </c>
      <c r="D90" s="962">
        <f t="shared" si="9"/>
        <v>0</v>
      </c>
      <c r="E90" s="323">
        <f>'Cropping GMs - baseline'!AI81</f>
        <v>491.77999999999975</v>
      </c>
      <c r="F90" s="323">
        <f>'Cropping GMs - baseline'!AI98</f>
        <v>5780</v>
      </c>
      <c r="G90" s="1254">
        <f>'Cropping GMs - baseline'!AI93</f>
        <v>34</v>
      </c>
      <c r="H90" s="323">
        <f>'Cropping GMs - baseline'!AI116</f>
        <v>5288.22</v>
      </c>
      <c r="I90" s="964">
        <f>'Cropping GMs - N cost Grain £'!AI87</f>
        <v>74</v>
      </c>
      <c r="L90" s="952" t="str">
        <f t="shared" ref="L90:L93" si="17">B90</f>
        <v>Agroecological potatoes</v>
      </c>
      <c r="M90" s="992">
        <f>1/7</f>
        <v>0.14285714285714285</v>
      </c>
      <c r="N90" s="323">
        <f t="shared" si="10"/>
        <v>491.77999999999975</v>
      </c>
      <c r="O90" s="323">
        <f t="shared" si="11"/>
        <v>5780</v>
      </c>
      <c r="P90" s="1254">
        <f t="shared" si="12"/>
        <v>34</v>
      </c>
      <c r="Q90" s="323">
        <f t="shared" si="13"/>
        <v>5288.22</v>
      </c>
      <c r="R90" s="964">
        <f t="shared" si="14"/>
        <v>74</v>
      </c>
      <c r="T90" s="267"/>
      <c r="U90" s="2"/>
      <c r="V90" s="2"/>
      <c r="W90" s="2"/>
      <c r="X90" s="2"/>
      <c r="Y90" s="2"/>
      <c r="Z90" s="2"/>
      <c r="AA90" s="2"/>
    </row>
    <row r="91" spans="2:28" s="235" customFormat="1" x14ac:dyDescent="0.25">
      <c r="B91" s="952" t="s">
        <v>590</v>
      </c>
      <c r="C91" s="970">
        <v>0</v>
      </c>
      <c r="D91" s="962">
        <f t="shared" si="9"/>
        <v>0</v>
      </c>
      <c r="E91" s="323">
        <f>'Cropping GMs - baseline'!AR81</f>
        <v>1951.7799999999997</v>
      </c>
      <c r="F91" s="323">
        <f>'Cropping GMs - baseline'!AR98</f>
        <v>9800</v>
      </c>
      <c r="G91" s="1254">
        <f>'Cropping GMs - baseline'!AR93</f>
        <v>49</v>
      </c>
      <c r="H91" s="323">
        <f>'Cropping GMs - baseline'!AR116</f>
        <v>7848.22</v>
      </c>
      <c r="I91" s="964">
        <f>'Cropping GMs - N cost Grain £'!AR87</f>
        <v>125.2</v>
      </c>
      <c r="L91" s="952" t="str">
        <f t="shared" si="17"/>
        <v>Agroecological carrots</v>
      </c>
      <c r="M91" s="992">
        <f>1/7</f>
        <v>0.14285714285714285</v>
      </c>
      <c r="N91" s="323">
        <f t="shared" si="10"/>
        <v>1951.7799999999997</v>
      </c>
      <c r="O91" s="323">
        <f t="shared" si="11"/>
        <v>9800</v>
      </c>
      <c r="P91" s="1254">
        <f t="shared" si="12"/>
        <v>49</v>
      </c>
      <c r="Q91" s="323">
        <f t="shared" si="13"/>
        <v>7848.22</v>
      </c>
      <c r="R91" s="964">
        <f t="shared" si="14"/>
        <v>125.2</v>
      </c>
      <c r="T91" s="267"/>
      <c r="U91" s="2"/>
      <c r="V91" s="2"/>
      <c r="W91" s="2"/>
      <c r="X91" s="2"/>
      <c r="Y91" s="2"/>
      <c r="Z91" s="2"/>
      <c r="AA91" s="2"/>
    </row>
    <row r="92" spans="2:28" s="235" customFormat="1" x14ac:dyDescent="0.25">
      <c r="B92" s="952" t="s">
        <v>591</v>
      </c>
      <c r="C92" s="970">
        <v>0</v>
      </c>
      <c r="D92" s="962">
        <f t="shared" si="9"/>
        <v>0</v>
      </c>
      <c r="E92" s="323">
        <f>N35</f>
        <v>879.11400000000003</v>
      </c>
      <c r="F92" s="323">
        <f>O35</f>
        <v>990.65</v>
      </c>
      <c r="G92" s="1254">
        <f>'Cropping GMs - baseline'!D93</f>
        <v>5.3</v>
      </c>
      <c r="H92" s="323">
        <f t="shared" ref="H92:I92" si="18">Q35</f>
        <v>111.536</v>
      </c>
      <c r="I92" s="964">
        <f t="shared" si="18"/>
        <v>4.4746944000000006</v>
      </c>
      <c r="L92" s="952" t="str">
        <f t="shared" si="17"/>
        <v>Agroecological wheat</v>
      </c>
      <c r="M92" s="992">
        <f>1/7</f>
        <v>0.14285714285714285</v>
      </c>
      <c r="N92" s="323">
        <f t="shared" si="10"/>
        <v>879.11400000000003</v>
      </c>
      <c r="O92" s="323">
        <f>F92</f>
        <v>990.65</v>
      </c>
      <c r="P92" s="1254">
        <f t="shared" si="12"/>
        <v>5.3</v>
      </c>
      <c r="Q92" s="323">
        <f t="shared" si="13"/>
        <v>111.536</v>
      </c>
      <c r="R92" s="964">
        <f t="shared" si="14"/>
        <v>4.4746944000000006</v>
      </c>
      <c r="T92" s="267"/>
      <c r="U92" s="2"/>
      <c r="V92" s="2"/>
      <c r="W92" s="2"/>
      <c r="X92" s="2"/>
      <c r="Y92" s="2"/>
      <c r="Z92" s="2"/>
      <c r="AA92" s="2"/>
    </row>
    <row r="93" spans="2:28" s="235" customFormat="1" ht="11" thickBot="1" x14ac:dyDescent="0.3">
      <c r="B93" s="952" t="s">
        <v>592</v>
      </c>
      <c r="C93" s="998">
        <v>0</v>
      </c>
      <c r="D93" s="999">
        <f t="shared" si="9"/>
        <v>0</v>
      </c>
      <c r="E93" s="1000">
        <f>N68</f>
        <v>349.70180000000005</v>
      </c>
      <c r="F93" s="1000">
        <f>O68</f>
        <v>534.70180000000005</v>
      </c>
      <c r="G93" s="1255">
        <f>'Cropping GMs - baseline'!U93</f>
        <v>2.8902800000000002</v>
      </c>
      <c r="H93" s="1000">
        <f>Q68</f>
        <v>185</v>
      </c>
      <c r="I93" s="1001">
        <f t="shared" ref="I93" si="19">R68</f>
        <v>6.5750000000000002</v>
      </c>
      <c r="L93" s="952" t="str">
        <f t="shared" si="17"/>
        <v>Agroecological beans</v>
      </c>
      <c r="M93" s="992">
        <f>1/7</f>
        <v>0.14285714285714285</v>
      </c>
      <c r="N93" s="323">
        <f t="shared" si="10"/>
        <v>349.70180000000005</v>
      </c>
      <c r="O93" s="323">
        <f t="shared" si="11"/>
        <v>534.70180000000005</v>
      </c>
      <c r="P93" s="1254">
        <f t="shared" si="12"/>
        <v>2.8902800000000002</v>
      </c>
      <c r="Q93" s="323">
        <f t="shared" si="13"/>
        <v>185</v>
      </c>
      <c r="R93" s="964">
        <f t="shared" si="14"/>
        <v>6.5750000000000002</v>
      </c>
      <c r="T93" s="267"/>
      <c r="U93" s="2"/>
      <c r="V93" s="2"/>
      <c r="W93" s="2"/>
      <c r="X93" s="2"/>
      <c r="Y93" s="2"/>
      <c r="Z93" s="2"/>
      <c r="AA93" s="2"/>
    </row>
    <row r="94" spans="2:28" s="235" customFormat="1" ht="11" thickBot="1" x14ac:dyDescent="0.3">
      <c r="B94" s="954" t="s">
        <v>246</v>
      </c>
      <c r="C94" s="994">
        <f>SUM(C79:C93)</f>
        <v>1845.9766435342856</v>
      </c>
      <c r="D94" s="995">
        <f>SUM(D79:D93)</f>
        <v>1</v>
      </c>
      <c r="E94" s="996">
        <f>SUMPRODUCT($D$79:$D$88,E79:E88)</f>
        <v>803.66796637988807</v>
      </c>
      <c r="F94" s="996">
        <f>SUMPRODUCT($D$79:$D$88,F79:F88)</f>
        <v>1915.1912868079642</v>
      </c>
      <c r="G94" s="1256">
        <f>SUMPRODUCT($D$79:$D$88,G79:G88)</f>
        <v>13.813115103099767</v>
      </c>
      <c r="H94" s="996">
        <f>SUMPRODUCT($D$79:$D$88,H79:H88)</f>
        <v>1111.5233204280764</v>
      </c>
      <c r="I94" s="997">
        <f>SUMPRODUCT($D$79:$D$88,I79:I88)</f>
        <v>25.929091264229925</v>
      </c>
      <c r="L94" s="954" t="s">
        <v>246</v>
      </c>
      <c r="M94" s="993">
        <f>SUM(M79:M93)</f>
        <v>0.99999999999999978</v>
      </c>
      <c r="N94" s="963">
        <f>SUMPRODUCT($M$79:$M$93,N79:N93)</f>
        <v>524.62511428571429</v>
      </c>
      <c r="O94" s="963">
        <f t="shared" ref="O94:R94" si="20">SUMPRODUCT($M$79:$M$93,O79:O93)</f>
        <v>2443.6216857142858</v>
      </c>
      <c r="P94" s="1257">
        <f>SUMPRODUCT($M$79:$M$93,P79:P93)</f>
        <v>13.027182857142856</v>
      </c>
      <c r="Q94" s="963">
        <f>SUMPRODUCT($M$79:$M$93,Q79:Q93)</f>
        <v>1972.8529999999998</v>
      </c>
      <c r="R94" s="971">
        <f t="shared" si="20"/>
        <v>31.112799200000001</v>
      </c>
      <c r="T94" s="267"/>
      <c r="U94" s="2"/>
      <c r="V94" s="2"/>
      <c r="W94" s="2"/>
      <c r="X94" s="2"/>
      <c r="Y94" s="2"/>
      <c r="Z94" s="2"/>
      <c r="AA94" s="2"/>
    </row>
    <row r="95" spans="2:28" s="235" customFormat="1" x14ac:dyDescent="0.25">
      <c r="T95" s="267"/>
      <c r="U95" s="2"/>
      <c r="V95" s="2"/>
      <c r="W95" s="2"/>
      <c r="X95" s="2"/>
      <c r="Y95" s="2"/>
      <c r="Z95" s="2"/>
      <c r="AA95" s="2"/>
      <c r="AB95" s="2"/>
    </row>
    <row r="96" spans="2:28" s="235" customFormat="1" x14ac:dyDescent="0.25">
      <c r="T96" s="267"/>
      <c r="U96" s="2"/>
      <c r="V96" s="2"/>
      <c r="W96" s="2"/>
      <c r="X96" s="2"/>
      <c r="Y96" s="2"/>
      <c r="Z96" s="2"/>
      <c r="AA96" s="2"/>
      <c r="AB96" s="2"/>
    </row>
    <row r="97" spans="12:28" s="235" customFormat="1" ht="11.15" customHeight="1" thickBot="1" x14ac:dyDescent="0.3">
      <c r="T97" s="267"/>
      <c r="U97" s="2"/>
      <c r="V97" s="2"/>
      <c r="W97" s="2"/>
      <c r="X97" s="2"/>
      <c r="Y97" s="2"/>
      <c r="Z97" s="2"/>
      <c r="AA97" s="2"/>
      <c r="AB97" s="2"/>
    </row>
    <row r="98" spans="12:28" s="235" customFormat="1" x14ac:dyDescent="0.25">
      <c r="L98" s="396" t="s">
        <v>593</v>
      </c>
      <c r="M98" s="1494" t="s">
        <v>74</v>
      </c>
      <c r="N98" s="1495"/>
      <c r="O98" s="1495"/>
      <c r="P98" s="1495"/>
      <c r="Q98" s="1495"/>
      <c r="R98" s="1496"/>
      <c r="T98" s="267"/>
      <c r="U98" s="2"/>
      <c r="V98" s="2"/>
      <c r="W98" s="2"/>
      <c r="X98" s="2"/>
      <c r="Y98" s="2"/>
      <c r="Z98" s="2"/>
      <c r="AA98" s="2"/>
      <c r="AB98" s="2"/>
    </row>
    <row r="99" spans="12:28" s="235" customFormat="1" ht="31.5" x14ac:dyDescent="0.25">
      <c r="L99" s="397" t="s">
        <v>530</v>
      </c>
      <c r="M99" s="917" t="s">
        <v>532</v>
      </c>
      <c r="N99" s="4" t="s">
        <v>533</v>
      </c>
      <c r="O99" s="4" t="s">
        <v>534</v>
      </c>
      <c r="P99" s="4" t="s">
        <v>535</v>
      </c>
      <c r="Q99" s="4" t="s">
        <v>536</v>
      </c>
      <c r="R99" s="394" t="s">
        <v>216</v>
      </c>
      <c r="T99" s="267"/>
      <c r="U99" s="2"/>
      <c r="V99" s="2"/>
      <c r="W99" s="2"/>
      <c r="X99" s="2"/>
      <c r="Y99" s="2"/>
      <c r="Z99" s="2"/>
      <c r="AA99" s="2"/>
      <c r="AB99" s="2"/>
    </row>
    <row r="100" spans="12:28" s="235" customFormat="1" x14ac:dyDescent="0.25">
      <c r="L100" s="398"/>
      <c r="M100" s="918"/>
      <c r="N100" s="174" t="s">
        <v>538</v>
      </c>
      <c r="O100" s="174"/>
      <c r="P100" s="174" t="s">
        <v>539</v>
      </c>
      <c r="Q100" s="174"/>
      <c r="R100" s="395" t="s">
        <v>538</v>
      </c>
      <c r="T100" s="267"/>
      <c r="U100" s="2"/>
      <c r="V100" s="2"/>
      <c r="W100" s="2"/>
      <c r="X100" s="2"/>
      <c r="Y100" s="2"/>
      <c r="Z100" s="2"/>
      <c r="AA100" s="2"/>
      <c r="AB100" s="2"/>
    </row>
    <row r="101" spans="12:28" s="235" customFormat="1" x14ac:dyDescent="0.25">
      <c r="L101" s="399" t="s">
        <v>594</v>
      </c>
      <c r="M101" s="838">
        <f>1/7</f>
        <v>0.14285714285714285</v>
      </c>
      <c r="N101" s="628">
        <f>N64</f>
        <v>652.76782684756608</v>
      </c>
      <c r="O101" s="628">
        <f>O64</f>
        <v>779.71882684756611</v>
      </c>
      <c r="P101" s="628">
        <f>P64</f>
        <v>4.5093040217371456</v>
      </c>
      <c r="Q101" s="628">
        <f>Q64</f>
        <v>126.95099999999999</v>
      </c>
      <c r="R101" s="861">
        <f>R64</f>
        <v>4.4444664000000005</v>
      </c>
      <c r="T101" s="267"/>
      <c r="U101" s="2"/>
      <c r="V101" s="2"/>
      <c r="W101" s="2"/>
      <c r="X101" s="2"/>
      <c r="Y101" s="2"/>
      <c r="Z101" s="2"/>
      <c r="AA101" s="2"/>
      <c r="AB101" s="2"/>
    </row>
    <row r="102" spans="12:28" s="235" customFormat="1" x14ac:dyDescent="0.25">
      <c r="L102" s="399" t="s">
        <v>592</v>
      </c>
      <c r="M102" s="838">
        <f>1/7</f>
        <v>0.14285714285714285</v>
      </c>
      <c r="N102" s="628">
        <f>N93</f>
        <v>349.70180000000005</v>
      </c>
      <c r="O102" s="628">
        <f>O93</f>
        <v>534.70180000000005</v>
      </c>
      <c r="P102" s="628">
        <f>P93</f>
        <v>2.8902800000000002</v>
      </c>
      <c r="Q102" s="628">
        <f>Q93</f>
        <v>185</v>
      </c>
      <c r="R102" s="861">
        <f>R93</f>
        <v>6.5750000000000002</v>
      </c>
      <c r="T102" s="267"/>
      <c r="U102" s="2"/>
      <c r="V102" s="2"/>
      <c r="W102" s="2"/>
      <c r="X102" s="2"/>
      <c r="Y102" s="2"/>
      <c r="Z102" s="2"/>
      <c r="AA102" s="2"/>
      <c r="AB102" s="2"/>
    </row>
    <row r="103" spans="12:28" x14ac:dyDescent="0.25">
      <c r="L103" s="399" t="str">
        <f>L91</f>
        <v>Agroecological carrots</v>
      </c>
      <c r="M103" s="838">
        <f>1/7</f>
        <v>0.14285714285714285</v>
      </c>
      <c r="N103" s="628">
        <f>N91</f>
        <v>1951.7799999999997</v>
      </c>
      <c r="O103" s="628">
        <f>O91</f>
        <v>9800</v>
      </c>
      <c r="P103" s="628">
        <f>P91</f>
        <v>49</v>
      </c>
      <c r="Q103" s="628">
        <f>Q91</f>
        <v>7848.22</v>
      </c>
      <c r="R103" s="861">
        <f>R91</f>
        <v>125.2</v>
      </c>
    </row>
    <row r="104" spans="12:28" x14ac:dyDescent="0.25">
      <c r="L104" s="399" t="s">
        <v>589</v>
      </c>
      <c r="M104" s="838">
        <f>1/7</f>
        <v>0.14285714285714285</v>
      </c>
      <c r="N104" s="628">
        <f>N90</f>
        <v>491.77999999999975</v>
      </c>
      <c r="O104" s="628">
        <f>O90</f>
        <v>5780</v>
      </c>
      <c r="P104" s="628">
        <f>P90</f>
        <v>34</v>
      </c>
      <c r="Q104" s="628">
        <f>Q90</f>
        <v>5288.22</v>
      </c>
      <c r="R104" s="861">
        <f>R90</f>
        <v>74</v>
      </c>
    </row>
    <row r="105" spans="12:28" x14ac:dyDescent="0.25">
      <c r="L105" s="399" t="s">
        <v>576</v>
      </c>
      <c r="M105" s="838">
        <f>3/7</f>
        <v>0.42857142857142855</v>
      </c>
      <c r="N105" s="628">
        <f>N56</f>
        <v>0</v>
      </c>
      <c r="O105" s="628">
        <f>O56</f>
        <v>0</v>
      </c>
      <c r="P105" s="857">
        <f>P56</f>
        <v>0</v>
      </c>
      <c r="Q105" s="628">
        <f>Q56</f>
        <v>125.66500000000001</v>
      </c>
      <c r="R105" s="16">
        <f>R56</f>
        <v>2.5133000000000001</v>
      </c>
    </row>
    <row r="106" spans="12:28" ht="11" thickBot="1" x14ac:dyDescent="0.3">
      <c r="L106" s="400" t="s">
        <v>246</v>
      </c>
      <c r="M106" s="919">
        <f>SUM(M101:M105)</f>
        <v>1</v>
      </c>
      <c r="N106" s="629">
        <f>SUMPRODUCT($M$101:$M$105,N101:N105)</f>
        <v>492.28994669250937</v>
      </c>
      <c r="O106" s="629">
        <f>SUMPRODUCT($M$101:$M$105,O101:O105)</f>
        <v>2413.4886609782238</v>
      </c>
      <c r="P106" s="1253">
        <f>SUMPRODUCT($M$101:$M$105,P101:P105)</f>
        <v>12.914226288819592</v>
      </c>
      <c r="Q106" s="629">
        <f>SUMPRODUCT($M$101:$M$105,Q101:Q105)</f>
        <v>1975.0551428571428</v>
      </c>
      <c r="R106" s="630">
        <f>SUMPRODUCT($M$101:$M$105,R101:R105)</f>
        <v>31.10848091428571</v>
      </c>
    </row>
    <row r="107" spans="12:28" ht="11" thickBot="1" x14ac:dyDescent="0.3"/>
    <row r="108" spans="12:28" ht="11" thickBot="1" x14ac:dyDescent="0.3">
      <c r="L108" s="1332" t="s">
        <v>595</v>
      </c>
      <c r="M108" s="1331"/>
      <c r="N108" s="1330">
        <f>'[2]Cropping GMs - baseline'!AS118</f>
        <v>-1624.104621221677</v>
      </c>
      <c r="O108" s="1328">
        <f>'[2]Cropping GMs - baseline'!AS98</f>
        <v>8330</v>
      </c>
      <c r="P108" s="1329">
        <f>'[2]Cropping GMs - baseline'!AS92</f>
        <v>11.9</v>
      </c>
      <c r="Q108" s="1328">
        <f>'[2]Cropping GMs - baseline'!AS115</f>
        <v>9954.104621221677</v>
      </c>
      <c r="R108" s="1327">
        <f>'[2]Cropping GMs - baseline'!AS120</f>
        <v>199.08209242443354</v>
      </c>
    </row>
    <row r="109" spans="12:28" s="235" customFormat="1" x14ac:dyDescent="0.25">
      <c r="T109" s="267"/>
      <c r="U109" s="2"/>
      <c r="V109" s="2"/>
      <c r="W109" s="2"/>
      <c r="X109" s="2"/>
      <c r="Y109" s="2"/>
      <c r="Z109" s="2"/>
      <c r="AA109" s="2"/>
      <c r="AB109" s="2"/>
    </row>
    <row r="110" spans="12:28" s="235" customFormat="1" x14ac:dyDescent="0.25">
      <c r="T110" s="267"/>
      <c r="U110" s="2"/>
      <c r="V110" s="2"/>
      <c r="W110" s="2"/>
      <c r="X110" s="2"/>
      <c r="Y110" s="2"/>
      <c r="Z110" s="2"/>
      <c r="AA110" s="2"/>
      <c r="AB110" s="2"/>
    </row>
    <row r="111" spans="12:28" s="235" customFormat="1" x14ac:dyDescent="0.25">
      <c r="T111" s="267"/>
      <c r="U111" s="2"/>
      <c r="V111" s="2"/>
      <c r="W111" s="2"/>
      <c r="X111" s="2"/>
      <c r="Y111" s="2"/>
      <c r="Z111" s="2"/>
      <c r="AA111" s="2"/>
      <c r="AB111" s="2"/>
    </row>
    <row r="112" spans="12:28" s="235" customFormat="1" x14ac:dyDescent="0.25">
      <c r="T112" s="267"/>
      <c r="U112" s="2"/>
      <c r="V112" s="2"/>
      <c r="W112" s="2"/>
      <c r="X112" s="2"/>
      <c r="Y112" s="2"/>
      <c r="Z112" s="2"/>
      <c r="AA112" s="2"/>
      <c r="AB112" s="2"/>
    </row>
    <row r="113" spans="20:28" s="235" customFormat="1" x14ac:dyDescent="0.25">
      <c r="T113" s="267"/>
      <c r="U113" s="2"/>
      <c r="V113" s="2"/>
      <c r="W113" s="2"/>
      <c r="X113" s="2"/>
      <c r="Y113" s="2"/>
      <c r="Z113" s="2"/>
      <c r="AA113" s="2"/>
      <c r="AB113" s="2"/>
    </row>
    <row r="114" spans="20:28" s="235" customFormat="1" x14ac:dyDescent="0.25">
      <c r="T114" s="267"/>
      <c r="U114" s="2"/>
      <c r="V114" s="2"/>
      <c r="W114" s="2"/>
      <c r="X114" s="2"/>
      <c r="Y114" s="2"/>
      <c r="Z114" s="2"/>
      <c r="AA114" s="2"/>
      <c r="AB114" s="2"/>
    </row>
    <row r="115" spans="20:28" s="235" customFormat="1" x14ac:dyDescent="0.25">
      <c r="T115" s="267"/>
      <c r="U115" s="2"/>
      <c r="V115" s="2"/>
      <c r="W115" s="2"/>
      <c r="X115" s="2"/>
      <c r="Y115" s="2"/>
      <c r="Z115" s="2"/>
      <c r="AA115" s="2"/>
      <c r="AB115" s="2"/>
    </row>
    <row r="116" spans="20:28" s="235" customFormat="1" x14ac:dyDescent="0.25">
      <c r="T116" s="267"/>
      <c r="U116" s="2"/>
      <c r="V116" s="2"/>
      <c r="W116" s="2"/>
      <c r="X116" s="2"/>
      <c r="Y116" s="2"/>
      <c r="Z116" s="2"/>
      <c r="AA116" s="2"/>
      <c r="AB116" s="2"/>
    </row>
    <row r="117" spans="20:28" s="235" customFormat="1" x14ac:dyDescent="0.25">
      <c r="T117" s="267"/>
      <c r="U117" s="2"/>
      <c r="V117" s="2"/>
      <c r="W117" s="2"/>
      <c r="X117" s="2"/>
      <c r="Y117" s="2"/>
      <c r="Z117" s="2"/>
      <c r="AA117" s="2"/>
      <c r="AB117" s="2"/>
    </row>
    <row r="118" spans="20:28" s="235" customFormat="1" x14ac:dyDescent="0.25">
      <c r="T118" s="267"/>
      <c r="U118" s="2"/>
      <c r="V118" s="2"/>
      <c r="W118" s="2"/>
      <c r="X118" s="2"/>
      <c r="Y118" s="2"/>
      <c r="Z118" s="2"/>
      <c r="AA118" s="2"/>
      <c r="AB118" s="2"/>
    </row>
    <row r="119" spans="20:28" s="235" customFormat="1" x14ac:dyDescent="0.25">
      <c r="T119" s="267"/>
      <c r="U119" s="2"/>
      <c r="V119" s="2"/>
      <c r="W119" s="2"/>
      <c r="X119" s="2"/>
      <c r="Y119" s="2"/>
      <c r="Z119" s="2"/>
      <c r="AA119" s="2"/>
      <c r="AB119" s="2"/>
    </row>
  </sheetData>
  <mergeCells count="8">
    <mergeCell ref="M98:R98"/>
    <mergeCell ref="C74:I74"/>
    <mergeCell ref="M74:R74"/>
    <mergeCell ref="C2:I2"/>
    <mergeCell ref="M2:R2"/>
    <mergeCell ref="C32:I32"/>
    <mergeCell ref="M32:R32"/>
    <mergeCell ref="M61:R61"/>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5C7DE-B086-402D-89C5-9F4AABB0AF5E}">
  <dimension ref="A1:AY161"/>
  <sheetViews>
    <sheetView topLeftCell="A46" workbookViewId="0">
      <selection activeCell="H19" sqref="H19"/>
    </sheetView>
  </sheetViews>
  <sheetFormatPr defaultColWidth="8.81640625" defaultRowHeight="10.5" x14ac:dyDescent="0.25"/>
  <cols>
    <col min="1" max="1" width="2.54296875" style="238" customWidth="1"/>
    <col min="2" max="2" width="24.453125" style="45" customWidth="1"/>
    <col min="3" max="26" width="8.81640625" style="45"/>
    <col min="27" max="42" width="8.81640625" style="832"/>
    <col min="43" max="43" width="8.81640625" style="45"/>
    <col min="44" max="51" width="8.81640625" style="238"/>
    <col min="52" max="16384" width="8.81640625" style="45"/>
  </cols>
  <sheetData>
    <row r="1" spans="2:43" s="238" customFormat="1" ht="11" thickBot="1" x14ac:dyDescent="0.3">
      <c r="Z1" s="835"/>
      <c r="AA1" s="836"/>
      <c r="AB1" s="836"/>
      <c r="AC1" s="836"/>
      <c r="AD1" s="836"/>
      <c r="AE1" s="836"/>
      <c r="AF1" s="836"/>
      <c r="AG1" s="836"/>
      <c r="AH1" s="836"/>
      <c r="AI1" s="836"/>
      <c r="AJ1" s="836"/>
      <c r="AK1" s="836"/>
      <c r="AL1" s="836"/>
      <c r="AM1" s="836"/>
      <c r="AN1" s="836"/>
      <c r="AO1" s="836"/>
      <c r="AP1" s="835"/>
    </row>
    <row r="2" spans="2:43" ht="42.5" thickBot="1" x14ac:dyDescent="0.3">
      <c r="B2" s="785" t="s">
        <v>596</v>
      </c>
      <c r="C2" s="786"/>
      <c r="D2" s="780" t="s">
        <v>541</v>
      </c>
      <c r="E2" s="780" t="s">
        <v>543</v>
      </c>
      <c r="F2" s="780" t="s">
        <v>544</v>
      </c>
      <c r="G2" s="780" t="s">
        <v>546</v>
      </c>
      <c r="H2" s="780" t="s">
        <v>548</v>
      </c>
      <c r="I2" s="780" t="s">
        <v>549</v>
      </c>
      <c r="J2" s="780" t="s">
        <v>551</v>
      </c>
      <c r="K2" s="780" t="s">
        <v>552</v>
      </c>
      <c r="L2" s="780" t="s">
        <v>554</v>
      </c>
      <c r="M2" s="780" t="s">
        <v>555</v>
      </c>
      <c r="N2" s="780" t="s">
        <v>557</v>
      </c>
      <c r="O2" s="780" t="s">
        <v>558</v>
      </c>
      <c r="P2" s="780" t="s">
        <v>597</v>
      </c>
      <c r="Q2" s="780" t="s">
        <v>562</v>
      </c>
      <c r="R2" s="780" t="s">
        <v>565</v>
      </c>
      <c r="S2" s="780" t="s">
        <v>563</v>
      </c>
      <c r="T2" s="780" t="s">
        <v>566</v>
      </c>
      <c r="U2" s="780" t="s">
        <v>569</v>
      </c>
      <c r="V2" s="780" t="s">
        <v>571</v>
      </c>
      <c r="W2" s="780" t="s">
        <v>574</v>
      </c>
      <c r="X2" s="780" t="s">
        <v>575</v>
      </c>
      <c r="Y2" s="780" t="s">
        <v>570</v>
      </c>
      <c r="Z2" s="783" t="s">
        <v>572</v>
      </c>
      <c r="AA2" s="780" t="s">
        <v>598</v>
      </c>
      <c r="AB2" s="780" t="s">
        <v>599</v>
      </c>
      <c r="AC2" s="780" t="s">
        <v>600</v>
      </c>
      <c r="AD2" s="780" t="s">
        <v>601</v>
      </c>
      <c r="AE2" s="780" t="s">
        <v>602</v>
      </c>
      <c r="AF2" s="780" t="s">
        <v>603</v>
      </c>
      <c r="AG2" s="780" t="s">
        <v>604</v>
      </c>
      <c r="AH2" s="780" t="s">
        <v>605</v>
      </c>
      <c r="AI2" s="780" t="s">
        <v>585</v>
      </c>
      <c r="AJ2" s="780" t="s">
        <v>606</v>
      </c>
      <c r="AK2" s="780" t="s">
        <v>607</v>
      </c>
      <c r="AL2" s="780" t="s">
        <v>608</v>
      </c>
      <c r="AM2" s="780" t="s">
        <v>609</v>
      </c>
      <c r="AN2" s="780" t="s">
        <v>610</v>
      </c>
      <c r="AO2" s="780" t="s">
        <v>611</v>
      </c>
      <c r="AP2" s="780" t="s">
        <v>612</v>
      </c>
      <c r="AQ2" s="784" t="s">
        <v>613</v>
      </c>
    </row>
    <row r="3" spans="2:43" x14ac:dyDescent="0.25">
      <c r="B3" s="411" t="s">
        <v>614</v>
      </c>
      <c r="C3" s="787" t="s">
        <v>425</v>
      </c>
      <c r="D3" s="795">
        <v>872.31973060313373</v>
      </c>
      <c r="E3" s="795">
        <v>739.17600226718719</v>
      </c>
      <c r="F3" s="795">
        <v>855.2433536259357</v>
      </c>
      <c r="G3" s="795">
        <v>706.24882600291608</v>
      </c>
      <c r="H3" s="795">
        <v>854.29821481940292</v>
      </c>
      <c r="I3" s="795">
        <v>708.96660030279975</v>
      </c>
      <c r="J3" s="795">
        <v>711.17360759021471</v>
      </c>
      <c r="K3" s="795">
        <v>700.96031757456615</v>
      </c>
      <c r="L3" s="795">
        <v>810.16895307672246</v>
      </c>
      <c r="M3" s="795">
        <v>613.79199471547327</v>
      </c>
      <c r="N3" s="795">
        <v>769.30352713738796</v>
      </c>
      <c r="O3" s="795">
        <v>546.72660107878403</v>
      </c>
      <c r="P3" s="795">
        <v>595</v>
      </c>
      <c r="Q3" s="795">
        <v>741.65109138717662</v>
      </c>
      <c r="R3" s="795">
        <v>492.19927478742193</v>
      </c>
      <c r="S3" s="795">
        <v>458.47682163236431</v>
      </c>
      <c r="T3" s="795">
        <v>401.65884424105991</v>
      </c>
      <c r="U3" s="795">
        <v>391.15779424105995</v>
      </c>
      <c r="V3" s="795">
        <v>403.45787504896191</v>
      </c>
      <c r="W3" s="795">
        <v>479.5150856389987</v>
      </c>
      <c r="X3" s="795">
        <v>633.01073781291166</v>
      </c>
      <c r="Y3" s="795">
        <v>358.2730411052155</v>
      </c>
      <c r="Z3" s="821">
        <v>545.34924637681161</v>
      </c>
      <c r="AA3" s="795">
        <v>682.59344927536222</v>
      </c>
      <c r="AB3" s="795">
        <v>774.45021645021643</v>
      </c>
      <c r="AC3" s="795">
        <v>475.74044795783925</v>
      </c>
      <c r="AD3" s="795">
        <v>594.96508563899874</v>
      </c>
      <c r="AE3" s="795">
        <v>767.50856389986825</v>
      </c>
      <c r="AF3" s="795">
        <v>796.81847932338815</v>
      </c>
      <c r="AG3" s="795">
        <v>768.08357778885488</v>
      </c>
      <c r="AH3" s="795">
        <v>4349.9999999999982</v>
      </c>
      <c r="AI3" s="795">
        <v>2714.6502028985515</v>
      </c>
      <c r="AJ3" s="795">
        <v>1058</v>
      </c>
      <c r="AK3" s="795">
        <v>10979</v>
      </c>
      <c r="AL3" s="795">
        <v>15650</v>
      </c>
      <c r="AM3" s="795">
        <v>16386</v>
      </c>
      <c r="AN3" s="795">
        <v>51877</v>
      </c>
      <c r="AO3" s="795">
        <v>174700</v>
      </c>
      <c r="AP3" s="795">
        <v>8550</v>
      </c>
      <c r="AQ3" s="662">
        <v>3539.05</v>
      </c>
    </row>
    <row r="4" spans="2:43" x14ac:dyDescent="0.25">
      <c r="B4" s="663" t="s">
        <v>615</v>
      </c>
      <c r="C4" s="787" t="s">
        <v>425</v>
      </c>
      <c r="D4" s="796">
        <v>15.178545742284125</v>
      </c>
      <c r="E4" s="796">
        <v>15.5302440247767</v>
      </c>
      <c r="F4" s="796">
        <v>15.856153202249894</v>
      </c>
      <c r="G4" s="796">
        <v>16.605015146525233</v>
      </c>
      <c r="H4" s="796">
        <v>15.647643432275565</v>
      </c>
      <c r="I4" s="796">
        <v>16.321728305213831</v>
      </c>
      <c r="J4" s="796">
        <v>8.9893172800531929</v>
      </c>
      <c r="K4" s="796">
        <v>11.469215572121362</v>
      </c>
      <c r="L4" s="796">
        <v>10.507494447146378</v>
      </c>
      <c r="M4" s="796">
        <v>7.1268429885271827</v>
      </c>
      <c r="N4" s="796">
        <v>6.5959857442984982</v>
      </c>
      <c r="O4" s="796">
        <v>9.7397572118563573</v>
      </c>
      <c r="P4" s="796"/>
      <c r="Q4" s="796">
        <v>12.131184059215649</v>
      </c>
      <c r="R4" s="796">
        <v>5.7711678123531716</v>
      </c>
      <c r="S4" s="796">
        <v>7.3987565089055831</v>
      </c>
      <c r="T4" s="796">
        <v>5.5511391151788008</v>
      </c>
      <c r="U4" s="796">
        <v>5.5443891151788014</v>
      </c>
      <c r="V4" s="796">
        <v>5.7811758323540925</v>
      </c>
      <c r="W4" s="796">
        <v>4.409698287220027</v>
      </c>
      <c r="X4" s="796">
        <v>7.0485165217391303</v>
      </c>
      <c r="Y4" s="796">
        <v>5.2048134841650082</v>
      </c>
      <c r="Z4" s="822">
        <v>5.5692550724637684</v>
      </c>
      <c r="AA4" s="796">
        <v>7.3743710144927537</v>
      </c>
      <c r="AB4" s="796">
        <v>9.2609956709956709</v>
      </c>
      <c r="AC4" s="796">
        <v>6.085191040843215</v>
      </c>
      <c r="AD4" s="796">
        <v>9.8506982872200268</v>
      </c>
      <c r="AE4" s="796">
        <v>7.849828722002635</v>
      </c>
      <c r="AF4" s="796">
        <v>12.663630413532237</v>
      </c>
      <c r="AG4" s="796">
        <v>22.3642528240381</v>
      </c>
      <c r="AH4" s="796">
        <v>209.88000000000002</v>
      </c>
      <c r="AI4" s="796">
        <v>136.23983464347828</v>
      </c>
      <c r="AJ4" s="796">
        <v>101.9568</v>
      </c>
      <c r="AK4" s="796">
        <v>238.15440000000004</v>
      </c>
      <c r="AL4" s="796">
        <v>81.84</v>
      </c>
      <c r="AM4" s="796">
        <v>2339.4096</v>
      </c>
      <c r="AN4" s="796">
        <v>557.64720000000011</v>
      </c>
      <c r="AO4" s="796">
        <v>3147.6192000000001</v>
      </c>
      <c r="AP4" s="796">
        <v>134.64000000000001</v>
      </c>
      <c r="AQ4" s="664">
        <v>94.669079999999994</v>
      </c>
    </row>
    <row r="5" spans="2:43" x14ac:dyDescent="0.25">
      <c r="B5" s="665" t="s">
        <v>616</v>
      </c>
      <c r="C5" s="788" t="s">
        <v>495</v>
      </c>
      <c r="D5" s="744">
        <v>150</v>
      </c>
      <c r="E5" s="744">
        <v>150</v>
      </c>
      <c r="F5" s="744">
        <v>164</v>
      </c>
      <c r="G5" s="744">
        <v>164</v>
      </c>
      <c r="H5" s="744">
        <v>153</v>
      </c>
      <c r="I5" s="744">
        <v>153</v>
      </c>
      <c r="J5" s="744">
        <v>164</v>
      </c>
      <c r="K5" s="744">
        <v>131</v>
      </c>
      <c r="L5" s="744">
        <v>152</v>
      </c>
      <c r="M5" s="744">
        <v>131</v>
      </c>
      <c r="N5" s="744">
        <v>157</v>
      </c>
      <c r="O5" s="744">
        <v>131</v>
      </c>
      <c r="P5" s="744">
        <v>140</v>
      </c>
      <c r="Q5" s="744">
        <v>350</v>
      </c>
      <c r="R5" s="744">
        <v>350</v>
      </c>
      <c r="S5" s="744">
        <v>185</v>
      </c>
      <c r="T5" s="744">
        <v>188</v>
      </c>
      <c r="U5" s="744">
        <v>185</v>
      </c>
      <c r="V5" s="744">
        <v>185</v>
      </c>
      <c r="W5" s="744">
        <v>400</v>
      </c>
      <c r="X5" s="744">
        <v>400</v>
      </c>
      <c r="Y5" s="744">
        <v>131</v>
      </c>
      <c r="Z5" s="761">
        <v>145</v>
      </c>
      <c r="AA5" s="744">
        <v>160</v>
      </c>
      <c r="AB5" s="744">
        <v>165</v>
      </c>
      <c r="AC5" s="744">
        <v>260</v>
      </c>
      <c r="AD5" s="744">
        <v>145</v>
      </c>
      <c r="AE5" s="744">
        <v>2900</v>
      </c>
      <c r="AF5" s="744">
        <v>1100</v>
      </c>
      <c r="AG5" s="797">
        <v>21.66</v>
      </c>
      <c r="AH5" s="744">
        <v>8.1999999999999993</v>
      </c>
      <c r="AI5" s="744">
        <v>170</v>
      </c>
      <c r="AJ5" s="744">
        <v>410</v>
      </c>
      <c r="AK5" s="744">
        <v>800</v>
      </c>
      <c r="AL5" s="744">
        <v>2500</v>
      </c>
      <c r="AM5" s="744">
        <v>3500</v>
      </c>
      <c r="AN5" s="744">
        <v>73000</v>
      </c>
      <c r="AO5" s="744">
        <v>293928</v>
      </c>
      <c r="AP5" s="744">
        <v>325</v>
      </c>
      <c r="AQ5" s="666">
        <v>750</v>
      </c>
    </row>
    <row r="6" spans="2:43" x14ac:dyDescent="0.25">
      <c r="B6" s="667" t="s">
        <v>617</v>
      </c>
      <c r="C6" s="789" t="s">
        <v>495</v>
      </c>
      <c r="D6" s="797"/>
      <c r="E6" s="797"/>
      <c r="F6" s="814">
        <v>0.09</v>
      </c>
      <c r="G6" s="797"/>
      <c r="H6" s="814">
        <v>1.7000000000000001E-2</v>
      </c>
      <c r="I6" s="815">
        <v>1.7000000000000001E-2</v>
      </c>
      <c r="J6" s="797"/>
      <c r="K6" s="816">
        <v>0.87</v>
      </c>
      <c r="L6" s="816">
        <v>0.16</v>
      </c>
      <c r="M6" s="797"/>
      <c r="N6" s="797"/>
      <c r="O6" s="816">
        <v>1</v>
      </c>
      <c r="P6" s="816"/>
      <c r="Q6" s="816">
        <v>0.44</v>
      </c>
      <c r="R6" s="811"/>
      <c r="S6" s="818">
        <v>35</v>
      </c>
      <c r="T6" s="814">
        <v>0.25</v>
      </c>
      <c r="U6" s="797"/>
      <c r="V6" s="797"/>
      <c r="W6" s="820">
        <v>1.1299999999999999</v>
      </c>
      <c r="X6" s="797"/>
      <c r="Y6" s="797"/>
      <c r="Z6" s="823">
        <v>-5</v>
      </c>
      <c r="AA6" s="797">
        <v>10</v>
      </c>
      <c r="AB6" s="816">
        <v>0.1</v>
      </c>
      <c r="AC6" s="816">
        <v>0.75</v>
      </c>
      <c r="AD6" s="797"/>
      <c r="AE6" s="746"/>
      <c r="AF6" s="746"/>
      <c r="AG6" s="816"/>
      <c r="AH6" s="811" t="s">
        <v>618</v>
      </c>
      <c r="AI6" s="816"/>
      <c r="AJ6" s="816"/>
      <c r="AK6" s="816"/>
      <c r="AL6" s="816"/>
      <c r="AM6" s="816"/>
      <c r="AN6" s="816"/>
      <c r="AO6" s="746"/>
      <c r="AP6" s="811"/>
      <c r="AQ6" s="19"/>
    </row>
    <row r="7" spans="2:43" x14ac:dyDescent="0.25">
      <c r="B7" s="668" t="s">
        <v>619</v>
      </c>
      <c r="C7" s="790"/>
      <c r="D7" s="752"/>
      <c r="E7" s="811"/>
      <c r="F7" s="811"/>
      <c r="G7" s="811"/>
      <c r="H7" s="811"/>
      <c r="I7" s="811"/>
      <c r="J7" s="811"/>
      <c r="K7" s="811"/>
      <c r="L7" s="811"/>
      <c r="M7" s="811"/>
      <c r="N7" s="811"/>
      <c r="O7" s="811"/>
      <c r="P7" s="811"/>
      <c r="Q7" s="811"/>
      <c r="R7" s="811"/>
      <c r="S7" s="811"/>
      <c r="T7" s="811"/>
      <c r="U7" s="811"/>
      <c r="V7" s="811"/>
      <c r="W7" s="811"/>
      <c r="X7" s="811"/>
      <c r="Y7" s="811"/>
      <c r="Z7" s="29"/>
      <c r="AA7" s="811"/>
      <c r="AB7" s="811"/>
      <c r="AC7" s="811"/>
      <c r="AD7" s="811"/>
      <c r="AE7" s="746"/>
      <c r="AF7" s="746"/>
      <c r="AG7" s="811"/>
      <c r="AH7" s="746"/>
      <c r="AI7" s="811"/>
      <c r="AJ7" s="811"/>
      <c r="AK7" s="811"/>
      <c r="AL7" s="811"/>
      <c r="AM7" s="811"/>
      <c r="AN7" s="811"/>
      <c r="AO7" s="746"/>
      <c r="AP7" s="811"/>
      <c r="AQ7" s="19"/>
    </row>
    <row r="8" spans="2:43" x14ac:dyDescent="0.25">
      <c r="B8" s="668" t="s">
        <v>620</v>
      </c>
      <c r="C8" s="791" t="s">
        <v>539</v>
      </c>
      <c r="D8" s="798">
        <v>8.5063509672239537</v>
      </c>
      <c r="E8" s="812">
        <v>7.7075388092501118</v>
      </c>
      <c r="F8" s="812">
        <v>7.8325805935824544</v>
      </c>
      <c r="G8" s="812">
        <v>7.0970406857451538</v>
      </c>
      <c r="H8" s="812">
        <v>8.337908373813578</v>
      </c>
      <c r="I8" s="812">
        <v>7.5549142783738725</v>
      </c>
      <c r="J8" s="812">
        <v>6.0324845828833809</v>
      </c>
      <c r="K8" s="812">
        <v>7.2730710028018475</v>
      </c>
      <c r="L8" s="812">
        <v>6.7470533314323795</v>
      </c>
      <c r="M8" s="812">
        <v>5.9018484285636061</v>
      </c>
      <c r="N8" s="812">
        <v>5.7459287538363872</v>
      </c>
      <c r="O8" s="812">
        <v>5.5695328129586672</v>
      </c>
      <c r="P8" s="812">
        <v>6.6</v>
      </c>
      <c r="Q8" s="812">
        <v>3.4319018259563974</v>
      </c>
      <c r="R8" s="812">
        <v>2.2307361868716584</v>
      </c>
      <c r="S8" s="812">
        <v>3.99315</v>
      </c>
      <c r="T8" s="812">
        <v>3.6128499999999999</v>
      </c>
      <c r="U8" s="812">
        <v>3.6128499999999999</v>
      </c>
      <c r="V8" s="812">
        <v>3.7433333333333327</v>
      </c>
      <c r="W8" s="812">
        <v>1.75</v>
      </c>
      <c r="X8" s="812">
        <v>2.25</v>
      </c>
      <c r="Y8" s="812">
        <v>4.7214787428508851</v>
      </c>
      <c r="Z8" s="29">
        <v>4.5</v>
      </c>
      <c r="AA8" s="811">
        <v>5.5</v>
      </c>
      <c r="AB8" s="811">
        <v>7.5</v>
      </c>
      <c r="AC8" s="812">
        <v>3</v>
      </c>
      <c r="AD8" s="811">
        <v>7.5</v>
      </c>
      <c r="AE8" s="811">
        <v>0.4</v>
      </c>
      <c r="AF8" s="811">
        <v>1.3</v>
      </c>
      <c r="AG8" s="812">
        <v>74.571300396037714</v>
      </c>
      <c r="AH8" s="811">
        <v>1500</v>
      </c>
      <c r="AI8" s="812">
        <v>46.325000000000003</v>
      </c>
      <c r="AJ8" s="812">
        <v>12</v>
      </c>
      <c r="AK8" s="809">
        <v>25</v>
      </c>
      <c r="AL8" s="809">
        <v>7.5</v>
      </c>
      <c r="AM8" s="809">
        <v>30</v>
      </c>
      <c r="AN8" s="809">
        <v>1</v>
      </c>
      <c r="AO8" s="809">
        <v>1</v>
      </c>
      <c r="AP8" s="811">
        <v>42</v>
      </c>
      <c r="AQ8" s="19">
        <v>9.5</v>
      </c>
    </row>
    <row r="9" spans="2:43" x14ac:dyDescent="0.25">
      <c r="B9" s="667" t="s">
        <v>621</v>
      </c>
      <c r="C9" s="791" t="s">
        <v>539</v>
      </c>
      <c r="D9" s="799">
        <v>0.15</v>
      </c>
      <c r="E9" s="799">
        <v>0.15</v>
      </c>
      <c r="F9" s="799">
        <v>0.15</v>
      </c>
      <c r="G9" s="799">
        <v>0.15</v>
      </c>
      <c r="H9" s="799">
        <v>0.15</v>
      </c>
      <c r="I9" s="799">
        <v>0.15</v>
      </c>
      <c r="J9" s="799">
        <v>0.15</v>
      </c>
      <c r="K9" s="799">
        <v>0.2</v>
      </c>
      <c r="L9" s="799">
        <v>0.2</v>
      </c>
      <c r="M9" s="799">
        <v>0.2</v>
      </c>
      <c r="N9" s="799">
        <v>0.2</v>
      </c>
      <c r="O9" s="799">
        <v>0.2</v>
      </c>
      <c r="P9" s="799"/>
      <c r="Q9" s="799">
        <v>0.05</v>
      </c>
      <c r="R9" s="799">
        <v>0.05</v>
      </c>
      <c r="S9" s="799">
        <v>0.05</v>
      </c>
      <c r="T9" s="799">
        <v>0.05</v>
      </c>
      <c r="U9" s="799">
        <v>0.05</v>
      </c>
      <c r="V9" s="799">
        <v>0.05</v>
      </c>
      <c r="W9" s="799">
        <v>0.05</v>
      </c>
      <c r="X9" s="799">
        <v>0.05</v>
      </c>
      <c r="Y9" s="799">
        <v>0.2</v>
      </c>
      <c r="Z9" s="824">
        <v>0.15</v>
      </c>
      <c r="AA9" s="799">
        <v>0.15</v>
      </c>
      <c r="AB9" s="799">
        <v>0.15</v>
      </c>
      <c r="AC9" s="799">
        <v>0.05</v>
      </c>
      <c r="AD9" s="799">
        <v>0.05</v>
      </c>
      <c r="AE9" s="799">
        <v>0.05</v>
      </c>
      <c r="AF9" s="799">
        <v>0.15</v>
      </c>
      <c r="AG9" s="799">
        <v>0.1</v>
      </c>
      <c r="AH9" s="799">
        <v>0.1</v>
      </c>
      <c r="AI9" s="799">
        <v>0.1</v>
      </c>
      <c r="AJ9" s="799">
        <v>0.15</v>
      </c>
      <c r="AK9" s="799">
        <v>0.15</v>
      </c>
      <c r="AL9" s="799">
        <v>0.15</v>
      </c>
      <c r="AM9" s="799">
        <v>0.15</v>
      </c>
      <c r="AN9" s="799">
        <v>0.2</v>
      </c>
      <c r="AO9" s="799">
        <v>0.2</v>
      </c>
      <c r="AP9" s="811"/>
      <c r="AQ9" s="19"/>
    </row>
    <row r="10" spans="2:43" x14ac:dyDescent="0.25">
      <c r="B10" s="667" t="s">
        <v>622</v>
      </c>
      <c r="C10" s="791" t="s">
        <v>539</v>
      </c>
      <c r="D10" s="799">
        <v>0.04</v>
      </c>
      <c r="E10" s="799">
        <v>0.04</v>
      </c>
      <c r="F10" s="799">
        <v>0.04</v>
      </c>
      <c r="G10" s="799">
        <v>0.04</v>
      </c>
      <c r="H10" s="799">
        <v>0.04</v>
      </c>
      <c r="I10" s="799">
        <v>0.04</v>
      </c>
      <c r="J10" s="799">
        <v>0.04</v>
      </c>
      <c r="K10" s="799">
        <v>7.0000000000000007E-2</v>
      </c>
      <c r="L10" s="799">
        <v>7.0000000000000007E-2</v>
      </c>
      <c r="M10" s="799">
        <v>7.0000000000000007E-2</v>
      </c>
      <c r="N10" s="799">
        <v>7.0000000000000007E-2</v>
      </c>
      <c r="O10" s="799">
        <v>7.0000000000000007E-2</v>
      </c>
      <c r="P10" s="799"/>
      <c r="Q10" s="799">
        <v>0.05</v>
      </c>
      <c r="R10" s="799">
        <v>0.05</v>
      </c>
      <c r="S10" s="799">
        <v>0.05</v>
      </c>
      <c r="T10" s="799">
        <v>0.05</v>
      </c>
      <c r="U10" s="799">
        <v>0.05</v>
      </c>
      <c r="V10" s="799">
        <v>0.05</v>
      </c>
      <c r="W10" s="799">
        <v>0.05</v>
      </c>
      <c r="X10" s="799">
        <v>0.05</v>
      </c>
      <c r="Y10" s="799">
        <v>7.0000000000000007E-2</v>
      </c>
      <c r="Z10" s="824">
        <v>0.04</v>
      </c>
      <c r="AA10" s="799">
        <v>0.04</v>
      </c>
      <c r="AB10" s="799">
        <v>7.0000000000000007E-2</v>
      </c>
      <c r="AC10" s="799">
        <v>0.05</v>
      </c>
      <c r="AD10" s="799">
        <v>0.05</v>
      </c>
      <c r="AE10" s="799">
        <v>0.05</v>
      </c>
      <c r="AF10" s="799">
        <v>0.04</v>
      </c>
      <c r="AG10" s="799">
        <v>0.1</v>
      </c>
      <c r="AH10" s="799">
        <v>0.1</v>
      </c>
      <c r="AI10" s="799">
        <v>0.1</v>
      </c>
      <c r="AJ10" s="799">
        <v>0.15</v>
      </c>
      <c r="AK10" s="799">
        <v>0.15</v>
      </c>
      <c r="AL10" s="799">
        <v>0.15</v>
      </c>
      <c r="AM10" s="799">
        <v>0.15</v>
      </c>
      <c r="AN10" s="799">
        <v>0.2</v>
      </c>
      <c r="AO10" s="799">
        <v>0.2</v>
      </c>
      <c r="AP10" s="811"/>
      <c r="AQ10" s="19"/>
    </row>
    <row r="11" spans="2:43" x14ac:dyDescent="0.25">
      <c r="B11" s="667" t="s">
        <v>623</v>
      </c>
      <c r="C11" s="791" t="s">
        <v>539</v>
      </c>
      <c r="D11" s="800">
        <v>0.105</v>
      </c>
      <c r="E11" s="800">
        <v>0.105</v>
      </c>
      <c r="F11" s="800">
        <v>0.105</v>
      </c>
      <c r="G11" s="800">
        <v>0.105</v>
      </c>
      <c r="H11" s="800">
        <v>0.105</v>
      </c>
      <c r="I11" s="800">
        <v>0.105</v>
      </c>
      <c r="J11" s="800">
        <v>0.105</v>
      </c>
      <c r="K11" s="800">
        <v>0.105</v>
      </c>
      <c r="L11" s="800">
        <v>0.105</v>
      </c>
      <c r="M11" s="800">
        <v>0.105</v>
      </c>
      <c r="N11" s="800">
        <v>0.105</v>
      </c>
      <c r="O11" s="800">
        <v>0.105</v>
      </c>
      <c r="P11" s="800"/>
      <c r="Q11" s="800">
        <v>0.105</v>
      </c>
      <c r="R11" s="800">
        <v>0.105</v>
      </c>
      <c r="S11" s="800">
        <v>0.105</v>
      </c>
      <c r="T11" s="800">
        <v>0.105</v>
      </c>
      <c r="U11" s="800">
        <v>0.105</v>
      </c>
      <c r="V11" s="800">
        <v>0.105</v>
      </c>
      <c r="W11" s="800">
        <v>0.105</v>
      </c>
      <c r="X11" s="800">
        <v>0.105</v>
      </c>
      <c r="Y11" s="800">
        <v>0.105</v>
      </c>
      <c r="Z11" s="825">
        <v>0.105</v>
      </c>
      <c r="AA11" s="800">
        <v>0.105</v>
      </c>
      <c r="AB11" s="800">
        <v>0.105</v>
      </c>
      <c r="AC11" s="800">
        <v>0.105</v>
      </c>
      <c r="AD11" s="800">
        <v>0.105</v>
      </c>
      <c r="AE11" s="800">
        <v>0.105</v>
      </c>
      <c r="AF11" s="800">
        <v>0.105</v>
      </c>
      <c r="AG11" s="800">
        <v>0.26</v>
      </c>
      <c r="AH11" s="800">
        <v>0.105</v>
      </c>
      <c r="AI11" s="800">
        <v>0.26</v>
      </c>
      <c r="AJ11" s="800"/>
      <c r="AK11" s="800"/>
      <c r="AL11" s="800"/>
      <c r="AM11" s="800"/>
      <c r="AN11" s="800"/>
      <c r="AO11" s="800"/>
      <c r="AP11" s="811"/>
      <c r="AQ11" s="19"/>
    </row>
    <row r="12" spans="2:43" x14ac:dyDescent="0.25">
      <c r="B12" s="667" t="s">
        <v>411</v>
      </c>
      <c r="C12" s="791" t="s">
        <v>539</v>
      </c>
      <c r="D12" s="799">
        <v>0.3</v>
      </c>
      <c r="E12" s="799">
        <v>0.3</v>
      </c>
      <c r="F12" s="799">
        <v>0.3</v>
      </c>
      <c r="G12" s="799">
        <v>0.3</v>
      </c>
      <c r="H12" s="799">
        <v>0.3</v>
      </c>
      <c r="I12" s="799">
        <v>0.3</v>
      </c>
      <c r="J12" s="799">
        <v>0.3</v>
      </c>
      <c r="K12" s="799">
        <v>0.3</v>
      </c>
      <c r="L12" s="799">
        <v>0.3</v>
      </c>
      <c r="M12" s="799">
        <v>0.3</v>
      </c>
      <c r="N12" s="799">
        <v>0.3</v>
      </c>
      <c r="O12" s="799">
        <v>0.3</v>
      </c>
      <c r="P12" s="799"/>
      <c r="Q12" s="799">
        <v>0.15</v>
      </c>
      <c r="R12" s="799">
        <v>0.2</v>
      </c>
      <c r="S12" s="799">
        <v>0.15</v>
      </c>
      <c r="T12" s="799">
        <v>0.15</v>
      </c>
      <c r="U12" s="799">
        <v>0.15</v>
      </c>
      <c r="V12" s="799">
        <v>0.15</v>
      </c>
      <c r="W12" s="799">
        <v>0.15</v>
      </c>
      <c r="X12" s="799">
        <v>0.15</v>
      </c>
      <c r="Y12" s="800"/>
      <c r="Z12" s="825"/>
      <c r="AA12" s="800"/>
      <c r="AB12" s="800"/>
      <c r="AC12" s="800"/>
      <c r="AD12" s="800"/>
      <c r="AE12" s="800"/>
      <c r="AF12" s="800"/>
      <c r="AG12" s="800"/>
      <c r="AH12" s="800"/>
      <c r="AI12" s="800"/>
      <c r="AJ12" s="800"/>
      <c r="AK12" s="800"/>
      <c r="AL12" s="800"/>
      <c r="AM12" s="800"/>
      <c r="AN12" s="800"/>
      <c r="AO12" s="800"/>
      <c r="AP12" s="811"/>
      <c r="AQ12" s="19"/>
    </row>
    <row r="13" spans="2:43" x14ac:dyDescent="0.25">
      <c r="B13" s="667" t="s">
        <v>415</v>
      </c>
      <c r="C13" s="791" t="s">
        <v>539</v>
      </c>
      <c r="D13" s="799">
        <v>0.2</v>
      </c>
      <c r="E13" s="799">
        <v>0.2</v>
      </c>
      <c r="F13" s="799">
        <v>0.2</v>
      </c>
      <c r="G13" s="799">
        <v>0.2</v>
      </c>
      <c r="H13" s="799">
        <v>0.2</v>
      </c>
      <c r="I13" s="799">
        <v>0.2</v>
      </c>
      <c r="J13" s="799">
        <v>0.2</v>
      </c>
      <c r="K13" s="799">
        <v>0.2</v>
      </c>
      <c r="L13" s="799">
        <v>0.2</v>
      </c>
      <c r="M13" s="799">
        <v>0.2</v>
      </c>
      <c r="N13" s="799">
        <v>0.2</v>
      </c>
      <c r="O13" s="799">
        <v>0.2</v>
      </c>
      <c r="P13" s="799"/>
      <c r="Q13" s="799">
        <v>0.1</v>
      </c>
      <c r="R13" s="799">
        <v>0.1</v>
      </c>
      <c r="S13" s="799">
        <v>0.1</v>
      </c>
      <c r="T13" s="799">
        <v>0.1</v>
      </c>
      <c r="U13" s="799">
        <v>0.1</v>
      </c>
      <c r="V13" s="799">
        <v>0.1</v>
      </c>
      <c r="W13" s="799">
        <v>0.1</v>
      </c>
      <c r="X13" s="799">
        <v>0.1</v>
      </c>
      <c r="Y13" s="800"/>
      <c r="Z13" s="825"/>
      <c r="AA13" s="800"/>
      <c r="AB13" s="800"/>
      <c r="AC13" s="800"/>
      <c r="AD13" s="800"/>
      <c r="AE13" s="800"/>
      <c r="AF13" s="800"/>
      <c r="AG13" s="800"/>
      <c r="AH13" s="800"/>
      <c r="AI13" s="800"/>
      <c r="AJ13" s="800"/>
      <c r="AK13" s="800"/>
      <c r="AL13" s="800"/>
      <c r="AM13" s="800"/>
      <c r="AN13" s="800"/>
      <c r="AO13" s="800"/>
      <c r="AP13" s="811"/>
      <c r="AQ13" s="19"/>
    </row>
    <row r="14" spans="2:43" x14ac:dyDescent="0.25">
      <c r="B14" s="670" t="s">
        <v>412</v>
      </c>
      <c r="C14" s="791" t="s">
        <v>539</v>
      </c>
      <c r="D14" s="801">
        <v>7.25</v>
      </c>
      <c r="E14" s="801">
        <v>6.5</v>
      </c>
      <c r="F14" s="801">
        <v>6.75</v>
      </c>
      <c r="G14" s="801">
        <v>6</v>
      </c>
      <c r="H14" s="801">
        <v>7</v>
      </c>
      <c r="I14" s="801">
        <v>6.5</v>
      </c>
      <c r="J14" s="801">
        <v>5.25</v>
      </c>
      <c r="K14" s="801">
        <v>5.75</v>
      </c>
      <c r="L14" s="801">
        <v>5.5</v>
      </c>
      <c r="M14" s="801">
        <v>4.75</v>
      </c>
      <c r="N14" s="801">
        <v>4.5</v>
      </c>
      <c r="O14" s="801">
        <v>4.5</v>
      </c>
      <c r="P14" s="801"/>
      <c r="Q14" s="801">
        <v>3.25</v>
      </c>
      <c r="R14" s="801">
        <v>2</v>
      </c>
      <c r="S14" s="801">
        <v>3.75</v>
      </c>
      <c r="T14" s="801">
        <v>3.5</v>
      </c>
      <c r="U14" s="801">
        <v>3.5</v>
      </c>
      <c r="V14" s="801">
        <v>3.5</v>
      </c>
      <c r="W14" s="801">
        <v>1.75</v>
      </c>
      <c r="X14" s="801">
        <v>2.25</v>
      </c>
      <c r="Y14" s="801">
        <v>3.75</v>
      </c>
      <c r="Z14" s="826">
        <v>3.75</v>
      </c>
      <c r="AA14" s="801">
        <v>4.75</v>
      </c>
      <c r="AB14" s="801">
        <v>6.5</v>
      </c>
      <c r="AC14" s="801">
        <v>2.75</v>
      </c>
      <c r="AD14" s="801">
        <v>7.25</v>
      </c>
      <c r="AE14" s="801">
        <v>0.5</v>
      </c>
      <c r="AF14" s="801">
        <v>1</v>
      </c>
      <c r="AG14" s="801">
        <v>67</v>
      </c>
      <c r="AH14" s="833">
        <v>1350</v>
      </c>
      <c r="AI14" s="801">
        <v>41.75</v>
      </c>
      <c r="AJ14" s="801">
        <v>10.25</v>
      </c>
      <c r="AK14" s="801">
        <v>21.25</v>
      </c>
      <c r="AL14" s="801">
        <v>6.375</v>
      </c>
      <c r="AM14" s="801">
        <v>25.5</v>
      </c>
      <c r="AN14" s="801">
        <v>0.8</v>
      </c>
      <c r="AO14" s="801">
        <v>0.8</v>
      </c>
      <c r="AP14" s="834"/>
      <c r="AQ14" s="671"/>
    </row>
    <row r="15" spans="2:43" x14ac:dyDescent="0.25">
      <c r="B15" s="670" t="s">
        <v>414</v>
      </c>
      <c r="C15" s="791" t="s">
        <v>539</v>
      </c>
      <c r="D15" s="801">
        <v>8.75</v>
      </c>
      <c r="E15" s="801">
        <v>8</v>
      </c>
      <c r="F15" s="801">
        <v>8.25</v>
      </c>
      <c r="G15" s="801">
        <v>7.5</v>
      </c>
      <c r="H15" s="801">
        <v>8.75</v>
      </c>
      <c r="I15" s="801">
        <v>7.75</v>
      </c>
      <c r="J15" s="801">
        <v>6.25</v>
      </c>
      <c r="K15" s="801">
        <v>7.75</v>
      </c>
      <c r="L15" s="801">
        <v>7.25</v>
      </c>
      <c r="M15" s="801">
        <v>6.25</v>
      </c>
      <c r="N15" s="801">
        <v>6.25</v>
      </c>
      <c r="O15" s="801">
        <v>6</v>
      </c>
      <c r="P15" s="801"/>
      <c r="Q15" s="801">
        <v>3.5</v>
      </c>
      <c r="R15" s="801">
        <v>2.25</v>
      </c>
      <c r="S15" s="801">
        <v>4.25</v>
      </c>
      <c r="T15" s="801">
        <v>3.75</v>
      </c>
      <c r="U15" s="801">
        <v>3.75</v>
      </c>
      <c r="V15" s="801">
        <v>4</v>
      </c>
      <c r="W15" s="801">
        <v>1.75</v>
      </c>
      <c r="X15" s="801">
        <v>2.25</v>
      </c>
      <c r="Y15" s="801">
        <v>5</v>
      </c>
      <c r="Z15" s="826">
        <v>4.75</v>
      </c>
      <c r="AA15" s="801">
        <v>5.75</v>
      </c>
      <c r="AB15" s="801">
        <v>8</v>
      </c>
      <c r="AC15" s="801">
        <v>3.25</v>
      </c>
      <c r="AD15" s="801">
        <v>8</v>
      </c>
      <c r="AE15" s="801">
        <v>0.5</v>
      </c>
      <c r="AF15" s="801">
        <v>1.25</v>
      </c>
      <c r="AG15" s="801">
        <v>82</v>
      </c>
      <c r="AH15" s="833">
        <v>1650</v>
      </c>
      <c r="AI15" s="801">
        <v>51</v>
      </c>
      <c r="AJ15" s="801">
        <v>13.75</v>
      </c>
      <c r="AK15" s="801">
        <v>28.749999999999996</v>
      </c>
      <c r="AL15" s="801">
        <v>8.625</v>
      </c>
      <c r="AM15" s="801">
        <v>34.5</v>
      </c>
      <c r="AN15" s="801">
        <v>1.2000000000000002</v>
      </c>
      <c r="AO15" s="801">
        <v>1.2000000000000002</v>
      </c>
      <c r="AP15" s="834"/>
      <c r="AQ15" s="671"/>
    </row>
    <row r="16" spans="2:43" x14ac:dyDescent="0.25">
      <c r="B16" s="670" t="s">
        <v>624</v>
      </c>
      <c r="C16" s="791" t="s">
        <v>539</v>
      </c>
      <c r="D16" s="801">
        <v>6</v>
      </c>
      <c r="E16" s="801">
        <v>5.5</v>
      </c>
      <c r="F16" s="801">
        <v>5.5</v>
      </c>
      <c r="G16" s="801">
        <v>5</v>
      </c>
      <c r="H16" s="801">
        <v>5.75</v>
      </c>
      <c r="I16" s="801">
        <v>5.25</v>
      </c>
      <c r="J16" s="801">
        <v>4.25</v>
      </c>
      <c r="K16" s="801">
        <v>5</v>
      </c>
      <c r="L16" s="801">
        <v>4.75</v>
      </c>
      <c r="M16" s="801">
        <v>4.25</v>
      </c>
      <c r="N16" s="801">
        <v>4</v>
      </c>
      <c r="O16" s="801">
        <v>4</v>
      </c>
      <c r="P16" s="801"/>
      <c r="Q16" s="801">
        <v>3</v>
      </c>
      <c r="R16" s="801">
        <v>1.75</v>
      </c>
      <c r="S16" s="801">
        <v>3.5</v>
      </c>
      <c r="T16" s="801">
        <v>3</v>
      </c>
      <c r="U16" s="801">
        <v>3</v>
      </c>
      <c r="V16" s="801">
        <v>3.25</v>
      </c>
      <c r="W16" s="801">
        <v>1.5</v>
      </c>
      <c r="X16" s="801">
        <v>2</v>
      </c>
      <c r="Y16" s="801"/>
      <c r="Z16" s="826"/>
      <c r="AA16" s="801"/>
      <c r="AB16" s="801"/>
      <c r="AC16" s="801"/>
      <c r="AD16" s="801"/>
      <c r="AE16" s="801"/>
      <c r="AF16" s="801"/>
      <c r="AG16" s="801"/>
      <c r="AH16" s="833"/>
      <c r="AI16" s="801"/>
      <c r="AJ16" s="801"/>
      <c r="AK16" s="801"/>
      <c r="AL16" s="801"/>
      <c r="AM16" s="801"/>
      <c r="AN16" s="801"/>
      <c r="AO16" s="801"/>
      <c r="AP16" s="834"/>
      <c r="AQ16" s="671"/>
    </row>
    <row r="17" spans="2:43" x14ac:dyDescent="0.25">
      <c r="B17" s="670" t="s">
        <v>415</v>
      </c>
      <c r="C17" s="791" t="s">
        <v>539</v>
      </c>
      <c r="D17" s="801">
        <v>10.25</v>
      </c>
      <c r="E17" s="801">
        <v>9.25</v>
      </c>
      <c r="F17" s="801">
        <v>9.5</v>
      </c>
      <c r="G17" s="801">
        <v>8.5</v>
      </c>
      <c r="H17" s="801">
        <v>10</v>
      </c>
      <c r="I17" s="801">
        <v>9</v>
      </c>
      <c r="J17" s="801">
        <v>7.25</v>
      </c>
      <c r="K17" s="801">
        <v>8.75</v>
      </c>
      <c r="L17" s="801">
        <v>8</v>
      </c>
      <c r="M17" s="801">
        <v>7</v>
      </c>
      <c r="N17" s="801">
        <v>7</v>
      </c>
      <c r="O17" s="801">
        <v>6.75</v>
      </c>
      <c r="P17" s="801"/>
      <c r="Q17" s="801">
        <v>3.75</v>
      </c>
      <c r="R17" s="801">
        <v>2.5</v>
      </c>
      <c r="S17" s="801">
        <v>4.5</v>
      </c>
      <c r="T17" s="801">
        <v>4</v>
      </c>
      <c r="U17" s="801">
        <v>4</v>
      </c>
      <c r="V17" s="801">
        <v>4</v>
      </c>
      <c r="W17" s="801">
        <v>2</v>
      </c>
      <c r="X17" s="801">
        <v>2.5</v>
      </c>
      <c r="Y17" s="801"/>
      <c r="Z17" s="826"/>
      <c r="AA17" s="801"/>
      <c r="AB17" s="801"/>
      <c r="AC17" s="801"/>
      <c r="AD17" s="801"/>
      <c r="AE17" s="801"/>
      <c r="AF17" s="801"/>
      <c r="AG17" s="801"/>
      <c r="AH17" s="833"/>
      <c r="AI17" s="801"/>
      <c r="AJ17" s="801"/>
      <c r="AK17" s="801"/>
      <c r="AL17" s="801"/>
      <c r="AM17" s="801"/>
      <c r="AN17" s="801"/>
      <c r="AO17" s="801"/>
      <c r="AP17" s="834"/>
      <c r="AQ17" s="671"/>
    </row>
    <row r="18" spans="2:43" x14ac:dyDescent="0.25">
      <c r="B18" s="667"/>
      <c r="C18" s="789"/>
      <c r="D18" s="798"/>
      <c r="E18" s="812"/>
      <c r="F18" s="812"/>
      <c r="G18" s="812"/>
      <c r="H18" s="812"/>
      <c r="I18" s="812"/>
      <c r="J18" s="812"/>
      <c r="K18" s="812"/>
      <c r="L18" s="812"/>
      <c r="M18" s="812"/>
      <c r="N18" s="812"/>
      <c r="O18" s="812"/>
      <c r="P18" s="812"/>
      <c r="Q18" s="812"/>
      <c r="R18" s="812"/>
      <c r="S18" s="812"/>
      <c r="T18" s="812"/>
      <c r="U18" s="812"/>
      <c r="V18" s="812"/>
      <c r="W18" s="812"/>
      <c r="X18" s="812"/>
      <c r="Y18" s="756"/>
      <c r="Z18" s="29"/>
      <c r="AA18" s="811"/>
      <c r="AB18" s="811"/>
      <c r="AC18" s="811"/>
      <c r="AD18" s="812"/>
      <c r="AE18" s="746"/>
      <c r="AF18" s="746"/>
      <c r="AG18" s="812"/>
      <c r="AH18" s="746"/>
      <c r="AI18" s="812"/>
      <c r="AJ18" s="812"/>
      <c r="AK18" s="811"/>
      <c r="AL18" s="746"/>
      <c r="AM18" s="811"/>
      <c r="AN18" s="746"/>
      <c r="AO18" s="746"/>
      <c r="AP18" s="811"/>
      <c r="AQ18" s="19"/>
    </row>
    <row r="19" spans="2:43" x14ac:dyDescent="0.25">
      <c r="B19" s="667" t="s">
        <v>625</v>
      </c>
      <c r="C19" s="791" t="s">
        <v>539</v>
      </c>
      <c r="D19" s="802">
        <v>4.3</v>
      </c>
      <c r="E19" s="802">
        <v>4.3</v>
      </c>
      <c r="F19" s="802">
        <v>4.3</v>
      </c>
      <c r="G19" s="802">
        <v>4.3</v>
      </c>
      <c r="H19" s="802">
        <v>4.3</v>
      </c>
      <c r="I19" s="802">
        <v>4.3</v>
      </c>
      <c r="J19" s="802">
        <v>4.3</v>
      </c>
      <c r="K19" s="802">
        <v>3.6</v>
      </c>
      <c r="L19" s="802">
        <v>3.6</v>
      </c>
      <c r="M19" s="802">
        <v>3.6</v>
      </c>
      <c r="N19" s="802">
        <v>3.6</v>
      </c>
      <c r="O19" s="802">
        <v>3.4</v>
      </c>
      <c r="P19" s="802"/>
      <c r="Q19" s="812">
        <v>0</v>
      </c>
      <c r="R19" s="812">
        <v>0</v>
      </c>
      <c r="S19" s="812">
        <v>0</v>
      </c>
      <c r="T19" s="812">
        <v>0</v>
      </c>
      <c r="U19" s="812">
        <v>0</v>
      </c>
      <c r="V19" s="812">
        <v>0</v>
      </c>
      <c r="W19" s="812">
        <v>0</v>
      </c>
      <c r="X19" s="812">
        <v>0</v>
      </c>
      <c r="Y19" s="812">
        <v>2.7</v>
      </c>
      <c r="Z19" s="24">
        <v>4.3</v>
      </c>
      <c r="AA19" s="812">
        <v>4.3</v>
      </c>
      <c r="AB19" s="812"/>
      <c r="AC19" s="812"/>
      <c r="AD19" s="812"/>
      <c r="AE19" s="746"/>
      <c r="AF19" s="746"/>
      <c r="AG19" s="812"/>
      <c r="AH19" s="746"/>
      <c r="AI19" s="812"/>
      <c r="AJ19" s="812"/>
      <c r="AK19" s="811"/>
      <c r="AL19" s="746"/>
      <c r="AM19" s="811"/>
      <c r="AN19" s="746"/>
      <c r="AO19" s="746"/>
      <c r="AP19" s="811"/>
      <c r="AQ19" s="19"/>
    </row>
    <row r="20" spans="2:43" x14ac:dyDescent="0.25">
      <c r="B20" s="670" t="s">
        <v>626</v>
      </c>
      <c r="C20" s="791" t="s">
        <v>495</v>
      </c>
      <c r="D20" s="802">
        <v>48</v>
      </c>
      <c r="E20" s="802">
        <v>48</v>
      </c>
      <c r="F20" s="802">
        <v>48</v>
      </c>
      <c r="G20" s="802">
        <v>48</v>
      </c>
      <c r="H20" s="802">
        <v>48</v>
      </c>
      <c r="I20" s="802">
        <v>48</v>
      </c>
      <c r="J20" s="802">
        <v>48</v>
      </c>
      <c r="K20" s="802">
        <v>57</v>
      </c>
      <c r="L20" s="802">
        <v>57</v>
      </c>
      <c r="M20" s="802">
        <v>57</v>
      </c>
      <c r="N20" s="802">
        <v>57</v>
      </c>
      <c r="O20" s="802">
        <v>57</v>
      </c>
      <c r="P20" s="802"/>
      <c r="Q20" s="812">
        <v>0</v>
      </c>
      <c r="R20" s="812">
        <v>0</v>
      </c>
      <c r="S20" s="812">
        <v>0</v>
      </c>
      <c r="T20" s="812">
        <v>0</v>
      </c>
      <c r="U20" s="812">
        <v>0</v>
      </c>
      <c r="V20" s="812">
        <v>0</v>
      </c>
      <c r="W20" s="812">
        <v>0</v>
      </c>
      <c r="X20" s="812">
        <v>0</v>
      </c>
      <c r="Y20" s="812">
        <v>68.399999999999991</v>
      </c>
      <c r="Z20" s="24">
        <v>48</v>
      </c>
      <c r="AA20" s="812">
        <v>48</v>
      </c>
      <c r="AB20" s="812"/>
      <c r="AC20" s="812"/>
      <c r="AD20" s="812"/>
      <c r="AE20" s="746"/>
      <c r="AF20" s="746"/>
      <c r="AG20" s="812"/>
      <c r="AH20" s="746"/>
      <c r="AI20" s="812"/>
      <c r="AJ20" s="812"/>
      <c r="AK20" s="811"/>
      <c r="AL20" s="746"/>
      <c r="AM20" s="811"/>
      <c r="AN20" s="746"/>
      <c r="AO20" s="746"/>
      <c r="AP20" s="811"/>
      <c r="AQ20" s="19"/>
    </row>
    <row r="21" spans="2:43" x14ac:dyDescent="0.25">
      <c r="B21" s="667" t="s">
        <v>627</v>
      </c>
      <c r="C21" s="789" t="s">
        <v>449</v>
      </c>
      <c r="D21" s="803">
        <v>0.83</v>
      </c>
      <c r="E21" s="803">
        <v>0.83</v>
      </c>
      <c r="F21" s="803">
        <v>0.83</v>
      </c>
      <c r="G21" s="803">
        <v>0.83</v>
      </c>
      <c r="H21" s="803">
        <v>0.83</v>
      </c>
      <c r="I21" s="803">
        <v>0.83</v>
      </c>
      <c r="J21" s="803">
        <v>0.83</v>
      </c>
      <c r="K21" s="803">
        <v>0.89</v>
      </c>
      <c r="L21" s="803">
        <v>0.89</v>
      </c>
      <c r="M21" s="803">
        <v>0.96</v>
      </c>
      <c r="N21" s="803">
        <v>0.96</v>
      </c>
      <c r="O21" s="803">
        <v>0.96</v>
      </c>
      <c r="P21" s="803"/>
      <c r="Q21" s="803">
        <v>0</v>
      </c>
      <c r="R21" s="803">
        <v>0</v>
      </c>
      <c r="S21" s="803">
        <v>0</v>
      </c>
      <c r="T21" s="803">
        <v>0</v>
      </c>
      <c r="U21" s="803">
        <v>0</v>
      </c>
      <c r="V21" s="803">
        <v>0</v>
      </c>
      <c r="W21" s="803">
        <v>0</v>
      </c>
      <c r="X21" s="803">
        <v>0</v>
      </c>
      <c r="Y21" s="803">
        <v>0</v>
      </c>
      <c r="Z21" s="827">
        <v>0.83</v>
      </c>
      <c r="AA21" s="803">
        <v>0.83</v>
      </c>
      <c r="AB21" s="812"/>
      <c r="AC21" s="812"/>
      <c r="AD21" s="812"/>
      <c r="AE21" s="746"/>
      <c r="AF21" s="746"/>
      <c r="AG21" s="803"/>
      <c r="AH21" s="746"/>
      <c r="AI21" s="803"/>
      <c r="AJ21" s="803"/>
      <c r="AK21" s="811"/>
      <c r="AL21" s="746"/>
      <c r="AM21" s="811"/>
      <c r="AN21" s="746"/>
      <c r="AO21" s="746"/>
      <c r="AP21" s="811"/>
      <c r="AQ21" s="19"/>
    </row>
    <row r="22" spans="2:43" x14ac:dyDescent="0.25">
      <c r="B22" s="673" t="s">
        <v>628</v>
      </c>
      <c r="C22" s="792" t="s">
        <v>425</v>
      </c>
      <c r="D22" s="804">
        <v>1258.8119999999999</v>
      </c>
      <c r="E22" s="804">
        <v>1146.3119999999999</v>
      </c>
      <c r="F22" s="804">
        <v>1278.3119999999999</v>
      </c>
      <c r="G22" s="804">
        <v>1155.3119999999999</v>
      </c>
      <c r="H22" s="804">
        <v>1242.3119999999999</v>
      </c>
      <c r="I22" s="804">
        <v>1165.8119999999999</v>
      </c>
      <c r="J22" s="804">
        <v>1032.3119999999999</v>
      </c>
      <c r="K22" s="804">
        <v>935.87800000000004</v>
      </c>
      <c r="L22" s="804">
        <v>1018.628</v>
      </c>
      <c r="M22" s="804">
        <v>819.24199999999996</v>
      </c>
      <c r="N22" s="804">
        <v>903.49199999999996</v>
      </c>
      <c r="O22" s="804">
        <v>775.548</v>
      </c>
      <c r="P22" s="804"/>
      <c r="Q22" s="804">
        <v>1137.5</v>
      </c>
      <c r="R22" s="804">
        <v>700</v>
      </c>
      <c r="S22" s="804">
        <v>693.75</v>
      </c>
      <c r="T22" s="804">
        <v>658</v>
      </c>
      <c r="U22" s="804">
        <v>647.5</v>
      </c>
      <c r="V22" s="804">
        <v>647.5</v>
      </c>
      <c r="W22" s="804">
        <v>700</v>
      </c>
      <c r="X22" s="804">
        <v>900</v>
      </c>
      <c r="Y22" s="804">
        <v>491.25</v>
      </c>
      <c r="Z22" s="88">
        <v>715.06200000000001</v>
      </c>
      <c r="AA22" s="804">
        <v>931.31200000000001</v>
      </c>
      <c r="AB22" s="804">
        <v>1072.5</v>
      </c>
      <c r="AC22" s="804">
        <v>715</v>
      </c>
      <c r="AD22" s="804">
        <v>1051.25</v>
      </c>
      <c r="AE22" s="804">
        <v>1450</v>
      </c>
      <c r="AF22" s="804">
        <v>1100</v>
      </c>
      <c r="AG22" s="804">
        <v>1451.22</v>
      </c>
      <c r="AH22" s="804">
        <v>11069.999999999998</v>
      </c>
      <c r="AI22" s="804">
        <v>7097.5</v>
      </c>
      <c r="AJ22" s="804">
        <v>4202.5</v>
      </c>
      <c r="AK22" s="804">
        <v>17000</v>
      </c>
      <c r="AL22" s="804">
        <v>15937.5</v>
      </c>
      <c r="AM22" s="804">
        <v>89250</v>
      </c>
      <c r="AN22" s="804">
        <v>58400</v>
      </c>
      <c r="AO22" s="804">
        <v>235142.40000000002</v>
      </c>
      <c r="AP22" s="834"/>
      <c r="AQ22" s="671"/>
    </row>
    <row r="23" spans="2:43" x14ac:dyDescent="0.25">
      <c r="B23" s="674" t="s">
        <v>629</v>
      </c>
      <c r="C23" s="793" t="s">
        <v>425</v>
      </c>
      <c r="D23" s="805">
        <v>1483.8119999999999</v>
      </c>
      <c r="E23" s="805">
        <v>1371.3119999999999</v>
      </c>
      <c r="F23" s="805">
        <v>1524.3119999999999</v>
      </c>
      <c r="G23" s="805">
        <v>1401.3119999999999</v>
      </c>
      <c r="H23" s="805">
        <v>1510.0619999999999</v>
      </c>
      <c r="I23" s="805">
        <v>1357.0619999999999</v>
      </c>
      <c r="J23" s="805">
        <v>1196.3119999999999</v>
      </c>
      <c r="K23" s="805">
        <v>1197.8779999999999</v>
      </c>
      <c r="L23" s="805">
        <v>1284.6279999999999</v>
      </c>
      <c r="M23" s="805">
        <v>1015.742</v>
      </c>
      <c r="N23" s="805">
        <v>1178.242</v>
      </c>
      <c r="O23" s="805">
        <v>972.048</v>
      </c>
      <c r="P23" s="805"/>
      <c r="Q23" s="805">
        <v>1225</v>
      </c>
      <c r="R23" s="805">
        <v>787.5</v>
      </c>
      <c r="S23" s="805">
        <v>786.25</v>
      </c>
      <c r="T23" s="805">
        <v>705</v>
      </c>
      <c r="U23" s="805">
        <v>693.75</v>
      </c>
      <c r="V23" s="805">
        <v>740</v>
      </c>
      <c r="W23" s="805">
        <v>700</v>
      </c>
      <c r="X23" s="805">
        <v>900</v>
      </c>
      <c r="Y23" s="805">
        <v>655</v>
      </c>
      <c r="Z23" s="80">
        <v>860.06200000000001</v>
      </c>
      <c r="AA23" s="805">
        <v>1091.3119999999999</v>
      </c>
      <c r="AB23" s="805">
        <v>1320</v>
      </c>
      <c r="AC23" s="805">
        <v>845</v>
      </c>
      <c r="AD23" s="805">
        <v>1160</v>
      </c>
      <c r="AE23" s="805">
        <v>1450</v>
      </c>
      <c r="AF23" s="805">
        <v>1375</v>
      </c>
      <c r="AG23" s="805">
        <v>1776.1200000000001</v>
      </c>
      <c r="AH23" s="805">
        <v>13529.999999999998</v>
      </c>
      <c r="AI23" s="805">
        <v>8670</v>
      </c>
      <c r="AJ23" s="805">
        <v>5637.5</v>
      </c>
      <c r="AK23" s="805">
        <v>22999.999999999996</v>
      </c>
      <c r="AL23" s="805">
        <v>21562.5</v>
      </c>
      <c r="AM23" s="805">
        <v>120750</v>
      </c>
      <c r="AN23" s="805">
        <v>87600.000000000015</v>
      </c>
      <c r="AO23" s="805">
        <v>352713.60000000003</v>
      </c>
      <c r="AP23" s="834"/>
      <c r="AQ23" s="671"/>
    </row>
    <row r="24" spans="2:43" x14ac:dyDescent="0.25">
      <c r="B24" s="670" t="s">
        <v>624</v>
      </c>
      <c r="C24" s="793" t="s">
        <v>425</v>
      </c>
      <c r="D24" s="806">
        <v>1071.3119999999999</v>
      </c>
      <c r="E24" s="806">
        <v>996.31200000000001</v>
      </c>
      <c r="F24" s="806">
        <v>1073.3119999999999</v>
      </c>
      <c r="G24" s="806">
        <v>991.31200000000001</v>
      </c>
      <c r="H24" s="806">
        <v>1051.0619999999999</v>
      </c>
      <c r="I24" s="806">
        <v>974.56200000000001</v>
      </c>
      <c r="J24" s="806">
        <v>868.31200000000001</v>
      </c>
      <c r="K24" s="806">
        <v>837.62800000000004</v>
      </c>
      <c r="L24" s="806">
        <v>904.62800000000004</v>
      </c>
      <c r="M24" s="806">
        <v>753.74199999999996</v>
      </c>
      <c r="N24" s="806">
        <v>824.99199999999996</v>
      </c>
      <c r="O24" s="806">
        <v>710.048</v>
      </c>
      <c r="P24" s="806"/>
      <c r="Q24" s="806">
        <v>1050</v>
      </c>
      <c r="R24" s="806">
        <v>612.5</v>
      </c>
      <c r="S24" s="806">
        <v>647.5</v>
      </c>
      <c r="T24" s="806">
        <v>564</v>
      </c>
      <c r="U24" s="806">
        <v>555</v>
      </c>
      <c r="V24" s="806">
        <v>601.25</v>
      </c>
      <c r="W24" s="806">
        <v>600</v>
      </c>
      <c r="X24" s="806">
        <v>800</v>
      </c>
      <c r="Y24" s="805"/>
      <c r="Z24" s="80"/>
      <c r="AA24" s="805"/>
      <c r="AB24" s="805"/>
      <c r="AC24" s="805"/>
      <c r="AD24" s="805"/>
      <c r="AE24" s="805"/>
      <c r="AF24" s="805"/>
      <c r="AG24" s="805"/>
      <c r="AH24" s="805"/>
      <c r="AI24" s="805"/>
      <c r="AJ24" s="805"/>
      <c r="AK24" s="805"/>
      <c r="AL24" s="805"/>
      <c r="AM24" s="805"/>
      <c r="AN24" s="805"/>
      <c r="AO24" s="805"/>
      <c r="AP24" s="834"/>
      <c r="AQ24" s="671"/>
    </row>
    <row r="25" spans="2:43" x14ac:dyDescent="0.25">
      <c r="B25" s="670" t="s">
        <v>415</v>
      </c>
      <c r="C25" s="793" t="s">
        <v>425</v>
      </c>
      <c r="D25" s="806">
        <v>1708.8119999999999</v>
      </c>
      <c r="E25" s="806">
        <v>1558.8119999999999</v>
      </c>
      <c r="F25" s="806">
        <v>1729.3119999999999</v>
      </c>
      <c r="G25" s="806">
        <v>1565.3119999999999</v>
      </c>
      <c r="H25" s="806">
        <v>1701.3119999999999</v>
      </c>
      <c r="I25" s="806">
        <v>1548.3119999999999</v>
      </c>
      <c r="J25" s="806">
        <v>1360.3119999999999</v>
      </c>
      <c r="K25" s="806">
        <v>1328.8779999999999</v>
      </c>
      <c r="L25" s="806">
        <v>1398.6279999999999</v>
      </c>
      <c r="M25" s="806">
        <v>1113.992</v>
      </c>
      <c r="N25" s="806">
        <v>1295.992</v>
      </c>
      <c r="O25" s="806">
        <v>1070.298</v>
      </c>
      <c r="P25" s="806"/>
      <c r="Q25" s="806">
        <v>1312.5</v>
      </c>
      <c r="R25" s="806">
        <v>875</v>
      </c>
      <c r="S25" s="806">
        <v>832.5</v>
      </c>
      <c r="T25" s="806">
        <v>752</v>
      </c>
      <c r="U25" s="806">
        <v>740</v>
      </c>
      <c r="V25" s="806">
        <v>740</v>
      </c>
      <c r="W25" s="806">
        <v>800</v>
      </c>
      <c r="X25" s="806">
        <v>1000</v>
      </c>
      <c r="Y25" s="805"/>
      <c r="Z25" s="80"/>
      <c r="AA25" s="805"/>
      <c r="AB25" s="805"/>
      <c r="AC25" s="805"/>
      <c r="AD25" s="805"/>
      <c r="AE25" s="805"/>
      <c r="AF25" s="805"/>
      <c r="AG25" s="805"/>
      <c r="AH25" s="805"/>
      <c r="AI25" s="805"/>
      <c r="AJ25" s="805"/>
      <c r="AK25" s="805"/>
      <c r="AL25" s="805"/>
      <c r="AM25" s="805"/>
      <c r="AN25" s="805"/>
      <c r="AO25" s="805"/>
      <c r="AP25" s="834"/>
      <c r="AQ25" s="671"/>
    </row>
    <row r="26" spans="2:43" x14ac:dyDescent="0.25">
      <c r="B26" s="675" t="s">
        <v>630</v>
      </c>
      <c r="C26" s="793" t="s">
        <v>425</v>
      </c>
      <c r="D26" s="439">
        <v>1447.264645083593</v>
      </c>
      <c r="E26" s="439">
        <v>1327.4428213875167</v>
      </c>
      <c r="F26" s="439">
        <v>1455.8552173475225</v>
      </c>
      <c r="G26" s="439">
        <v>1335.2266724622052</v>
      </c>
      <c r="H26" s="439">
        <v>1447.0119811934774</v>
      </c>
      <c r="I26" s="439">
        <v>1327.2138845912025</v>
      </c>
      <c r="J26" s="439">
        <v>1160.6394715928743</v>
      </c>
      <c r="K26" s="439">
        <v>1135.4003013670419</v>
      </c>
      <c r="L26" s="439">
        <v>1208.1801063777216</v>
      </c>
      <c r="M26" s="439">
        <v>970.13414414183239</v>
      </c>
      <c r="N26" s="439">
        <v>1099.1028143523129</v>
      </c>
      <c r="O26" s="439">
        <v>915.65679849758544</v>
      </c>
      <c r="P26" s="439"/>
      <c r="Q26" s="439">
        <v>1201.165639084739</v>
      </c>
      <c r="R26" s="439">
        <v>780.7576654050805</v>
      </c>
      <c r="S26" s="439">
        <v>738.73275000000001</v>
      </c>
      <c r="T26" s="439">
        <v>679.21579999999994</v>
      </c>
      <c r="U26" s="439">
        <v>668.37725</v>
      </c>
      <c r="V26" s="439">
        <v>692.51666666666654</v>
      </c>
      <c r="W26" s="439">
        <v>700</v>
      </c>
      <c r="X26" s="439">
        <v>900</v>
      </c>
      <c r="Y26" s="439">
        <v>618.51371531346592</v>
      </c>
      <c r="Z26" s="77">
        <v>823.81200000000001</v>
      </c>
      <c r="AA26" s="439">
        <v>1051.3119999999999</v>
      </c>
      <c r="AB26" s="439">
        <v>1237.5</v>
      </c>
      <c r="AC26" s="439">
        <v>780</v>
      </c>
      <c r="AD26" s="439">
        <v>1087.5</v>
      </c>
      <c r="AE26" s="439">
        <v>1160</v>
      </c>
      <c r="AF26" s="439">
        <v>1430</v>
      </c>
      <c r="AG26" s="439">
        <v>1615.2143665781769</v>
      </c>
      <c r="AH26" s="439">
        <v>12299.999999999998</v>
      </c>
      <c r="AI26" s="439">
        <v>7875.2500000000009</v>
      </c>
      <c r="AJ26" s="439">
        <v>4920</v>
      </c>
      <c r="AK26" s="439">
        <v>20000</v>
      </c>
      <c r="AL26" s="439">
        <v>18750</v>
      </c>
      <c r="AM26" s="439">
        <v>105000</v>
      </c>
      <c r="AN26" s="439">
        <v>73000</v>
      </c>
      <c r="AO26" s="439">
        <v>293928</v>
      </c>
      <c r="AP26" s="439">
        <v>13650</v>
      </c>
      <c r="AQ26" s="78">
        <v>7125</v>
      </c>
    </row>
    <row r="27" spans="2:43" x14ac:dyDescent="0.25">
      <c r="B27" s="667"/>
      <c r="C27" s="789"/>
      <c r="D27" s="752">
        <v>1447.264645083593</v>
      </c>
      <c r="E27" s="752">
        <v>1327.4428213875167</v>
      </c>
      <c r="F27" s="752">
        <v>1455.8552173475225</v>
      </c>
      <c r="G27" s="752">
        <v>1335.2266724622052</v>
      </c>
      <c r="H27" s="811"/>
      <c r="I27" s="811"/>
      <c r="J27" s="811"/>
      <c r="K27" s="811"/>
      <c r="L27" s="811"/>
      <c r="M27" s="811"/>
      <c r="N27" s="811"/>
      <c r="O27" s="811"/>
      <c r="P27" s="811"/>
      <c r="Q27" s="811"/>
      <c r="R27" s="811"/>
      <c r="S27" s="811"/>
      <c r="T27" s="811"/>
      <c r="U27" s="811"/>
      <c r="V27" s="811"/>
      <c r="W27" s="811"/>
      <c r="X27" s="811"/>
      <c r="Y27" s="811"/>
      <c r="Z27" s="29"/>
      <c r="AA27" s="811"/>
      <c r="AB27" s="811"/>
      <c r="AC27" s="811"/>
      <c r="AD27" s="811"/>
      <c r="AE27" s="746"/>
      <c r="AF27" s="746"/>
      <c r="AG27" s="811"/>
      <c r="AH27" s="746"/>
      <c r="AI27" s="811"/>
      <c r="AJ27" s="811"/>
      <c r="AK27" s="811"/>
      <c r="AL27" s="746"/>
      <c r="AM27" s="811"/>
      <c r="AN27" s="746"/>
      <c r="AO27" s="746"/>
      <c r="AP27" s="811"/>
      <c r="AQ27" s="19"/>
    </row>
    <row r="28" spans="2:43" x14ac:dyDescent="0.25">
      <c r="B28" s="668" t="s">
        <v>631</v>
      </c>
      <c r="C28" s="791"/>
      <c r="D28" s="752"/>
      <c r="E28" s="811"/>
      <c r="F28" s="811"/>
      <c r="G28" s="811"/>
      <c r="H28" s="811"/>
      <c r="I28" s="811"/>
      <c r="J28" s="811"/>
      <c r="K28" s="811"/>
      <c r="L28" s="811"/>
      <c r="M28" s="811"/>
      <c r="N28" s="811"/>
      <c r="O28" s="811"/>
      <c r="P28" s="811"/>
      <c r="Q28" s="811"/>
      <c r="R28" s="811"/>
      <c r="S28" s="811"/>
      <c r="T28" s="811"/>
      <c r="U28" s="811"/>
      <c r="V28" s="811"/>
      <c r="W28" s="811"/>
      <c r="X28" s="811"/>
      <c r="Y28" s="811"/>
      <c r="Z28" s="29"/>
      <c r="AA28" s="811"/>
      <c r="AB28" s="811"/>
      <c r="AC28" s="811"/>
      <c r="AD28" s="811"/>
      <c r="AE28" s="746"/>
      <c r="AF28" s="746"/>
      <c r="AG28" s="811"/>
      <c r="AH28" s="746"/>
      <c r="AI28" s="811"/>
      <c r="AJ28" s="811"/>
      <c r="AK28" s="811"/>
      <c r="AL28" s="746"/>
      <c r="AM28" s="811"/>
      <c r="AN28" s="746"/>
      <c r="AO28" s="746"/>
      <c r="AP28" s="811"/>
      <c r="AQ28" s="19"/>
    </row>
    <row r="29" spans="2:43" x14ac:dyDescent="0.25">
      <c r="B29" s="667"/>
      <c r="C29" s="791"/>
      <c r="D29" s="752"/>
      <c r="E29" s="811"/>
      <c r="F29" s="811"/>
      <c r="G29" s="811"/>
      <c r="H29" s="811"/>
      <c r="I29" s="811"/>
      <c r="J29" s="811"/>
      <c r="K29" s="811"/>
      <c r="L29" s="811"/>
      <c r="M29" s="811"/>
      <c r="N29" s="811"/>
      <c r="O29" s="811"/>
      <c r="P29" s="811"/>
      <c r="Q29" s="811"/>
      <c r="R29" s="811"/>
      <c r="S29" s="811"/>
      <c r="T29" s="811"/>
      <c r="U29" s="811"/>
      <c r="V29" s="811"/>
      <c r="W29" s="811"/>
      <c r="X29" s="811"/>
      <c r="Y29" s="811"/>
      <c r="Z29" s="29"/>
      <c r="AA29" s="811"/>
      <c r="AB29" s="811"/>
      <c r="AC29" s="811"/>
      <c r="AD29" s="811"/>
      <c r="AE29" s="746"/>
      <c r="AF29" s="746"/>
      <c r="AG29" s="811"/>
      <c r="AH29" s="746"/>
      <c r="AI29" s="811"/>
      <c r="AJ29" s="811"/>
      <c r="AK29" s="811"/>
      <c r="AL29" s="746"/>
      <c r="AM29" s="811"/>
      <c r="AN29" s="746"/>
      <c r="AO29" s="746"/>
      <c r="AP29" s="811"/>
      <c r="AQ29" s="19"/>
    </row>
    <row r="30" spans="2:43" x14ac:dyDescent="0.25">
      <c r="B30" s="668" t="s">
        <v>632</v>
      </c>
      <c r="C30" s="791"/>
      <c r="D30" s="752"/>
      <c r="E30" s="811"/>
      <c r="F30" s="811"/>
      <c r="G30" s="811"/>
      <c r="H30" s="811"/>
      <c r="I30" s="811"/>
      <c r="J30" s="811"/>
      <c r="K30" s="811"/>
      <c r="L30" s="811"/>
      <c r="M30" s="811"/>
      <c r="N30" s="811"/>
      <c r="O30" s="811"/>
      <c r="P30" s="811"/>
      <c r="Q30" s="811"/>
      <c r="R30" s="811"/>
      <c r="S30" s="811"/>
      <c r="T30" s="811"/>
      <c r="U30" s="811"/>
      <c r="V30" s="811"/>
      <c r="W30" s="811"/>
      <c r="X30" s="811"/>
      <c r="Y30" s="811"/>
      <c r="Z30" s="29"/>
      <c r="AA30" s="811"/>
      <c r="AB30" s="811"/>
      <c r="AC30" s="811"/>
      <c r="AD30" s="811"/>
      <c r="AE30" s="746"/>
      <c r="AF30" s="746"/>
      <c r="AG30" s="811"/>
      <c r="AH30" s="746"/>
      <c r="AI30" s="811"/>
      <c r="AJ30" s="811"/>
      <c r="AK30" s="811"/>
      <c r="AL30" s="746"/>
      <c r="AM30" s="811"/>
      <c r="AN30" s="746"/>
      <c r="AO30" s="746"/>
      <c r="AP30" s="811"/>
      <c r="AQ30" s="19"/>
    </row>
    <row r="31" spans="2:43" x14ac:dyDescent="0.25">
      <c r="B31" s="670" t="s">
        <v>633</v>
      </c>
      <c r="C31" s="791" t="s">
        <v>495</v>
      </c>
      <c r="D31" s="807">
        <v>75</v>
      </c>
      <c r="E31" s="807">
        <v>275</v>
      </c>
      <c r="F31" s="807">
        <v>75</v>
      </c>
      <c r="G31" s="807">
        <v>275</v>
      </c>
      <c r="H31" s="807">
        <v>75</v>
      </c>
      <c r="I31" s="807">
        <v>275</v>
      </c>
      <c r="J31" s="807">
        <v>75</v>
      </c>
      <c r="K31" s="807">
        <v>75</v>
      </c>
      <c r="L31" s="807">
        <v>75</v>
      </c>
      <c r="M31" s="807">
        <v>75</v>
      </c>
      <c r="N31" s="807">
        <v>75</v>
      </c>
      <c r="O31" s="807">
        <v>75</v>
      </c>
      <c r="P31" s="807"/>
      <c r="Q31" s="807">
        <v>750</v>
      </c>
      <c r="R31" s="817">
        <v>750</v>
      </c>
      <c r="S31" s="819">
        <v>22</v>
      </c>
      <c r="T31" s="819">
        <v>22</v>
      </c>
      <c r="U31" s="819">
        <v>22</v>
      </c>
      <c r="V31" s="819">
        <v>22</v>
      </c>
      <c r="W31" s="807"/>
      <c r="X31" s="807"/>
      <c r="Y31" s="756">
        <v>75</v>
      </c>
      <c r="Z31" s="20">
        <v>75</v>
      </c>
      <c r="AA31" s="807">
        <v>75</v>
      </c>
      <c r="AB31" s="807"/>
      <c r="AC31" s="807"/>
      <c r="AD31" s="807"/>
      <c r="AE31" s="807"/>
      <c r="AF31" s="807">
        <v>169</v>
      </c>
      <c r="AG31" s="819"/>
      <c r="AH31" s="746"/>
      <c r="AI31" s="819"/>
      <c r="AJ31" s="819"/>
      <c r="AK31" s="811"/>
      <c r="AL31" s="746"/>
      <c r="AM31" s="811"/>
      <c r="AN31" s="746"/>
      <c r="AO31" s="746"/>
      <c r="AP31" s="811"/>
      <c r="AQ31" s="19"/>
    </row>
    <row r="32" spans="2:43" x14ac:dyDescent="0.25">
      <c r="B32" s="670" t="s">
        <v>634</v>
      </c>
      <c r="C32" s="791" t="s">
        <v>495</v>
      </c>
      <c r="D32" s="807">
        <v>14.7</v>
      </c>
      <c r="E32" s="807">
        <v>14.7</v>
      </c>
      <c r="F32" s="807">
        <v>14.7</v>
      </c>
      <c r="G32" s="807">
        <v>14.7</v>
      </c>
      <c r="H32" s="807">
        <v>14.7</v>
      </c>
      <c r="I32" s="807">
        <v>14.7</v>
      </c>
      <c r="J32" s="807">
        <v>14.7</v>
      </c>
      <c r="K32" s="807">
        <v>16.399999999999999</v>
      </c>
      <c r="L32" s="807">
        <v>16.399999999999999</v>
      </c>
      <c r="M32" s="807">
        <v>16.399999999999999</v>
      </c>
      <c r="N32" s="807">
        <v>16.399999999999999</v>
      </c>
      <c r="O32" s="807">
        <v>19.8</v>
      </c>
      <c r="P32" s="807"/>
      <c r="Q32" s="807">
        <v>121</v>
      </c>
      <c r="R32" s="807">
        <v>229</v>
      </c>
      <c r="S32" s="807">
        <v>18.3</v>
      </c>
      <c r="T32" s="807">
        <v>18.3</v>
      </c>
      <c r="U32" s="807">
        <v>18.3</v>
      </c>
      <c r="V32" s="807">
        <v>17.5</v>
      </c>
      <c r="W32" s="807"/>
      <c r="X32" s="807"/>
      <c r="Y32" s="807">
        <v>16.399999999999999</v>
      </c>
      <c r="Z32" s="828">
        <v>14.7</v>
      </c>
      <c r="AA32" s="756">
        <v>14.7</v>
      </c>
      <c r="AB32" s="746"/>
      <c r="AC32" s="746"/>
      <c r="AD32" s="746"/>
      <c r="AE32" s="746"/>
      <c r="AF32" s="746"/>
      <c r="AG32" s="807"/>
      <c r="AH32" s="746"/>
      <c r="AI32" s="807"/>
      <c r="AJ32" s="807"/>
      <c r="AK32" s="811"/>
      <c r="AL32" s="746">
        <v>6250</v>
      </c>
      <c r="AM32" s="811"/>
      <c r="AN32" s="746"/>
      <c r="AO32" s="746"/>
      <c r="AP32" s="811"/>
      <c r="AQ32" s="19"/>
    </row>
    <row r="33" spans="2:43" x14ac:dyDescent="0.25">
      <c r="B33" s="670" t="s">
        <v>635</v>
      </c>
      <c r="C33" s="791" t="s">
        <v>495</v>
      </c>
      <c r="D33" s="807">
        <v>52</v>
      </c>
      <c r="E33" s="807">
        <v>52</v>
      </c>
      <c r="F33" s="807">
        <v>52</v>
      </c>
      <c r="G33" s="807">
        <v>52</v>
      </c>
      <c r="H33" s="807">
        <v>52</v>
      </c>
      <c r="I33" s="807">
        <v>52</v>
      </c>
      <c r="J33" s="807">
        <v>52</v>
      </c>
      <c r="K33" s="807">
        <v>49</v>
      </c>
      <c r="L33" s="807">
        <v>49</v>
      </c>
      <c r="M33" s="807">
        <v>53</v>
      </c>
      <c r="N33" s="807">
        <v>53</v>
      </c>
      <c r="O33" s="807">
        <v>42</v>
      </c>
      <c r="P33" s="807"/>
      <c r="Q33" s="807">
        <v>2393</v>
      </c>
      <c r="R33" s="807">
        <v>2393</v>
      </c>
      <c r="S33" s="807">
        <v>60</v>
      </c>
      <c r="T33" s="807">
        <v>60</v>
      </c>
      <c r="U33" s="807">
        <v>60</v>
      </c>
      <c r="V33" s="807">
        <v>41</v>
      </c>
      <c r="W33" s="807"/>
      <c r="X33" s="807"/>
      <c r="Y33" s="807">
        <v>53</v>
      </c>
      <c r="Z33" s="828">
        <v>47</v>
      </c>
      <c r="AA33" s="807">
        <v>47</v>
      </c>
      <c r="AB33" s="807"/>
      <c r="AC33" s="807"/>
      <c r="AD33" s="807"/>
      <c r="AE33" s="807"/>
      <c r="AF33" s="807"/>
      <c r="AG33" s="807"/>
      <c r="AH33" s="746"/>
      <c r="AI33" s="807"/>
      <c r="AJ33" s="807"/>
      <c r="AK33" s="811"/>
      <c r="AL33" s="746"/>
      <c r="AM33" s="811"/>
      <c r="AN33" s="746"/>
      <c r="AO33" s="746"/>
      <c r="AP33" s="811"/>
      <c r="AQ33" s="19"/>
    </row>
    <row r="34" spans="2:43" x14ac:dyDescent="0.25">
      <c r="B34" s="668"/>
      <c r="C34" s="791"/>
      <c r="D34" s="752"/>
      <c r="E34" s="811"/>
      <c r="F34" s="811"/>
      <c r="G34" s="811"/>
      <c r="H34" s="811"/>
      <c r="I34" s="811"/>
      <c r="J34" s="811"/>
      <c r="K34" s="811"/>
      <c r="L34" s="811"/>
      <c r="M34" s="811"/>
      <c r="N34" s="811"/>
      <c r="O34" s="811"/>
      <c r="P34" s="811"/>
      <c r="Q34" s="811"/>
      <c r="R34" s="811"/>
      <c r="S34" s="811"/>
      <c r="T34" s="811"/>
      <c r="U34" s="811"/>
      <c r="V34" s="811"/>
      <c r="W34" s="811"/>
      <c r="X34" s="811"/>
      <c r="Y34" s="811"/>
      <c r="Z34" s="29"/>
      <c r="AA34" s="811"/>
      <c r="AB34" s="811"/>
      <c r="AC34" s="811"/>
      <c r="AD34" s="811"/>
      <c r="AE34" s="746"/>
      <c r="AF34" s="746"/>
      <c r="AG34" s="811"/>
      <c r="AH34" s="746"/>
      <c r="AI34" s="811"/>
      <c r="AJ34" s="811"/>
      <c r="AK34" s="811"/>
      <c r="AL34" s="746"/>
      <c r="AM34" s="811"/>
      <c r="AN34" s="746"/>
      <c r="AO34" s="746"/>
      <c r="AP34" s="811"/>
      <c r="AQ34" s="19"/>
    </row>
    <row r="35" spans="2:43" x14ac:dyDescent="0.25">
      <c r="B35" s="668" t="s">
        <v>636</v>
      </c>
      <c r="C35" s="791"/>
      <c r="D35" s="752"/>
      <c r="E35" s="811"/>
      <c r="F35" s="811"/>
      <c r="G35" s="811"/>
      <c r="H35" s="811"/>
      <c r="I35" s="811"/>
      <c r="J35" s="811"/>
      <c r="K35" s="811"/>
      <c r="L35" s="811"/>
      <c r="M35" s="811"/>
      <c r="N35" s="811"/>
      <c r="O35" s="811"/>
      <c r="P35" s="811"/>
      <c r="Q35" s="811"/>
      <c r="R35" s="811"/>
      <c r="S35" s="811"/>
      <c r="T35" s="811"/>
      <c r="U35" s="811"/>
      <c r="V35" s="811"/>
      <c r="W35" s="811"/>
      <c r="X35" s="811"/>
      <c r="Y35" s="811"/>
      <c r="Z35" s="29"/>
      <c r="AA35" s="811"/>
      <c r="AB35" s="811"/>
      <c r="AC35" s="811"/>
      <c r="AD35" s="807" t="s">
        <v>637</v>
      </c>
      <c r="AE35" s="746"/>
      <c r="AF35" s="746"/>
      <c r="AG35" s="811"/>
      <c r="AH35" s="746"/>
      <c r="AI35" s="811"/>
      <c r="AJ35" s="811"/>
      <c r="AK35" s="811"/>
      <c r="AL35" s="746"/>
      <c r="AM35" s="811"/>
      <c r="AN35" s="746"/>
      <c r="AO35" s="746"/>
      <c r="AP35" s="811"/>
      <c r="AQ35" s="19"/>
    </row>
    <row r="36" spans="2:43" x14ac:dyDescent="0.25">
      <c r="B36" s="667" t="s">
        <v>638</v>
      </c>
      <c r="C36" s="791" t="s">
        <v>639</v>
      </c>
      <c r="D36" s="752">
        <v>175</v>
      </c>
      <c r="E36" s="752">
        <v>192.50000000000003</v>
      </c>
      <c r="F36" s="752">
        <v>175</v>
      </c>
      <c r="G36" s="752">
        <v>192.50000000000003</v>
      </c>
      <c r="H36" s="752">
        <v>175</v>
      </c>
      <c r="I36" s="752">
        <v>192.50000000000003</v>
      </c>
      <c r="J36" s="752">
        <v>200</v>
      </c>
      <c r="K36" s="752">
        <v>175</v>
      </c>
      <c r="L36" s="752">
        <v>175</v>
      </c>
      <c r="M36" s="752">
        <v>175</v>
      </c>
      <c r="N36" s="752">
        <v>175</v>
      </c>
      <c r="O36" s="752">
        <v>175</v>
      </c>
      <c r="P36" s="752"/>
      <c r="Q36" s="808">
        <v>5.5</v>
      </c>
      <c r="R36" s="808">
        <v>5.5</v>
      </c>
      <c r="S36" s="752">
        <v>250</v>
      </c>
      <c r="T36" s="752">
        <v>250</v>
      </c>
      <c r="U36" s="752">
        <v>250</v>
      </c>
      <c r="V36" s="752">
        <v>200</v>
      </c>
      <c r="W36" s="752">
        <v>45</v>
      </c>
      <c r="X36" s="752">
        <v>52.5</v>
      </c>
      <c r="Y36" s="752">
        <v>175</v>
      </c>
      <c r="Z36" s="773">
        <v>160</v>
      </c>
      <c r="AA36" s="752">
        <v>135</v>
      </c>
      <c r="AB36" s="807">
        <v>190</v>
      </c>
      <c r="AC36" s="752">
        <v>190</v>
      </c>
      <c r="AD36" s="811">
        <v>137</v>
      </c>
      <c r="AE36" s="752">
        <v>17</v>
      </c>
      <c r="AF36" s="752">
        <v>4.5</v>
      </c>
      <c r="AG36" s="752">
        <v>1.1499999999999999</v>
      </c>
      <c r="AH36" s="746"/>
      <c r="AI36" s="752">
        <v>2900</v>
      </c>
      <c r="AJ36" s="752">
        <v>1100</v>
      </c>
      <c r="AK36" s="752">
        <v>80</v>
      </c>
      <c r="AL36" s="746"/>
      <c r="AM36" s="811">
        <v>16400</v>
      </c>
      <c r="AN36" s="811">
        <v>12830</v>
      </c>
      <c r="AO36" s="811">
        <v>74188</v>
      </c>
      <c r="AP36" s="811">
        <v>4.2</v>
      </c>
      <c r="AQ36" s="19">
        <v>45</v>
      </c>
    </row>
    <row r="37" spans="2:43" x14ac:dyDescent="0.25">
      <c r="B37" s="667" t="s">
        <v>640</v>
      </c>
      <c r="C37" s="791" t="s">
        <v>495</v>
      </c>
      <c r="D37" s="752">
        <v>420</v>
      </c>
      <c r="E37" s="752">
        <v>620</v>
      </c>
      <c r="F37" s="752">
        <v>440</v>
      </c>
      <c r="G37" s="752">
        <v>640</v>
      </c>
      <c r="H37" s="752">
        <v>420</v>
      </c>
      <c r="I37" s="752">
        <v>620</v>
      </c>
      <c r="J37" s="752">
        <v>450</v>
      </c>
      <c r="K37" s="752">
        <v>400</v>
      </c>
      <c r="L37" s="752">
        <v>420</v>
      </c>
      <c r="M37" s="752">
        <v>430</v>
      </c>
      <c r="N37" s="752">
        <v>430</v>
      </c>
      <c r="O37" s="752">
        <v>430</v>
      </c>
      <c r="P37" s="752"/>
      <c r="Q37" s="752">
        <v>9800</v>
      </c>
      <c r="R37" s="752">
        <v>9800</v>
      </c>
      <c r="S37" s="752">
        <v>490</v>
      </c>
      <c r="T37" s="752">
        <v>500</v>
      </c>
      <c r="U37" s="752">
        <v>500</v>
      </c>
      <c r="V37" s="752">
        <v>510</v>
      </c>
      <c r="W37" s="752">
        <v>2000</v>
      </c>
      <c r="X37" s="752">
        <v>1800</v>
      </c>
      <c r="Y37" s="752">
        <v>430</v>
      </c>
      <c r="Z37" s="773">
        <v>425</v>
      </c>
      <c r="AA37" s="752">
        <v>650</v>
      </c>
      <c r="AB37" s="752"/>
      <c r="AC37" s="752">
        <v>800</v>
      </c>
      <c r="AD37" s="811"/>
      <c r="AE37" s="752">
        <v>10000</v>
      </c>
      <c r="AF37" s="752">
        <v>12000</v>
      </c>
      <c r="AG37" s="752">
        <v>180</v>
      </c>
      <c r="AH37" s="746"/>
      <c r="AI37" s="752">
        <v>370</v>
      </c>
      <c r="AJ37" s="752"/>
      <c r="AK37" s="811"/>
      <c r="AL37" s="746"/>
      <c r="AM37" s="811"/>
      <c r="AN37" s="746"/>
      <c r="AO37" s="746"/>
      <c r="AP37" s="811">
        <v>200</v>
      </c>
      <c r="AQ37" s="19">
        <v>17.510000000000002</v>
      </c>
    </row>
    <row r="38" spans="2:43" x14ac:dyDescent="0.25">
      <c r="B38" s="676" t="s">
        <v>641</v>
      </c>
      <c r="C38" s="791" t="s">
        <v>449</v>
      </c>
      <c r="D38" s="777">
        <v>0.35</v>
      </c>
      <c r="E38" s="777">
        <v>0.35</v>
      </c>
      <c r="F38" s="777">
        <v>0.3</v>
      </c>
      <c r="G38" s="777">
        <v>0.3</v>
      </c>
      <c r="H38" s="777">
        <v>0.35</v>
      </c>
      <c r="I38" s="777">
        <v>0.35</v>
      </c>
      <c r="J38" s="777">
        <v>0.2</v>
      </c>
      <c r="K38" s="777">
        <v>0.25</v>
      </c>
      <c r="L38" s="777">
        <v>0.25</v>
      </c>
      <c r="M38" s="777">
        <v>0.35</v>
      </c>
      <c r="N38" s="777">
        <v>0.35</v>
      </c>
      <c r="O38" s="777">
        <v>0.3</v>
      </c>
      <c r="P38" s="777"/>
      <c r="Q38" s="777">
        <v>0.35</v>
      </c>
      <c r="R38" s="777">
        <v>0.2</v>
      </c>
      <c r="S38" s="777">
        <v>0.5</v>
      </c>
      <c r="T38" s="777">
        <v>0.45</v>
      </c>
      <c r="U38" s="777">
        <v>0.45</v>
      </c>
      <c r="V38" s="777">
        <v>0.3</v>
      </c>
      <c r="W38" s="777">
        <v>0</v>
      </c>
      <c r="X38" s="777">
        <v>0</v>
      </c>
      <c r="Y38" s="777">
        <v>0.35</v>
      </c>
      <c r="Z38" s="829">
        <v>0.4</v>
      </c>
      <c r="AA38" s="777">
        <v>0</v>
      </c>
      <c r="AB38" s="777"/>
      <c r="AC38" s="777">
        <v>0</v>
      </c>
      <c r="AD38" s="811"/>
      <c r="AE38" s="777">
        <v>0</v>
      </c>
      <c r="AF38" s="777">
        <v>0</v>
      </c>
      <c r="AG38" s="777">
        <v>0</v>
      </c>
      <c r="AH38" s="746"/>
      <c r="AI38" s="777">
        <v>0.4</v>
      </c>
      <c r="AJ38" s="777"/>
      <c r="AK38" s="811"/>
      <c r="AL38" s="746"/>
      <c r="AM38" s="811"/>
      <c r="AN38" s="746"/>
      <c r="AO38" s="746"/>
      <c r="AP38" s="811"/>
      <c r="AQ38" s="19"/>
    </row>
    <row r="39" spans="2:43" x14ac:dyDescent="0.25">
      <c r="B39" s="667" t="s">
        <v>642</v>
      </c>
      <c r="C39" s="791" t="s">
        <v>495</v>
      </c>
      <c r="D39" s="752">
        <v>291.7</v>
      </c>
      <c r="E39" s="752">
        <v>160</v>
      </c>
      <c r="F39" s="752">
        <v>174</v>
      </c>
      <c r="G39" s="752">
        <v>174</v>
      </c>
      <c r="H39" s="752">
        <v>163</v>
      </c>
      <c r="I39" s="752">
        <v>163</v>
      </c>
      <c r="J39" s="752">
        <v>174</v>
      </c>
      <c r="K39" s="752">
        <v>141</v>
      </c>
      <c r="L39" s="752">
        <v>162</v>
      </c>
      <c r="M39" s="752">
        <v>141</v>
      </c>
      <c r="N39" s="752">
        <v>167</v>
      </c>
      <c r="O39" s="752">
        <v>141</v>
      </c>
      <c r="P39" s="752"/>
      <c r="Q39" s="752">
        <v>360</v>
      </c>
      <c r="R39" s="752">
        <v>360</v>
      </c>
      <c r="S39" s="752">
        <v>195</v>
      </c>
      <c r="T39" s="752">
        <v>198</v>
      </c>
      <c r="U39" s="752">
        <v>195</v>
      </c>
      <c r="V39" s="752">
        <v>195</v>
      </c>
      <c r="W39" s="752">
        <v>410</v>
      </c>
      <c r="X39" s="752">
        <v>410</v>
      </c>
      <c r="Y39" s="752">
        <v>141</v>
      </c>
      <c r="Z39" s="773">
        <v>310</v>
      </c>
      <c r="AA39" s="752">
        <v>250</v>
      </c>
      <c r="AB39" s="752"/>
      <c r="AC39" s="811">
        <v>0</v>
      </c>
      <c r="AD39" s="752">
        <v>155</v>
      </c>
      <c r="AE39" s="811">
        <v>10</v>
      </c>
      <c r="AF39" s="746"/>
      <c r="AG39" s="752"/>
      <c r="AH39" s="746"/>
      <c r="AI39" s="752">
        <v>280</v>
      </c>
      <c r="AJ39" s="752"/>
      <c r="AK39" s="811"/>
      <c r="AL39" s="746"/>
      <c r="AM39" s="811"/>
      <c r="AN39" s="746"/>
      <c r="AO39" s="746"/>
      <c r="AP39" s="811"/>
      <c r="AQ39" s="19"/>
    </row>
    <row r="40" spans="2:43" x14ac:dyDescent="0.25">
      <c r="B40" s="668" t="s">
        <v>643</v>
      </c>
      <c r="C40" s="791"/>
      <c r="D40" s="752"/>
      <c r="E40" s="811"/>
      <c r="F40" s="811"/>
      <c r="G40" s="811"/>
      <c r="H40" s="811"/>
      <c r="I40" s="811"/>
      <c r="J40" s="811"/>
      <c r="K40" s="811"/>
      <c r="L40" s="811"/>
      <c r="M40" s="811"/>
      <c r="N40" s="811"/>
      <c r="O40" s="811"/>
      <c r="P40" s="811"/>
      <c r="Q40" s="811"/>
      <c r="R40" s="811"/>
      <c r="S40" s="811"/>
      <c r="T40" s="811"/>
      <c r="U40" s="811"/>
      <c r="V40" s="811"/>
      <c r="W40" s="811"/>
      <c r="X40" s="811"/>
      <c r="Y40" s="811"/>
      <c r="Z40" s="29"/>
      <c r="AA40" s="811"/>
      <c r="AB40" s="811"/>
      <c r="AC40" s="811"/>
      <c r="AD40" s="811"/>
      <c r="AE40" s="746"/>
      <c r="AF40" s="746"/>
      <c r="AG40" s="811"/>
      <c r="AH40" s="746"/>
      <c r="AI40" s="811"/>
      <c r="AJ40" s="811"/>
      <c r="AK40" s="811"/>
      <c r="AL40" s="746"/>
      <c r="AM40" s="811"/>
      <c r="AN40" s="746"/>
      <c r="AO40" s="746"/>
      <c r="AP40" s="811"/>
      <c r="AQ40" s="19"/>
    </row>
    <row r="41" spans="2:43" x14ac:dyDescent="0.25">
      <c r="B41" s="667" t="s">
        <v>644</v>
      </c>
      <c r="C41" s="791" t="s">
        <v>645</v>
      </c>
      <c r="D41" s="752">
        <v>190</v>
      </c>
      <c r="E41" s="752">
        <v>190</v>
      </c>
      <c r="F41" s="756">
        <v>230</v>
      </c>
      <c r="G41" s="756">
        <v>230</v>
      </c>
      <c r="H41" s="756">
        <v>220</v>
      </c>
      <c r="I41" s="756">
        <v>220</v>
      </c>
      <c r="J41" s="811">
        <v>190</v>
      </c>
      <c r="K41" s="811">
        <v>140</v>
      </c>
      <c r="L41" s="811">
        <v>90</v>
      </c>
      <c r="M41" s="811">
        <v>110</v>
      </c>
      <c r="N41" s="811">
        <v>70</v>
      </c>
      <c r="O41" s="811">
        <v>130</v>
      </c>
      <c r="P41" s="811"/>
      <c r="Q41" s="811">
        <v>190</v>
      </c>
      <c r="R41" s="811">
        <v>80</v>
      </c>
      <c r="S41" s="811">
        <v>0</v>
      </c>
      <c r="T41" s="811">
        <v>0</v>
      </c>
      <c r="U41" s="811">
        <v>0</v>
      </c>
      <c r="V41" s="811">
        <v>0</v>
      </c>
      <c r="W41" s="811">
        <v>50</v>
      </c>
      <c r="X41" s="811">
        <v>80</v>
      </c>
      <c r="Y41" s="811">
        <v>110</v>
      </c>
      <c r="Z41" s="29">
        <v>130</v>
      </c>
      <c r="AA41" s="811">
        <v>140</v>
      </c>
      <c r="AB41" s="811">
        <v>70</v>
      </c>
      <c r="AC41" s="811">
        <v>25</v>
      </c>
      <c r="AD41" s="811">
        <v>110</v>
      </c>
      <c r="AE41" s="811">
        <v>80</v>
      </c>
      <c r="AF41" s="811">
        <v>160</v>
      </c>
      <c r="AG41" s="811">
        <v>156</v>
      </c>
      <c r="AH41" s="746"/>
      <c r="AI41" s="811">
        <v>160</v>
      </c>
      <c r="AJ41" s="811">
        <v>477</v>
      </c>
      <c r="AK41" s="811">
        <v>130</v>
      </c>
      <c r="AL41" s="746"/>
      <c r="AM41" s="811"/>
      <c r="AN41" s="811">
        <v>2210</v>
      </c>
      <c r="AO41" s="811">
        <v>9335</v>
      </c>
      <c r="AP41" s="811">
        <v>291</v>
      </c>
      <c r="AQ41" s="19">
        <v>325</v>
      </c>
    </row>
    <row r="42" spans="2:43" x14ac:dyDescent="0.25">
      <c r="B42" s="667" t="s">
        <v>646</v>
      </c>
      <c r="C42" s="791" t="s">
        <v>647</v>
      </c>
      <c r="D42" s="808">
        <v>7</v>
      </c>
      <c r="E42" s="808">
        <v>7</v>
      </c>
      <c r="F42" s="808">
        <v>7</v>
      </c>
      <c r="G42" s="808">
        <v>7</v>
      </c>
      <c r="H42" s="808">
        <v>7</v>
      </c>
      <c r="I42" s="808">
        <v>7</v>
      </c>
      <c r="J42" s="808">
        <v>8.5</v>
      </c>
      <c r="K42" s="808">
        <v>8.5</v>
      </c>
      <c r="L42" s="808">
        <v>8.5</v>
      </c>
      <c r="M42" s="808">
        <v>8.5</v>
      </c>
      <c r="N42" s="808">
        <v>8.5</v>
      </c>
      <c r="O42" s="808">
        <v>9</v>
      </c>
      <c r="P42" s="808"/>
      <c r="Q42" s="808">
        <v>14</v>
      </c>
      <c r="R42" s="808">
        <v>14</v>
      </c>
      <c r="S42" s="811">
        <v>11</v>
      </c>
      <c r="T42" s="811">
        <v>11</v>
      </c>
      <c r="U42" s="811">
        <v>11</v>
      </c>
      <c r="V42" s="811">
        <v>9</v>
      </c>
      <c r="W42" s="809">
        <v>14</v>
      </c>
      <c r="X42" s="809">
        <v>14</v>
      </c>
      <c r="Y42" s="808">
        <v>8.5</v>
      </c>
      <c r="Z42" s="830">
        <v>7.8</v>
      </c>
      <c r="AA42" s="808">
        <v>7.8</v>
      </c>
      <c r="AB42" s="808"/>
      <c r="AC42" s="808">
        <v>15</v>
      </c>
      <c r="AD42" s="808">
        <v>14</v>
      </c>
      <c r="AE42" s="808">
        <v>87.5</v>
      </c>
      <c r="AF42" s="808"/>
      <c r="AG42" s="811">
        <v>0.8</v>
      </c>
      <c r="AH42" s="746"/>
      <c r="AI42" s="811">
        <v>1</v>
      </c>
      <c r="AJ42" s="811"/>
      <c r="AK42" s="811"/>
      <c r="AL42" s="746"/>
      <c r="AM42" s="811"/>
      <c r="AN42" s="746"/>
      <c r="AO42" s="746"/>
      <c r="AP42" s="811"/>
      <c r="AQ42" s="19"/>
    </row>
    <row r="43" spans="2:43" x14ac:dyDescent="0.25">
      <c r="B43" s="667" t="s">
        <v>648</v>
      </c>
      <c r="C43" s="791" t="s">
        <v>647</v>
      </c>
      <c r="D43" s="808">
        <v>10.5</v>
      </c>
      <c r="E43" s="808">
        <v>10.5</v>
      </c>
      <c r="F43" s="808">
        <v>10.5</v>
      </c>
      <c r="G43" s="808">
        <v>10.5</v>
      </c>
      <c r="H43" s="808">
        <v>10.5</v>
      </c>
      <c r="I43" s="808">
        <v>10.5</v>
      </c>
      <c r="J43" s="808">
        <v>12</v>
      </c>
      <c r="K43" s="808">
        <v>10.5</v>
      </c>
      <c r="L43" s="808">
        <v>10.5</v>
      </c>
      <c r="M43" s="808">
        <v>12</v>
      </c>
      <c r="N43" s="808">
        <v>12</v>
      </c>
      <c r="O43" s="808">
        <v>16.5</v>
      </c>
      <c r="P43" s="808"/>
      <c r="Q43" s="808">
        <v>11</v>
      </c>
      <c r="R43" s="808">
        <v>11</v>
      </c>
      <c r="S43" s="811">
        <v>12</v>
      </c>
      <c r="T43" s="811">
        <v>12</v>
      </c>
      <c r="U43" s="811">
        <v>12</v>
      </c>
      <c r="V43" s="811">
        <v>10</v>
      </c>
      <c r="W43" s="809">
        <v>11</v>
      </c>
      <c r="X43" s="809">
        <v>11</v>
      </c>
      <c r="Y43" s="808">
        <v>12</v>
      </c>
      <c r="Z43" s="830">
        <v>5.6</v>
      </c>
      <c r="AA43" s="808">
        <v>5.6</v>
      </c>
      <c r="AB43" s="808"/>
      <c r="AC43" s="808">
        <v>15</v>
      </c>
      <c r="AD43" s="808">
        <v>11</v>
      </c>
      <c r="AE43" s="808">
        <v>87.5</v>
      </c>
      <c r="AF43" s="808"/>
      <c r="AG43" s="811">
        <v>1.7</v>
      </c>
      <c r="AH43" s="746"/>
      <c r="AI43" s="811">
        <v>5.8</v>
      </c>
      <c r="AJ43" s="811"/>
      <c r="AK43" s="811"/>
      <c r="AL43" s="746"/>
      <c r="AM43" s="811"/>
      <c r="AN43" s="746"/>
      <c r="AO43" s="746"/>
      <c r="AP43" s="811"/>
      <c r="AQ43" s="19"/>
    </row>
    <row r="44" spans="2:43" x14ac:dyDescent="0.25">
      <c r="B44" s="667" t="s">
        <v>646</v>
      </c>
      <c r="C44" s="791" t="s">
        <v>639</v>
      </c>
      <c r="D44" s="752">
        <v>89.644456770567672</v>
      </c>
      <c r="E44" s="752">
        <v>84.052771664750779</v>
      </c>
      <c r="F44" s="752">
        <v>84.92806415507718</v>
      </c>
      <c r="G44" s="752">
        <v>79.779284800216075</v>
      </c>
      <c r="H44" s="752">
        <v>88.465358616695042</v>
      </c>
      <c r="I44" s="752">
        <v>82.98439994861711</v>
      </c>
      <c r="J44" s="752">
        <v>51.276118954508739</v>
      </c>
      <c r="K44" s="752">
        <v>61.821103523815701</v>
      </c>
      <c r="L44" s="752">
        <v>57.349953317175228</v>
      </c>
      <c r="M44" s="752">
        <v>50.165711642790654</v>
      </c>
      <c r="N44" s="752">
        <v>48.840394407609288</v>
      </c>
      <c r="O44" s="752">
        <v>50.125795316628007</v>
      </c>
      <c r="P44" s="752"/>
      <c r="Q44" s="752">
        <v>48.046625563389561</v>
      </c>
      <c r="R44" s="752">
        <v>31.230306616203219</v>
      </c>
      <c r="S44" s="752">
        <v>43.92465</v>
      </c>
      <c r="T44" s="752">
        <v>39.741349999999997</v>
      </c>
      <c r="U44" s="752">
        <v>39.741349999999997</v>
      </c>
      <c r="V44" s="752">
        <v>33.69</v>
      </c>
      <c r="W44" s="752">
        <v>24.5</v>
      </c>
      <c r="X44" s="752">
        <v>31.5</v>
      </c>
      <c r="Y44" s="752">
        <v>40.132569314232526</v>
      </c>
      <c r="Z44" s="773">
        <v>35.1</v>
      </c>
      <c r="AA44" s="752">
        <v>42.9</v>
      </c>
      <c r="AB44" s="752">
        <v>0</v>
      </c>
      <c r="AC44" s="752">
        <v>45</v>
      </c>
      <c r="AD44" s="752">
        <v>105</v>
      </c>
      <c r="AE44" s="752">
        <v>35</v>
      </c>
      <c r="AF44" s="752">
        <v>60</v>
      </c>
      <c r="AG44" s="752">
        <v>59.657040316830177</v>
      </c>
      <c r="AH44" s="746"/>
      <c r="AI44" s="752">
        <v>46.325000000000003</v>
      </c>
      <c r="AJ44" s="752"/>
      <c r="AK44" s="811"/>
      <c r="AL44" s="746"/>
      <c r="AM44" s="811"/>
      <c r="AN44" s="746"/>
      <c r="AO44" s="746"/>
      <c r="AP44" s="811"/>
      <c r="AQ44" s="19"/>
    </row>
    <row r="45" spans="2:43" x14ac:dyDescent="0.25">
      <c r="B45" s="667" t="s">
        <v>648</v>
      </c>
      <c r="C45" s="791" t="s">
        <v>639</v>
      </c>
      <c r="D45" s="752">
        <v>126.79118515585151</v>
      </c>
      <c r="E45" s="752">
        <v>118.40365749712616</v>
      </c>
      <c r="F45" s="752">
        <v>119.71659623261576</v>
      </c>
      <c r="G45" s="752">
        <v>111.99342720032412</v>
      </c>
      <c r="H45" s="752">
        <v>125.02253792504256</v>
      </c>
      <c r="I45" s="752">
        <v>116.80109992292566</v>
      </c>
      <c r="J45" s="752">
        <v>115.21781499460056</v>
      </c>
      <c r="K45" s="752">
        <v>76.367245529419392</v>
      </c>
      <c r="L45" s="752">
        <v>70.844059980039987</v>
      </c>
      <c r="M45" s="752">
        <v>70.82218114276327</v>
      </c>
      <c r="N45" s="752">
        <v>68.951145046036643</v>
      </c>
      <c r="O45" s="752">
        <v>91.89729141381801</v>
      </c>
      <c r="P45" s="752"/>
      <c r="Q45" s="752">
        <v>37.75092008552037</v>
      </c>
      <c r="R45" s="752">
        <v>24.538098055588243</v>
      </c>
      <c r="S45" s="752">
        <v>47.9178</v>
      </c>
      <c r="T45" s="752">
        <v>43.354199999999999</v>
      </c>
      <c r="U45" s="752">
        <v>43.354199999999999</v>
      </c>
      <c r="V45" s="752">
        <v>37.43333333333333</v>
      </c>
      <c r="W45" s="752">
        <v>19.25</v>
      </c>
      <c r="X45" s="752">
        <v>24.75</v>
      </c>
      <c r="Y45" s="752">
        <v>56.657744914210625</v>
      </c>
      <c r="Z45" s="773">
        <v>25.2</v>
      </c>
      <c r="AA45" s="752">
        <v>30.799999999999997</v>
      </c>
      <c r="AB45" s="752">
        <v>0</v>
      </c>
      <c r="AC45" s="752">
        <v>45</v>
      </c>
      <c r="AD45" s="752">
        <v>82.5</v>
      </c>
      <c r="AE45" s="752">
        <v>35</v>
      </c>
      <c r="AF45" s="752">
        <v>75</v>
      </c>
      <c r="AG45" s="752">
        <v>126.77121067326411</v>
      </c>
      <c r="AH45" s="746"/>
      <c r="AI45" s="752">
        <v>268.685</v>
      </c>
      <c r="AJ45" s="752"/>
      <c r="AK45" s="811"/>
      <c r="AL45" s="746"/>
      <c r="AM45" s="811"/>
      <c r="AN45" s="746"/>
      <c r="AO45" s="746"/>
      <c r="AP45" s="811"/>
      <c r="AQ45" s="19"/>
    </row>
    <row r="46" spans="2:43" x14ac:dyDescent="0.25">
      <c r="B46" s="667" t="s">
        <v>649</v>
      </c>
      <c r="C46" s="791" t="s">
        <v>538</v>
      </c>
      <c r="D46" s="809">
        <v>2.2003352891869237</v>
      </c>
      <c r="E46" s="809">
        <v>2.2003352891869237</v>
      </c>
      <c r="F46" s="809">
        <v>2.2003352891869237</v>
      </c>
      <c r="G46" s="809">
        <v>2.2003352891869237</v>
      </c>
      <c r="H46" s="809">
        <v>2.2003352891869237</v>
      </c>
      <c r="I46" s="809">
        <v>2.2003352891869237</v>
      </c>
      <c r="J46" s="809">
        <v>2.8846153846153846</v>
      </c>
      <c r="K46" s="809">
        <v>2.2925764192139741</v>
      </c>
      <c r="L46" s="809">
        <v>2.2925764192139741</v>
      </c>
      <c r="M46" s="809">
        <v>1.8672199170124482</v>
      </c>
      <c r="N46" s="809">
        <v>1.8672199170124482</v>
      </c>
      <c r="O46" s="809">
        <v>1.1848341232227488</v>
      </c>
      <c r="P46" s="809"/>
      <c r="Q46" s="809">
        <v>1.9072164948453609</v>
      </c>
      <c r="R46" s="809">
        <v>-7.9174664107485609E-2</v>
      </c>
      <c r="S46" s="809">
        <v>0.59171597633136097</v>
      </c>
      <c r="T46" s="809">
        <v>0.59171597633136097</v>
      </c>
      <c r="U46" s="809">
        <v>0.59171597633136097</v>
      </c>
      <c r="V46" s="809">
        <v>0.67567567567567566</v>
      </c>
      <c r="W46" s="809">
        <v>1.1363636363636365</v>
      </c>
      <c r="X46" s="809">
        <v>1.1363636363636365</v>
      </c>
      <c r="Y46" s="809">
        <v>1.8672199170124482</v>
      </c>
      <c r="Z46" s="35">
        <v>0</v>
      </c>
      <c r="AA46" s="809">
        <v>0</v>
      </c>
      <c r="AB46" s="809">
        <v>4.383116883116883</v>
      </c>
      <c r="AC46" s="809">
        <v>1.1363636363636365</v>
      </c>
      <c r="AD46" s="809">
        <v>1.1363636363636365</v>
      </c>
      <c r="AE46" s="809">
        <v>1.1363636363636365</v>
      </c>
      <c r="AF46" s="809">
        <v>1.9061583577712611</v>
      </c>
      <c r="AG46" s="809">
        <v>7.0000000000000009</v>
      </c>
      <c r="AH46" s="746"/>
      <c r="AI46" s="809">
        <v>0</v>
      </c>
      <c r="AJ46" s="809"/>
      <c r="AK46" s="811"/>
      <c r="AL46" s="746"/>
      <c r="AM46" s="811"/>
      <c r="AN46" s="746"/>
      <c r="AO46" s="746"/>
      <c r="AP46" s="811"/>
      <c r="AQ46" s="19"/>
    </row>
    <row r="47" spans="2:43" x14ac:dyDescent="0.25">
      <c r="B47" s="668" t="s">
        <v>650</v>
      </c>
      <c r="C47" s="791"/>
      <c r="D47" s="752"/>
      <c r="E47" s="811"/>
      <c r="F47" s="811"/>
      <c r="G47" s="811"/>
      <c r="H47" s="811"/>
      <c r="I47" s="811"/>
      <c r="J47" s="811"/>
      <c r="K47" s="811"/>
      <c r="L47" s="811"/>
      <c r="M47" s="811"/>
      <c r="N47" s="811"/>
      <c r="O47" s="811"/>
      <c r="P47" s="811"/>
      <c r="Q47" s="811"/>
      <c r="R47" s="811"/>
      <c r="S47" s="811"/>
      <c r="T47" s="811"/>
      <c r="U47" s="811"/>
      <c r="V47" s="811"/>
      <c r="W47" s="811"/>
      <c r="X47" s="811"/>
      <c r="Y47" s="811"/>
      <c r="Z47" s="29"/>
      <c r="AA47" s="811"/>
      <c r="AB47" s="811"/>
      <c r="AC47" s="811"/>
      <c r="AD47" s="811"/>
      <c r="AE47" s="746"/>
      <c r="AF47" s="746"/>
      <c r="AG47" s="811"/>
      <c r="AH47" s="746"/>
      <c r="AI47" s="811"/>
      <c r="AJ47" s="811"/>
      <c r="AK47" s="811"/>
      <c r="AL47" s="746"/>
      <c r="AM47" s="811"/>
      <c r="AN47" s="746"/>
      <c r="AO47" s="746"/>
      <c r="AP47" s="811"/>
      <c r="AQ47" s="19"/>
    </row>
    <row r="48" spans="2:43" x14ac:dyDescent="0.25">
      <c r="B48" s="670" t="s">
        <v>651</v>
      </c>
      <c r="C48" s="791" t="s">
        <v>538</v>
      </c>
      <c r="D48" s="752">
        <v>103</v>
      </c>
      <c r="E48" s="807">
        <v>103</v>
      </c>
      <c r="F48" s="807">
        <v>103</v>
      </c>
      <c r="G48" s="807">
        <v>103</v>
      </c>
      <c r="H48" s="807">
        <v>103</v>
      </c>
      <c r="I48" s="807">
        <v>103</v>
      </c>
      <c r="J48" s="807">
        <v>65</v>
      </c>
      <c r="K48" s="807">
        <v>81</v>
      </c>
      <c r="L48" s="807">
        <v>81</v>
      </c>
      <c r="M48" s="807">
        <v>65</v>
      </c>
      <c r="N48" s="807">
        <v>65</v>
      </c>
      <c r="O48" s="807">
        <v>59</v>
      </c>
      <c r="P48" s="807"/>
      <c r="Q48" s="807">
        <v>113</v>
      </c>
      <c r="R48" s="807">
        <v>54</v>
      </c>
      <c r="S48" s="807">
        <v>65</v>
      </c>
      <c r="T48" s="807">
        <v>65</v>
      </c>
      <c r="U48" s="807">
        <v>65</v>
      </c>
      <c r="V48" s="807">
        <v>81</v>
      </c>
      <c r="W48" s="807">
        <v>23.44736842105263</v>
      </c>
      <c r="X48" s="807">
        <v>38.63247863247863</v>
      </c>
      <c r="Y48" s="807">
        <v>32.5</v>
      </c>
      <c r="Z48" s="29"/>
      <c r="AA48" s="811"/>
      <c r="AB48" s="811"/>
      <c r="AC48" s="811"/>
      <c r="AD48" s="811"/>
      <c r="AE48" s="746"/>
      <c r="AF48" s="811"/>
      <c r="AG48" s="807">
        <v>173</v>
      </c>
      <c r="AH48" s="746"/>
      <c r="AI48" s="807">
        <v>32</v>
      </c>
      <c r="AJ48" s="807"/>
      <c r="AK48" s="811"/>
      <c r="AL48" s="746"/>
      <c r="AM48" s="811"/>
      <c r="AN48" s="746"/>
      <c r="AO48" s="746"/>
      <c r="AP48" s="811"/>
      <c r="AQ48" s="19"/>
    </row>
    <row r="49" spans="2:43" x14ac:dyDescent="0.25">
      <c r="B49" s="670" t="s">
        <v>652</v>
      </c>
      <c r="C49" s="791" t="s">
        <v>538</v>
      </c>
      <c r="D49" s="807">
        <v>121</v>
      </c>
      <c r="E49" s="807">
        <v>121</v>
      </c>
      <c r="F49" s="807">
        <v>127</v>
      </c>
      <c r="G49" s="807">
        <v>127</v>
      </c>
      <c r="H49" s="807">
        <v>127</v>
      </c>
      <c r="I49" s="807">
        <v>127</v>
      </c>
      <c r="J49" s="807">
        <v>55</v>
      </c>
      <c r="K49" s="807">
        <v>83</v>
      </c>
      <c r="L49" s="807">
        <v>83</v>
      </c>
      <c r="M49" s="807">
        <v>55</v>
      </c>
      <c r="N49" s="807">
        <v>55</v>
      </c>
      <c r="O49" s="807">
        <v>46</v>
      </c>
      <c r="P49" s="807"/>
      <c r="Q49" s="807">
        <v>80</v>
      </c>
      <c r="R49" s="807">
        <v>57</v>
      </c>
      <c r="S49" s="807">
        <v>50</v>
      </c>
      <c r="T49" s="807">
        <v>44</v>
      </c>
      <c r="U49" s="807">
        <v>44</v>
      </c>
      <c r="V49" s="807">
        <v>55</v>
      </c>
      <c r="W49" s="807">
        <v>24.75</v>
      </c>
      <c r="X49" s="807">
        <v>27.350427350427353</v>
      </c>
      <c r="Y49" s="807">
        <v>27.5</v>
      </c>
      <c r="Z49" s="29"/>
      <c r="AA49" s="811"/>
      <c r="AB49" s="811"/>
      <c r="AC49" s="811"/>
      <c r="AD49" s="811"/>
      <c r="AE49" s="746"/>
      <c r="AF49" s="811"/>
      <c r="AG49" s="807">
        <v>50</v>
      </c>
      <c r="AH49" s="746"/>
      <c r="AI49" s="807">
        <v>198</v>
      </c>
      <c r="AJ49" s="807"/>
      <c r="AK49" s="811"/>
      <c r="AL49" s="746"/>
      <c r="AM49" s="811"/>
      <c r="AN49" s="746"/>
      <c r="AO49" s="746"/>
      <c r="AP49" s="811"/>
      <c r="AQ49" s="19"/>
    </row>
    <row r="50" spans="2:43" x14ac:dyDescent="0.25">
      <c r="B50" s="670" t="s">
        <v>653</v>
      </c>
      <c r="C50" s="791" t="s">
        <v>538</v>
      </c>
      <c r="D50" s="807">
        <v>8</v>
      </c>
      <c r="E50" s="807">
        <v>8</v>
      </c>
      <c r="F50" s="807">
        <v>8</v>
      </c>
      <c r="G50" s="807">
        <v>8</v>
      </c>
      <c r="H50" s="807">
        <v>8</v>
      </c>
      <c r="I50" s="807">
        <v>8</v>
      </c>
      <c r="J50" s="807">
        <v>8</v>
      </c>
      <c r="K50" s="807">
        <v>8</v>
      </c>
      <c r="L50" s="807">
        <v>8</v>
      </c>
      <c r="M50" s="807">
        <v>8</v>
      </c>
      <c r="N50" s="807">
        <v>8</v>
      </c>
      <c r="O50" s="807">
        <v>8</v>
      </c>
      <c r="P50" s="807"/>
      <c r="Q50" s="807">
        <v>8</v>
      </c>
      <c r="R50" s="807">
        <v>8</v>
      </c>
      <c r="S50" s="807">
        <v>8</v>
      </c>
      <c r="T50" s="807">
        <v>11</v>
      </c>
      <c r="U50" s="807">
        <v>11</v>
      </c>
      <c r="V50" s="807">
        <v>11</v>
      </c>
      <c r="W50" s="807">
        <v>3.4736842105263155</v>
      </c>
      <c r="X50" s="807">
        <v>2.7350427350427351</v>
      </c>
      <c r="Y50" s="807">
        <v>2.7350427350427351</v>
      </c>
      <c r="Z50" s="29"/>
      <c r="AA50" s="811"/>
      <c r="AB50" s="811"/>
      <c r="AC50" s="811"/>
      <c r="AD50" s="811"/>
      <c r="AE50" s="746"/>
      <c r="AF50" s="811"/>
      <c r="AG50" s="807">
        <v>11</v>
      </c>
      <c r="AH50" s="746"/>
      <c r="AI50" s="807">
        <v>50</v>
      </c>
      <c r="AJ50" s="807"/>
      <c r="AK50" s="811"/>
      <c r="AL50" s="746"/>
      <c r="AM50" s="811"/>
      <c r="AN50" s="746"/>
      <c r="AO50" s="746"/>
      <c r="AP50" s="811"/>
      <c r="AQ50" s="19"/>
    </row>
    <row r="51" spans="2:43" x14ac:dyDescent="0.25">
      <c r="B51" s="670" t="s">
        <v>654</v>
      </c>
      <c r="C51" s="791" t="s">
        <v>538</v>
      </c>
      <c r="D51" s="807">
        <v>18</v>
      </c>
      <c r="E51" s="807">
        <v>18</v>
      </c>
      <c r="F51" s="807">
        <v>18</v>
      </c>
      <c r="G51" s="807">
        <v>18</v>
      </c>
      <c r="H51" s="807">
        <v>18</v>
      </c>
      <c r="I51" s="807">
        <v>18</v>
      </c>
      <c r="J51" s="807">
        <v>18</v>
      </c>
      <c r="K51" s="807">
        <v>18</v>
      </c>
      <c r="L51" s="807">
        <v>18</v>
      </c>
      <c r="M51" s="807">
        <v>18</v>
      </c>
      <c r="N51" s="807">
        <v>18</v>
      </c>
      <c r="O51" s="807">
        <v>18</v>
      </c>
      <c r="P51" s="807"/>
      <c r="Q51" s="807">
        <v>18</v>
      </c>
      <c r="R51" s="807">
        <v>18</v>
      </c>
      <c r="S51" s="807">
        <v>0</v>
      </c>
      <c r="T51" s="807">
        <v>0</v>
      </c>
      <c r="U51" s="807">
        <v>0</v>
      </c>
      <c r="V51" s="807">
        <v>0</v>
      </c>
      <c r="W51" s="807">
        <v>7.8157894736842097</v>
      </c>
      <c r="X51" s="807">
        <v>6.1538461538461542</v>
      </c>
      <c r="Y51" s="807">
        <v>6.1538461538461542</v>
      </c>
      <c r="Z51" s="29"/>
      <c r="AA51" s="811"/>
      <c r="AB51" s="811"/>
      <c r="AC51" s="811"/>
      <c r="AD51" s="811"/>
      <c r="AE51" s="746"/>
      <c r="AF51" s="811"/>
      <c r="AG51" s="807">
        <v>0</v>
      </c>
      <c r="AH51" s="746"/>
      <c r="AI51" s="807">
        <v>0</v>
      </c>
      <c r="AJ51" s="807"/>
      <c r="AK51" s="811"/>
      <c r="AL51" s="746"/>
      <c r="AM51" s="811"/>
      <c r="AN51" s="746"/>
      <c r="AO51" s="746"/>
      <c r="AP51" s="811"/>
      <c r="AQ51" s="19"/>
    </row>
    <row r="52" spans="2:43" x14ac:dyDescent="0.25">
      <c r="B52" s="670" t="s">
        <v>655</v>
      </c>
      <c r="C52" s="791" t="s">
        <v>538</v>
      </c>
      <c r="D52" s="807">
        <v>6</v>
      </c>
      <c r="E52" s="807">
        <v>6</v>
      </c>
      <c r="F52" s="807">
        <v>9</v>
      </c>
      <c r="G52" s="807">
        <v>9</v>
      </c>
      <c r="H52" s="807">
        <v>9</v>
      </c>
      <c r="I52" s="807">
        <v>9</v>
      </c>
      <c r="J52" s="807">
        <v>6</v>
      </c>
      <c r="K52" s="807">
        <v>6</v>
      </c>
      <c r="L52" s="807">
        <v>6</v>
      </c>
      <c r="M52" s="807">
        <v>6</v>
      </c>
      <c r="N52" s="807">
        <v>6</v>
      </c>
      <c r="O52" s="807">
        <v>6</v>
      </c>
      <c r="P52" s="807"/>
      <c r="Q52" s="807">
        <v>15</v>
      </c>
      <c r="R52" s="807">
        <v>15</v>
      </c>
      <c r="S52" s="807">
        <v>10</v>
      </c>
      <c r="T52" s="807">
        <v>10</v>
      </c>
      <c r="U52" s="807">
        <v>10</v>
      </c>
      <c r="V52" s="807">
        <v>10</v>
      </c>
      <c r="W52" s="807">
        <v>6.5131578947368425</v>
      </c>
      <c r="X52" s="807">
        <v>5.1282051282051277</v>
      </c>
      <c r="Y52" s="807">
        <v>5.1282051282051277</v>
      </c>
      <c r="Z52" s="29">
        <v>85</v>
      </c>
      <c r="AA52" s="811">
        <v>137</v>
      </c>
      <c r="AB52" s="811">
        <v>54</v>
      </c>
      <c r="AC52" s="811">
        <v>80</v>
      </c>
      <c r="AD52" s="811">
        <v>20</v>
      </c>
      <c r="AE52" s="811">
        <v>50</v>
      </c>
      <c r="AF52" s="811">
        <v>180</v>
      </c>
      <c r="AG52" s="807">
        <v>17</v>
      </c>
      <c r="AH52" s="746"/>
      <c r="AI52" s="807">
        <v>503</v>
      </c>
      <c r="AJ52" s="807">
        <v>245</v>
      </c>
      <c r="AK52" s="811">
        <v>880</v>
      </c>
      <c r="AL52" s="746"/>
      <c r="AM52" s="811">
        <v>1964</v>
      </c>
      <c r="AN52" s="811">
        <v>698</v>
      </c>
      <c r="AO52" s="811">
        <v>1443</v>
      </c>
      <c r="AP52" s="811">
        <v>850</v>
      </c>
      <c r="AQ52" s="19">
        <v>300</v>
      </c>
    </row>
    <row r="53" spans="2:43" x14ac:dyDescent="0.25">
      <c r="B53" s="667" t="s">
        <v>656</v>
      </c>
      <c r="C53" s="791" t="s">
        <v>538</v>
      </c>
      <c r="D53" s="752">
        <v>25</v>
      </c>
      <c r="E53" s="756">
        <v>22</v>
      </c>
      <c r="F53" s="756">
        <v>23</v>
      </c>
      <c r="G53" s="756">
        <v>24</v>
      </c>
      <c r="H53" s="756">
        <v>23</v>
      </c>
      <c r="I53" s="756">
        <v>24</v>
      </c>
      <c r="J53" s="756">
        <v>15</v>
      </c>
      <c r="K53" s="756">
        <v>20</v>
      </c>
      <c r="L53" s="756">
        <v>18</v>
      </c>
      <c r="M53" s="756">
        <v>16</v>
      </c>
      <c r="N53" s="756">
        <v>16</v>
      </c>
      <c r="O53" s="756">
        <v>20</v>
      </c>
      <c r="P53" s="756"/>
      <c r="Q53" s="756">
        <v>20</v>
      </c>
      <c r="R53" s="756">
        <v>13</v>
      </c>
      <c r="S53" s="756">
        <v>18</v>
      </c>
      <c r="T53" s="756">
        <v>17</v>
      </c>
      <c r="U53" s="756">
        <v>17</v>
      </c>
      <c r="V53" s="756">
        <v>15</v>
      </c>
      <c r="W53" s="756">
        <v>9</v>
      </c>
      <c r="X53" s="756">
        <v>11</v>
      </c>
      <c r="Y53" s="756">
        <v>9</v>
      </c>
      <c r="Z53" s="20">
        <v>17</v>
      </c>
      <c r="AA53" s="756">
        <v>15</v>
      </c>
      <c r="AB53" s="756">
        <v>168</v>
      </c>
      <c r="AC53" s="756">
        <v>12</v>
      </c>
      <c r="AD53" s="756"/>
      <c r="AE53" s="811"/>
      <c r="AF53" s="811"/>
      <c r="AG53" s="756">
        <v>0</v>
      </c>
      <c r="AH53" s="811">
        <v>7950</v>
      </c>
      <c r="AI53" s="756">
        <v>537.37</v>
      </c>
      <c r="AJ53" s="756">
        <v>305</v>
      </c>
      <c r="AK53" s="811">
        <v>3059</v>
      </c>
      <c r="AL53" s="746">
        <v>1500</v>
      </c>
      <c r="AM53" s="811">
        <v>35000</v>
      </c>
      <c r="AN53" s="746"/>
      <c r="AO53" s="746"/>
      <c r="AP53" s="811">
        <v>3119</v>
      </c>
      <c r="AQ53" s="19">
        <v>1093</v>
      </c>
    </row>
    <row r="54" spans="2:43" x14ac:dyDescent="0.25">
      <c r="B54" s="667" t="s">
        <v>657</v>
      </c>
      <c r="C54" s="791" t="s">
        <v>538</v>
      </c>
      <c r="D54" s="752"/>
      <c r="E54" s="756"/>
      <c r="F54" s="756"/>
      <c r="G54" s="756"/>
      <c r="H54" s="756"/>
      <c r="I54" s="756"/>
      <c r="J54" s="756"/>
      <c r="K54" s="756"/>
      <c r="L54" s="756"/>
      <c r="M54" s="756"/>
      <c r="N54" s="756"/>
      <c r="O54" s="756"/>
      <c r="P54" s="756"/>
      <c r="Q54" s="756"/>
      <c r="R54" s="756"/>
      <c r="S54" s="756"/>
      <c r="T54" s="756"/>
      <c r="U54" s="756"/>
      <c r="V54" s="756"/>
      <c r="W54" s="756"/>
      <c r="X54" s="756"/>
      <c r="Y54" s="756"/>
      <c r="Z54" s="20"/>
      <c r="AA54" s="756"/>
      <c r="AB54" s="756"/>
      <c r="AC54" s="756"/>
      <c r="AD54" s="756"/>
      <c r="AE54" s="746"/>
      <c r="AF54" s="746"/>
      <c r="AG54" s="756">
        <v>0</v>
      </c>
      <c r="AH54" s="746"/>
      <c r="AI54" s="756">
        <v>1042.3125</v>
      </c>
      <c r="AJ54" s="756">
        <v>1735</v>
      </c>
      <c r="AK54" s="811">
        <v>222</v>
      </c>
      <c r="AL54" s="746"/>
      <c r="AM54" s="811">
        <v>35250</v>
      </c>
      <c r="AN54" s="746"/>
      <c r="AO54" s="746"/>
      <c r="AP54" s="811"/>
      <c r="AQ54" s="19">
        <v>1080</v>
      </c>
    </row>
    <row r="55" spans="2:43" x14ac:dyDescent="0.25">
      <c r="B55" s="667" t="s">
        <v>658</v>
      </c>
      <c r="C55" s="791" t="s">
        <v>538</v>
      </c>
      <c r="D55" s="752"/>
      <c r="E55" s="756"/>
      <c r="F55" s="756"/>
      <c r="G55" s="756"/>
      <c r="H55" s="756"/>
      <c r="I55" s="756"/>
      <c r="J55" s="756"/>
      <c r="K55" s="756"/>
      <c r="L55" s="756"/>
      <c r="M55" s="756"/>
      <c r="N55" s="756"/>
      <c r="O55" s="756"/>
      <c r="P55" s="756"/>
      <c r="Q55" s="756"/>
      <c r="R55" s="756"/>
      <c r="S55" s="756"/>
      <c r="T55" s="756"/>
      <c r="U55" s="756"/>
      <c r="V55" s="756"/>
      <c r="W55" s="756"/>
      <c r="X55" s="756"/>
      <c r="Y55" s="756"/>
      <c r="Z55" s="20"/>
      <c r="AA55" s="756"/>
      <c r="AB55" s="756"/>
      <c r="AC55" s="756"/>
      <c r="AD55" s="756">
        <v>171</v>
      </c>
      <c r="AE55" s="811">
        <v>85</v>
      </c>
      <c r="AF55" s="811">
        <v>228</v>
      </c>
      <c r="AG55" s="756">
        <v>195</v>
      </c>
      <c r="AH55" s="746"/>
      <c r="AI55" s="756">
        <v>1590</v>
      </c>
      <c r="AJ55" s="756"/>
      <c r="AK55" s="811">
        <v>4650</v>
      </c>
      <c r="AL55" s="746">
        <v>1600</v>
      </c>
      <c r="AM55" s="811"/>
      <c r="AN55" s="811">
        <v>5385</v>
      </c>
      <c r="AO55" s="811">
        <v>34262</v>
      </c>
      <c r="AP55" s="811"/>
      <c r="AQ55" s="19"/>
    </row>
    <row r="56" spans="2:43" x14ac:dyDescent="0.25">
      <c r="B56" s="668" t="s">
        <v>659</v>
      </c>
      <c r="C56" s="791"/>
      <c r="D56" s="752"/>
      <c r="E56" s="811"/>
      <c r="F56" s="811"/>
      <c r="G56" s="811"/>
      <c r="H56" s="811"/>
      <c r="I56" s="811"/>
      <c r="J56" s="811"/>
      <c r="K56" s="811"/>
      <c r="L56" s="811"/>
      <c r="M56" s="811"/>
      <c r="N56" s="811"/>
      <c r="O56" s="811"/>
      <c r="P56" s="811"/>
      <c r="Q56" s="811"/>
      <c r="R56" s="811"/>
      <c r="S56" s="811"/>
      <c r="T56" s="811"/>
      <c r="U56" s="811"/>
      <c r="V56" s="811"/>
      <c r="W56" s="811"/>
      <c r="X56" s="811"/>
      <c r="Y56" s="811"/>
      <c r="Z56" s="29"/>
      <c r="AA56" s="811"/>
      <c r="AB56" s="811"/>
      <c r="AC56" s="811"/>
      <c r="AD56" s="811"/>
      <c r="AE56" s="746"/>
      <c r="AF56" s="746"/>
      <c r="AG56" s="811"/>
      <c r="AH56" s="746"/>
      <c r="AI56" s="811"/>
      <c r="AJ56" s="811"/>
      <c r="AK56" s="811"/>
      <c r="AL56" s="746"/>
      <c r="AM56" s="811"/>
      <c r="AN56" s="746"/>
      <c r="AO56" s="746"/>
      <c r="AP56" s="811"/>
      <c r="AQ56" s="19"/>
    </row>
    <row r="57" spans="2:43" x14ac:dyDescent="0.25">
      <c r="B57" s="667" t="s">
        <v>636</v>
      </c>
      <c r="C57" s="791" t="s">
        <v>538</v>
      </c>
      <c r="D57" s="756">
        <v>65.641625000000005</v>
      </c>
      <c r="E57" s="756">
        <v>88.357500000000016</v>
      </c>
      <c r="F57" s="756">
        <v>63.034999999999997</v>
      </c>
      <c r="G57" s="756">
        <v>96.288500000000013</v>
      </c>
      <c r="H57" s="756">
        <v>57.758749999999999</v>
      </c>
      <c r="I57" s="756">
        <v>88.559625000000011</v>
      </c>
      <c r="J57" s="756">
        <v>78.959999999999994</v>
      </c>
      <c r="K57" s="756">
        <v>58.668750000000003</v>
      </c>
      <c r="L57" s="756">
        <v>62.212499999999999</v>
      </c>
      <c r="M57" s="756">
        <v>57.548750000000005</v>
      </c>
      <c r="N57" s="756">
        <v>59.141249999999999</v>
      </c>
      <c r="O57" s="756">
        <v>60.077500000000001</v>
      </c>
      <c r="P57" s="756"/>
      <c r="Q57" s="756">
        <v>35.728000000000002</v>
      </c>
      <c r="R57" s="756">
        <v>43.515999999999998</v>
      </c>
      <c r="S57" s="756">
        <v>85.625</v>
      </c>
      <c r="T57" s="756">
        <v>91.025000000000006</v>
      </c>
      <c r="U57" s="756">
        <v>90.6875</v>
      </c>
      <c r="V57" s="756">
        <v>83.1</v>
      </c>
      <c r="W57" s="756">
        <v>90</v>
      </c>
      <c r="X57" s="756">
        <v>94.5</v>
      </c>
      <c r="Y57" s="756">
        <v>57.548750000000005</v>
      </c>
      <c r="Z57" s="20">
        <v>60.64</v>
      </c>
      <c r="AA57" s="756">
        <v>87.75</v>
      </c>
      <c r="AB57" s="756">
        <v>190</v>
      </c>
      <c r="AC57" s="756">
        <v>152</v>
      </c>
      <c r="AD57" s="756">
        <v>137</v>
      </c>
      <c r="AE57" s="756">
        <v>170</v>
      </c>
      <c r="AF57" s="756">
        <v>53.999999999999993</v>
      </c>
      <c r="AG57" s="756">
        <v>206.99999999999997</v>
      </c>
      <c r="AH57" s="746"/>
      <c r="AI57" s="756">
        <v>968.59999999999991</v>
      </c>
      <c r="AJ57" s="756">
        <v>1100</v>
      </c>
      <c r="AK57" s="756">
        <v>80</v>
      </c>
      <c r="AL57" s="756">
        <v>0</v>
      </c>
      <c r="AM57" s="756">
        <v>16400</v>
      </c>
      <c r="AN57" s="756">
        <v>12830</v>
      </c>
      <c r="AO57" s="756">
        <v>74188</v>
      </c>
      <c r="AP57" s="756">
        <v>840</v>
      </c>
      <c r="AQ57" s="22">
        <v>787.95</v>
      </c>
    </row>
    <row r="58" spans="2:43" x14ac:dyDescent="0.25">
      <c r="B58" s="667" t="s">
        <v>660</v>
      </c>
      <c r="C58" s="791" t="s">
        <v>538</v>
      </c>
      <c r="D58" s="752">
        <v>228.30328948045926</v>
      </c>
      <c r="E58" s="752">
        <v>221.90931912032949</v>
      </c>
      <c r="F58" s="752">
        <v>249.57686372158679</v>
      </c>
      <c r="G58" s="752">
        <v>243.68934645928908</v>
      </c>
      <c r="H58" s="752">
        <v>246.95501637407446</v>
      </c>
      <c r="I58" s="752">
        <v>240.68765928840273</v>
      </c>
      <c r="J58" s="752">
        <v>203.50586400265965</v>
      </c>
      <c r="K58" s="752">
        <v>159.77123379247581</v>
      </c>
      <c r="L58" s="752">
        <v>121.79865330099912</v>
      </c>
      <c r="M58" s="752">
        <v>130.79339942635909</v>
      </c>
      <c r="N58" s="752">
        <v>102.65803721492492</v>
      </c>
      <c r="O58" s="752">
        <v>151.85269741880143</v>
      </c>
      <c r="P58" s="752"/>
      <c r="Q58" s="752">
        <v>169.78654769756236</v>
      </c>
      <c r="R58" s="752">
        <v>80.042390617658555</v>
      </c>
      <c r="S58" s="752">
        <v>43.630928367635711</v>
      </c>
      <c r="T58" s="752">
        <v>39.531955758940057</v>
      </c>
      <c r="U58" s="752">
        <v>39.531955758940057</v>
      </c>
      <c r="V58" s="752">
        <v>33.958791617704662</v>
      </c>
      <c r="W58" s="752">
        <v>55.484914361001323</v>
      </c>
      <c r="X58" s="752">
        <v>81.4892621870883</v>
      </c>
      <c r="Y58" s="752">
        <v>119.67483019115642</v>
      </c>
      <c r="Z58" s="773">
        <v>115.8227536231884</v>
      </c>
      <c r="AA58" s="752">
        <v>128.96855072463768</v>
      </c>
      <c r="AB58" s="752">
        <v>51.049783549783555</v>
      </c>
      <c r="AC58" s="752">
        <v>60.259552042160742</v>
      </c>
      <c r="AD58" s="752">
        <v>164.53491436100131</v>
      </c>
      <c r="AE58" s="752">
        <v>87.491436100131764</v>
      </c>
      <c r="AF58" s="752">
        <v>171.18152067661188</v>
      </c>
      <c r="AG58" s="752">
        <v>194.13078878932205</v>
      </c>
      <c r="AH58" s="746"/>
      <c r="AI58" s="752">
        <v>239.3172971014493</v>
      </c>
      <c r="AJ58" s="752">
        <v>477</v>
      </c>
      <c r="AK58" s="752">
        <v>130</v>
      </c>
      <c r="AL58" s="752">
        <v>0</v>
      </c>
      <c r="AM58" s="752">
        <v>0</v>
      </c>
      <c r="AN58" s="752">
        <v>2210</v>
      </c>
      <c r="AO58" s="752">
        <v>9335</v>
      </c>
      <c r="AP58" s="752">
        <v>291</v>
      </c>
      <c r="AQ58" s="677">
        <v>325</v>
      </c>
    </row>
    <row r="59" spans="2:43" x14ac:dyDescent="0.25">
      <c r="B59" s="667" t="s">
        <v>661</v>
      </c>
      <c r="C59" s="791" t="s">
        <v>538</v>
      </c>
      <c r="D59" s="752">
        <v>256</v>
      </c>
      <c r="E59" s="752">
        <v>256</v>
      </c>
      <c r="F59" s="752">
        <v>265</v>
      </c>
      <c r="G59" s="752">
        <v>265</v>
      </c>
      <c r="H59" s="752">
        <v>265</v>
      </c>
      <c r="I59" s="752">
        <v>265</v>
      </c>
      <c r="J59" s="752">
        <v>152</v>
      </c>
      <c r="K59" s="752">
        <v>196</v>
      </c>
      <c r="L59" s="752">
        <v>196</v>
      </c>
      <c r="M59" s="752">
        <v>152</v>
      </c>
      <c r="N59" s="752">
        <v>152</v>
      </c>
      <c r="O59" s="752">
        <v>137</v>
      </c>
      <c r="P59" s="752"/>
      <c r="Q59" s="752">
        <v>234</v>
      </c>
      <c r="R59" s="752">
        <v>152</v>
      </c>
      <c r="S59" s="752">
        <v>133</v>
      </c>
      <c r="T59" s="752">
        <v>130</v>
      </c>
      <c r="U59" s="752">
        <v>130</v>
      </c>
      <c r="V59" s="752">
        <v>157</v>
      </c>
      <c r="W59" s="752">
        <v>66</v>
      </c>
      <c r="X59" s="752">
        <v>80</v>
      </c>
      <c r="Y59" s="752">
        <v>74.01709401709401</v>
      </c>
      <c r="Z59" s="773">
        <v>85</v>
      </c>
      <c r="AA59" s="752">
        <v>137</v>
      </c>
      <c r="AB59" s="752">
        <v>54</v>
      </c>
      <c r="AC59" s="752">
        <v>80</v>
      </c>
      <c r="AD59" s="752">
        <v>20</v>
      </c>
      <c r="AE59" s="752">
        <v>50</v>
      </c>
      <c r="AF59" s="752">
        <v>180</v>
      </c>
      <c r="AG59" s="752">
        <v>251</v>
      </c>
      <c r="AH59" s="746"/>
      <c r="AI59" s="752">
        <v>783</v>
      </c>
      <c r="AJ59" s="752">
        <v>245</v>
      </c>
      <c r="AK59" s="752">
        <v>880</v>
      </c>
      <c r="AL59" s="752">
        <v>0</v>
      </c>
      <c r="AM59" s="752">
        <v>1964</v>
      </c>
      <c r="AN59" s="752">
        <v>698</v>
      </c>
      <c r="AO59" s="752">
        <v>1443</v>
      </c>
      <c r="AP59" s="752">
        <v>850</v>
      </c>
      <c r="AQ59" s="677">
        <v>300</v>
      </c>
    </row>
    <row r="60" spans="2:43" x14ac:dyDescent="0.25">
      <c r="B60" s="667" t="s">
        <v>662</v>
      </c>
      <c r="C60" s="791" t="s">
        <v>538</v>
      </c>
      <c r="D60" s="756">
        <v>25</v>
      </c>
      <c r="E60" s="756">
        <v>22</v>
      </c>
      <c r="F60" s="756">
        <v>23</v>
      </c>
      <c r="G60" s="756">
        <v>24</v>
      </c>
      <c r="H60" s="756">
        <v>23</v>
      </c>
      <c r="I60" s="756">
        <v>24</v>
      </c>
      <c r="J60" s="756">
        <v>15</v>
      </c>
      <c r="K60" s="756">
        <v>20</v>
      </c>
      <c r="L60" s="756">
        <v>18</v>
      </c>
      <c r="M60" s="756">
        <v>16</v>
      </c>
      <c r="N60" s="756">
        <v>16</v>
      </c>
      <c r="O60" s="756">
        <v>20</v>
      </c>
      <c r="P60" s="756"/>
      <c r="Q60" s="756">
        <v>20</v>
      </c>
      <c r="R60" s="756">
        <v>13</v>
      </c>
      <c r="S60" s="756">
        <v>18</v>
      </c>
      <c r="T60" s="756">
        <v>17</v>
      </c>
      <c r="U60" s="756">
        <v>17</v>
      </c>
      <c r="V60" s="756">
        <v>15</v>
      </c>
      <c r="W60" s="756">
        <v>9</v>
      </c>
      <c r="X60" s="756">
        <v>11</v>
      </c>
      <c r="Y60" s="756">
        <v>9</v>
      </c>
      <c r="Z60" s="20">
        <v>17</v>
      </c>
      <c r="AA60" s="756">
        <v>15</v>
      </c>
      <c r="AB60" s="756">
        <v>168</v>
      </c>
      <c r="AC60" s="756">
        <v>12</v>
      </c>
      <c r="AD60" s="756">
        <v>0</v>
      </c>
      <c r="AE60" s="756">
        <v>0</v>
      </c>
      <c r="AF60" s="756">
        <v>0</v>
      </c>
      <c r="AG60" s="756">
        <v>0</v>
      </c>
      <c r="AH60" s="756">
        <v>7950</v>
      </c>
      <c r="AI60" s="756">
        <v>537.37</v>
      </c>
      <c r="AJ60" s="756">
        <v>305</v>
      </c>
      <c r="AK60" s="756">
        <v>3059</v>
      </c>
      <c r="AL60" s="756">
        <v>1500</v>
      </c>
      <c r="AM60" s="756">
        <v>35000</v>
      </c>
      <c r="AN60" s="756">
        <v>0</v>
      </c>
      <c r="AO60" s="756">
        <v>0</v>
      </c>
      <c r="AP60" s="756">
        <v>3119</v>
      </c>
      <c r="AQ60" s="22">
        <v>1093</v>
      </c>
    </row>
    <row r="61" spans="2:43" x14ac:dyDescent="0.25">
      <c r="B61" s="667" t="s">
        <v>663</v>
      </c>
      <c r="C61" s="791" t="s">
        <v>538</v>
      </c>
      <c r="D61" s="756"/>
      <c r="E61" s="756"/>
      <c r="F61" s="756"/>
      <c r="G61" s="756"/>
      <c r="H61" s="756"/>
      <c r="I61" s="756"/>
      <c r="J61" s="756"/>
      <c r="K61" s="756"/>
      <c r="L61" s="756"/>
      <c r="M61" s="756"/>
      <c r="N61" s="756"/>
      <c r="O61" s="756"/>
      <c r="P61" s="756"/>
      <c r="Q61" s="756"/>
      <c r="R61" s="756"/>
      <c r="S61" s="756"/>
      <c r="T61" s="756"/>
      <c r="U61" s="756"/>
      <c r="V61" s="756"/>
      <c r="W61" s="756"/>
      <c r="X61" s="756"/>
      <c r="Y61" s="756"/>
      <c r="Z61" s="20"/>
      <c r="AA61" s="756"/>
      <c r="AB61" s="756"/>
      <c r="AC61" s="756"/>
      <c r="AD61" s="756"/>
      <c r="AE61" s="756"/>
      <c r="AF61" s="756"/>
      <c r="AG61" s="756">
        <v>0</v>
      </c>
      <c r="AH61" s="756"/>
      <c r="AI61" s="756">
        <v>1042.3125</v>
      </c>
      <c r="AJ61" s="756">
        <v>1735</v>
      </c>
      <c r="AK61" s="756">
        <v>222</v>
      </c>
      <c r="AL61" s="756">
        <v>0</v>
      </c>
      <c r="AM61" s="756">
        <v>35250</v>
      </c>
      <c r="AN61" s="756">
        <v>0</v>
      </c>
      <c r="AO61" s="756">
        <v>0</v>
      </c>
      <c r="AP61" s="811"/>
      <c r="AQ61" s="22">
        <v>1080</v>
      </c>
    </row>
    <row r="62" spans="2:43" x14ac:dyDescent="0.25">
      <c r="B62" s="667" t="s">
        <v>664</v>
      </c>
      <c r="C62" s="791" t="s">
        <v>538</v>
      </c>
      <c r="D62" s="756">
        <v>0</v>
      </c>
      <c r="E62" s="756">
        <v>0</v>
      </c>
      <c r="F62" s="756">
        <v>0</v>
      </c>
      <c r="G62" s="756">
        <v>0</v>
      </c>
      <c r="H62" s="756">
        <v>0</v>
      </c>
      <c r="I62" s="756">
        <v>0</v>
      </c>
      <c r="J62" s="756">
        <v>0</v>
      </c>
      <c r="K62" s="756">
        <v>0</v>
      </c>
      <c r="L62" s="756">
        <v>0</v>
      </c>
      <c r="M62" s="756">
        <v>0</v>
      </c>
      <c r="N62" s="756">
        <v>0</v>
      </c>
      <c r="O62" s="756">
        <v>0</v>
      </c>
      <c r="P62" s="756"/>
      <c r="Q62" s="756">
        <v>0</v>
      </c>
      <c r="R62" s="756">
        <v>0</v>
      </c>
      <c r="S62" s="756">
        <v>0</v>
      </c>
      <c r="T62" s="756">
        <v>0</v>
      </c>
      <c r="U62" s="756">
        <v>0</v>
      </c>
      <c r="V62" s="756">
        <v>0</v>
      </c>
      <c r="W62" s="756">
        <v>0</v>
      </c>
      <c r="X62" s="756">
        <v>0</v>
      </c>
      <c r="Y62" s="756">
        <v>0</v>
      </c>
      <c r="Z62" s="20">
        <v>0</v>
      </c>
      <c r="AA62" s="756">
        <v>0</v>
      </c>
      <c r="AB62" s="756">
        <v>0</v>
      </c>
      <c r="AC62" s="756">
        <v>0</v>
      </c>
      <c r="AD62" s="756">
        <v>171</v>
      </c>
      <c r="AE62" s="756">
        <v>85</v>
      </c>
      <c r="AF62" s="756">
        <v>228</v>
      </c>
      <c r="AG62" s="756">
        <v>195</v>
      </c>
      <c r="AH62" s="746"/>
      <c r="AI62" s="756">
        <v>1590</v>
      </c>
      <c r="AJ62" s="756">
        <v>0</v>
      </c>
      <c r="AK62" s="756">
        <v>4650</v>
      </c>
      <c r="AL62" s="756">
        <v>1600</v>
      </c>
      <c r="AM62" s="756">
        <v>0</v>
      </c>
      <c r="AN62" s="756">
        <v>5385</v>
      </c>
      <c r="AO62" s="756">
        <v>34262</v>
      </c>
      <c r="AP62" s="811"/>
      <c r="AQ62" s="19"/>
    </row>
    <row r="63" spans="2:43" x14ac:dyDescent="0.25">
      <c r="B63" s="675" t="s">
        <v>665</v>
      </c>
      <c r="C63" s="791" t="s">
        <v>538</v>
      </c>
      <c r="D63" s="439">
        <v>574.94491448045926</v>
      </c>
      <c r="E63" s="439">
        <v>588.2668191203295</v>
      </c>
      <c r="F63" s="439">
        <v>600.61186372158681</v>
      </c>
      <c r="G63" s="439">
        <v>628.97784645928914</v>
      </c>
      <c r="H63" s="439">
        <v>592.71376637407445</v>
      </c>
      <c r="I63" s="439">
        <v>618.24728428840274</v>
      </c>
      <c r="J63" s="439">
        <v>449.46586400265966</v>
      </c>
      <c r="K63" s="439">
        <v>434.4399837924758</v>
      </c>
      <c r="L63" s="439">
        <v>398.01115330099913</v>
      </c>
      <c r="M63" s="439">
        <v>356.34214942635913</v>
      </c>
      <c r="N63" s="439">
        <v>329.7992872149249</v>
      </c>
      <c r="O63" s="439">
        <v>368.93019741880141</v>
      </c>
      <c r="P63" s="439"/>
      <c r="Q63" s="439">
        <v>459.51454769756236</v>
      </c>
      <c r="R63" s="439">
        <v>288.55839061765857</v>
      </c>
      <c r="S63" s="439">
        <v>280.2559283676357</v>
      </c>
      <c r="T63" s="439">
        <v>277.55695575894003</v>
      </c>
      <c r="U63" s="439">
        <v>277.21945575894006</v>
      </c>
      <c r="V63" s="439">
        <v>289.05879161770463</v>
      </c>
      <c r="W63" s="439">
        <v>220.48491436100133</v>
      </c>
      <c r="X63" s="439">
        <v>266.98926218708829</v>
      </c>
      <c r="Y63" s="439">
        <v>260.24067420825043</v>
      </c>
      <c r="Z63" s="77">
        <v>278.46275362318841</v>
      </c>
      <c r="AA63" s="439">
        <v>368.71855072463768</v>
      </c>
      <c r="AB63" s="439">
        <v>463.04978354978357</v>
      </c>
      <c r="AC63" s="439">
        <v>304.25955204216075</v>
      </c>
      <c r="AD63" s="439">
        <v>492.53491436100131</v>
      </c>
      <c r="AE63" s="439">
        <v>392.49143610013175</v>
      </c>
      <c r="AF63" s="439">
        <v>633.18152067661185</v>
      </c>
      <c r="AG63" s="439">
        <v>847.13078878932197</v>
      </c>
      <c r="AH63" s="439">
        <v>7950</v>
      </c>
      <c r="AI63" s="439">
        <v>5160.5997971014494</v>
      </c>
      <c r="AJ63" s="439">
        <v>3862</v>
      </c>
      <c r="AK63" s="439">
        <v>9021</v>
      </c>
      <c r="AL63" s="439">
        <v>3100</v>
      </c>
      <c r="AM63" s="439">
        <v>88614</v>
      </c>
      <c r="AN63" s="439">
        <v>21123</v>
      </c>
      <c r="AO63" s="439">
        <v>119228</v>
      </c>
      <c r="AP63" s="439">
        <v>5100</v>
      </c>
      <c r="AQ63" s="78">
        <v>3585.95</v>
      </c>
    </row>
    <row r="64" spans="2:43" x14ac:dyDescent="0.25">
      <c r="B64" s="675" t="s">
        <v>666</v>
      </c>
      <c r="C64" s="791" t="s">
        <v>538</v>
      </c>
      <c r="D64" s="439">
        <v>872.31973060313373</v>
      </c>
      <c r="E64" s="439">
        <v>739.17600226718719</v>
      </c>
      <c r="F64" s="439">
        <v>855.2433536259357</v>
      </c>
      <c r="G64" s="439">
        <v>706.24882600291608</v>
      </c>
      <c r="H64" s="439">
        <v>854.29821481940292</v>
      </c>
      <c r="I64" s="439">
        <v>708.96660030279975</v>
      </c>
      <c r="J64" s="439">
        <v>711.17360759021471</v>
      </c>
      <c r="K64" s="439">
        <v>700.96031757456615</v>
      </c>
      <c r="L64" s="439">
        <v>810.16895307672246</v>
      </c>
      <c r="M64" s="439">
        <v>613.79199471547327</v>
      </c>
      <c r="N64" s="439">
        <v>769.30352713738796</v>
      </c>
      <c r="O64" s="439">
        <v>546.72660107878403</v>
      </c>
      <c r="P64" s="439"/>
      <c r="Q64" s="439">
        <v>741.65109138717662</v>
      </c>
      <c r="R64" s="439">
        <v>492.19927478742193</v>
      </c>
      <c r="S64" s="439">
        <v>458.47682163236431</v>
      </c>
      <c r="T64" s="439">
        <v>401.65884424105991</v>
      </c>
      <c r="U64" s="439">
        <v>391.15779424105995</v>
      </c>
      <c r="V64" s="439">
        <v>403.45787504896191</v>
      </c>
      <c r="W64" s="439">
        <v>479.5150856389987</v>
      </c>
      <c r="X64" s="439">
        <v>633.01073781291166</v>
      </c>
      <c r="Y64" s="439">
        <v>358.2730411052155</v>
      </c>
      <c r="Z64" s="77">
        <v>545.34924637681161</v>
      </c>
      <c r="AA64" s="439">
        <v>682.59344927536222</v>
      </c>
      <c r="AB64" s="439">
        <v>774.45021645021643</v>
      </c>
      <c r="AC64" s="439">
        <v>475.74044795783925</v>
      </c>
      <c r="AD64" s="439">
        <v>594.96508563899874</v>
      </c>
      <c r="AE64" s="439">
        <v>767.50856389986825</v>
      </c>
      <c r="AF64" s="439">
        <v>796.81847932338815</v>
      </c>
      <c r="AG64" s="439">
        <v>768.08357778885488</v>
      </c>
      <c r="AH64" s="439">
        <v>4349.9999999999982</v>
      </c>
      <c r="AI64" s="439">
        <v>2714.6502028985515</v>
      </c>
      <c r="AJ64" s="439">
        <v>1058</v>
      </c>
      <c r="AK64" s="439">
        <v>10979</v>
      </c>
      <c r="AL64" s="439">
        <v>15650</v>
      </c>
      <c r="AM64" s="439">
        <v>16386</v>
      </c>
      <c r="AN64" s="439">
        <v>51877</v>
      </c>
      <c r="AO64" s="439">
        <v>174700</v>
      </c>
      <c r="AP64" s="439">
        <v>8550</v>
      </c>
      <c r="AQ64" s="78">
        <v>3539.05</v>
      </c>
    </row>
    <row r="65" spans="2:45" ht="11" thickBot="1" x14ac:dyDescent="0.3">
      <c r="B65" s="678" t="s">
        <v>667</v>
      </c>
      <c r="C65" s="794"/>
      <c r="D65" s="810" t="s">
        <v>668</v>
      </c>
      <c r="E65" s="813" t="s">
        <v>668</v>
      </c>
      <c r="F65" s="813" t="s">
        <v>668</v>
      </c>
      <c r="G65" s="813" t="s">
        <v>668</v>
      </c>
      <c r="H65" s="813" t="s">
        <v>668</v>
      </c>
      <c r="I65" s="813" t="s">
        <v>668</v>
      </c>
      <c r="J65" s="813" t="s">
        <v>669</v>
      </c>
      <c r="K65" s="813" t="s">
        <v>668</v>
      </c>
      <c r="L65" s="813" t="s">
        <v>668</v>
      </c>
      <c r="M65" s="813" t="s">
        <v>669</v>
      </c>
      <c r="N65" s="813" t="s">
        <v>669</v>
      </c>
      <c r="O65" s="813" t="s">
        <v>668</v>
      </c>
      <c r="P65" s="813" t="s">
        <v>669</v>
      </c>
      <c r="Q65" s="813" t="s">
        <v>668</v>
      </c>
      <c r="R65" s="813" t="s">
        <v>669</v>
      </c>
      <c r="S65" s="813" t="s">
        <v>668</v>
      </c>
      <c r="T65" s="813" t="s">
        <v>669</v>
      </c>
      <c r="U65" s="813" t="s">
        <v>669</v>
      </c>
      <c r="V65" s="813" t="s">
        <v>669</v>
      </c>
      <c r="W65" s="813" t="s">
        <v>669</v>
      </c>
      <c r="X65" s="813" t="s">
        <v>668</v>
      </c>
      <c r="Y65" s="813" t="s">
        <v>669</v>
      </c>
      <c r="Z65" s="831" t="s">
        <v>669</v>
      </c>
      <c r="AA65" s="813" t="s">
        <v>669</v>
      </c>
      <c r="AB65" s="813" t="s">
        <v>669</v>
      </c>
      <c r="AC65" s="813" t="s">
        <v>669</v>
      </c>
      <c r="AD65" s="813" t="s">
        <v>669</v>
      </c>
      <c r="AE65" s="813" t="s">
        <v>669</v>
      </c>
      <c r="AF65" s="813" t="s">
        <v>669</v>
      </c>
      <c r="AG65" s="813" t="s">
        <v>668</v>
      </c>
      <c r="AH65" s="813" t="s">
        <v>668</v>
      </c>
      <c r="AI65" s="813" t="s">
        <v>668</v>
      </c>
      <c r="AJ65" s="813" t="s">
        <v>668</v>
      </c>
      <c r="AK65" s="813" t="s">
        <v>668</v>
      </c>
      <c r="AL65" s="813" t="s">
        <v>668</v>
      </c>
      <c r="AM65" s="813" t="s">
        <v>668</v>
      </c>
      <c r="AN65" s="813" t="s">
        <v>668</v>
      </c>
      <c r="AO65" s="813" t="s">
        <v>668</v>
      </c>
      <c r="AP65" s="813" t="s">
        <v>668</v>
      </c>
      <c r="AQ65" s="679" t="s">
        <v>668</v>
      </c>
    </row>
    <row r="66" spans="2:45" s="238" customFormat="1" ht="11" thickBot="1" x14ac:dyDescent="0.3">
      <c r="Z66" s="837"/>
      <c r="AA66" s="837"/>
      <c r="AB66" s="837"/>
      <c r="AC66" s="837"/>
      <c r="AD66" s="837"/>
      <c r="AE66" s="837"/>
      <c r="AF66" s="837"/>
      <c r="AG66" s="837"/>
      <c r="AH66" s="837"/>
      <c r="AI66" s="837"/>
      <c r="AJ66" s="837"/>
      <c r="AK66" s="837"/>
      <c r="AL66" s="837"/>
      <c r="AM66" s="837"/>
      <c r="AN66" s="837"/>
      <c r="AO66" s="837"/>
      <c r="AP66" s="837"/>
    </row>
    <row r="67" spans="2:45" s="238" customFormat="1" x14ac:dyDescent="0.25">
      <c r="B67" s="1068" t="s">
        <v>670</v>
      </c>
      <c r="C67" s="1073" t="s">
        <v>618</v>
      </c>
      <c r="D67" s="1074">
        <f>Forage!$E$40</f>
        <v>0.66666666666666674</v>
      </c>
      <c r="E67" s="1074">
        <f>Forage!$E$40</f>
        <v>0.66666666666666674</v>
      </c>
      <c r="F67" s="1074">
        <f>Forage!$E$40</f>
        <v>0.66666666666666674</v>
      </c>
      <c r="G67" s="1074">
        <f>Forage!$E$40</f>
        <v>0.66666666666666674</v>
      </c>
      <c r="H67" s="1074">
        <f>Forage!$E$40</f>
        <v>0.66666666666666674</v>
      </c>
      <c r="I67" s="1074">
        <f>Forage!$E$40</f>
        <v>0.66666666666666674</v>
      </c>
      <c r="J67" s="1074">
        <f>Forage!$E$40</f>
        <v>0.66666666666666674</v>
      </c>
      <c r="K67" s="1074">
        <f>Forage!$E$40</f>
        <v>0.66666666666666674</v>
      </c>
      <c r="L67" s="1074">
        <f>Forage!$E$40</f>
        <v>0.66666666666666674</v>
      </c>
      <c r="M67" s="1074">
        <f>Forage!$E$40</f>
        <v>0.66666666666666674</v>
      </c>
      <c r="N67" s="1074">
        <f>Forage!$E$40</f>
        <v>0.66666666666666674</v>
      </c>
      <c r="O67" s="1074">
        <f>Forage!$E$40</f>
        <v>0.66666666666666674</v>
      </c>
      <c r="P67" s="1074">
        <f>Forage!$E$40</f>
        <v>0.66666666666666674</v>
      </c>
      <c r="Q67" s="1074">
        <f>Forage!$E$40</f>
        <v>0.66666666666666674</v>
      </c>
      <c r="R67" s="1074">
        <f>Forage!$E$40</f>
        <v>0.66666666666666674</v>
      </c>
      <c r="S67" s="1074">
        <f>Forage!$E$40</f>
        <v>0.66666666666666674</v>
      </c>
      <c r="T67" s="1074">
        <f>Forage!$E$40</f>
        <v>0.66666666666666674</v>
      </c>
      <c r="U67" s="1074">
        <f>Forage!$E$40</f>
        <v>0.66666666666666674</v>
      </c>
      <c r="V67" s="1074">
        <f>Forage!$E$40</f>
        <v>0.66666666666666674</v>
      </c>
      <c r="W67" s="1074">
        <f>Forage!$E$40</f>
        <v>0.66666666666666674</v>
      </c>
      <c r="X67" s="1074">
        <f>Forage!$E$40</f>
        <v>0.66666666666666674</v>
      </c>
      <c r="Y67" s="1074">
        <f>Forage!$E$40</f>
        <v>0.66666666666666674</v>
      </c>
      <c r="Z67" s="1074">
        <f>Forage!$E$40</f>
        <v>0.66666666666666674</v>
      </c>
      <c r="AA67" s="1074">
        <f>Forage!$E$40</f>
        <v>0.66666666666666674</v>
      </c>
      <c r="AB67" s="1074">
        <f>Forage!$E$40</f>
        <v>0.66666666666666674</v>
      </c>
      <c r="AC67" s="1074">
        <f>Forage!$E$40</f>
        <v>0.66666666666666674</v>
      </c>
      <c r="AD67" s="1074">
        <f>Forage!$E$40</f>
        <v>0.66666666666666674</v>
      </c>
      <c r="AE67" s="1074">
        <f>Forage!$E$40</f>
        <v>0.66666666666666674</v>
      </c>
      <c r="AF67" s="1074">
        <f>Forage!$E$40</f>
        <v>0.66666666666666674</v>
      </c>
      <c r="AG67" s="1074">
        <f>Forage!$E$40</f>
        <v>0.66666666666666674</v>
      </c>
      <c r="AH67" s="1074">
        <f>Forage!$E$40</f>
        <v>0.66666666666666674</v>
      </c>
      <c r="AI67" s="1074">
        <f>Forage!$E$40</f>
        <v>0.66666666666666674</v>
      </c>
      <c r="AJ67" s="1074">
        <f>Forage!$E$40</f>
        <v>0.66666666666666674</v>
      </c>
      <c r="AK67" s="1074">
        <f>Forage!$E$40</f>
        <v>0.66666666666666674</v>
      </c>
      <c r="AL67" s="1074">
        <f>Forage!$E$40</f>
        <v>0.66666666666666674</v>
      </c>
      <c r="AM67" s="1074">
        <f>Forage!$E$40</f>
        <v>0.66666666666666674</v>
      </c>
      <c r="AN67" s="1074">
        <f>Forage!$E$40</f>
        <v>0.66666666666666674</v>
      </c>
      <c r="AO67" s="1074">
        <f>Forage!$E$40</f>
        <v>0.66666666666666674</v>
      </c>
      <c r="AP67" s="1074">
        <f>Forage!$E$40</f>
        <v>0.66666666666666674</v>
      </c>
      <c r="AQ67" s="1075">
        <f>Forage!$E$40</f>
        <v>0.66666666666666674</v>
      </c>
    </row>
    <row r="68" spans="2:45" s="238" customFormat="1" x14ac:dyDescent="0.25">
      <c r="B68" s="1076" t="s">
        <v>671</v>
      </c>
      <c r="C68" s="1036" t="s">
        <v>449</v>
      </c>
      <c r="D68" s="1067" cm="1">
        <f t="array" ref="D68">_xlfn.IFS(Dashboard!$C$6=Lists!$H$3,1,Dashboard!$C$6=Lists!$H$4,1.5,Dashboard!$C$6=Lists!$H$5,2,Dashboard!$C$6=Lists!$H$6,1+Dashboard!$D$6)</f>
        <v>2</v>
      </c>
      <c r="E68" s="1067" cm="1">
        <f t="array" ref="E68">_xlfn.IFS(Dashboard!$C$6=Lists!$H$3,1,Dashboard!$C$6=Lists!$H$4,1.5,Dashboard!$C$6=Lists!$H$5,2,Dashboard!$C$6=Lists!$H$6,1+Dashboard!$D$6)</f>
        <v>2</v>
      </c>
      <c r="F68" s="1067" cm="1">
        <f t="array" ref="F68">_xlfn.IFS(Dashboard!$C$6=Lists!$H$3,1,Dashboard!$C$6=Lists!$H$4,1.5,Dashboard!$C$6=Lists!$H$5,2,Dashboard!$C$6=Lists!$H$6,1+Dashboard!$D$6)</f>
        <v>2</v>
      </c>
      <c r="G68" s="1067" cm="1">
        <f t="array" ref="G68">_xlfn.IFS(Dashboard!$C$6=Lists!$H$3,1,Dashboard!$C$6=Lists!$H$4,1.5,Dashboard!$C$6=Lists!$H$5,2,Dashboard!$C$6=Lists!$H$6,1+Dashboard!$D$6)</f>
        <v>2</v>
      </c>
      <c r="H68" s="1067" cm="1">
        <f t="array" ref="H68">_xlfn.IFS(Dashboard!$C$6=Lists!$H$3,1,Dashboard!$C$6=Lists!$H$4,1.5,Dashboard!$C$6=Lists!$H$5,2,Dashboard!$C$6=Lists!$H$6,1+Dashboard!$D$6)</f>
        <v>2</v>
      </c>
      <c r="I68" s="1067" cm="1">
        <f t="array" ref="I68">_xlfn.IFS(Dashboard!$C$6=Lists!$H$3,1,Dashboard!$C$6=Lists!$H$4,1.5,Dashboard!$C$6=Lists!$H$5,2,Dashboard!$C$6=Lists!$H$6,1+Dashboard!$D$6)</f>
        <v>2</v>
      </c>
      <c r="J68" s="1067" cm="1">
        <f t="array" ref="J68">_xlfn.IFS(Dashboard!$C$6=Lists!$H$3,1,Dashboard!$C$6=Lists!$H$4,1.5,Dashboard!$C$6=Lists!$H$5,2,Dashboard!$C$6=Lists!$H$6,1+Dashboard!$D$6)</f>
        <v>2</v>
      </c>
      <c r="K68" s="1067" cm="1">
        <f t="array" ref="K68">_xlfn.IFS(Dashboard!$C$6=Lists!$H$3,1,Dashboard!$C$6=Lists!$H$4,1.5,Dashboard!$C$6=Lists!$H$5,2,Dashboard!$C$6=Lists!$H$6,1+Dashboard!$D$6)</f>
        <v>2</v>
      </c>
      <c r="L68" s="1067" cm="1">
        <f t="array" ref="L68">_xlfn.IFS(Dashboard!$C$6=Lists!$H$3,1,Dashboard!$C$6=Lists!$H$4,1.5,Dashboard!$C$6=Lists!$H$5,2,Dashboard!$C$6=Lists!$H$6,1+Dashboard!$D$6)</f>
        <v>2</v>
      </c>
      <c r="M68" s="1067" cm="1">
        <f t="array" ref="M68">_xlfn.IFS(Dashboard!$C$6=Lists!$H$3,1,Dashboard!$C$6=Lists!$H$4,1.5,Dashboard!$C$6=Lists!$H$5,2,Dashboard!$C$6=Lists!$H$6,1+Dashboard!$D$6)</f>
        <v>2</v>
      </c>
      <c r="N68" s="1067" cm="1">
        <f t="array" ref="N68">_xlfn.IFS(Dashboard!$C$6=Lists!$H$3,1,Dashboard!$C$6=Lists!$H$4,1.5,Dashboard!$C$6=Lists!$H$5,2,Dashboard!$C$6=Lists!$H$6,1+Dashboard!$D$6)</f>
        <v>2</v>
      </c>
      <c r="O68" s="1067" cm="1">
        <f t="array" ref="O68">_xlfn.IFS(Dashboard!$C$6=Lists!$H$3,1,Dashboard!$C$6=Lists!$H$4,1.5,Dashboard!$C$6=Lists!$H$5,2,Dashboard!$C$6=Lists!$H$6,1+Dashboard!$D$6)</f>
        <v>2</v>
      </c>
      <c r="P68" s="1067" cm="1">
        <f t="array" ref="P68">_xlfn.IFS(Dashboard!$C$6=Lists!$H$3,1,Dashboard!$C$6=Lists!$H$4,1.5,Dashboard!$C$6=Lists!$H$5,2,Dashboard!$C$6=Lists!$H$6,1+Dashboard!$D$6)</f>
        <v>2</v>
      </c>
      <c r="Q68" s="1067" cm="1">
        <f t="array" ref="Q68">_xlfn.IFS(Dashboard!$C$6=Lists!$H$3,1,Dashboard!$C$6=Lists!$H$4,1.5,Dashboard!$C$6=Lists!$H$5,2,Dashboard!$C$6=Lists!$H$6,1+Dashboard!$D$6)</f>
        <v>2</v>
      </c>
      <c r="R68" s="1067" cm="1">
        <f t="array" ref="R68">_xlfn.IFS(Dashboard!$C$6=Lists!$H$3,1,Dashboard!$C$6=Lists!$H$4,1.5,Dashboard!$C$6=Lists!$H$5,2,Dashboard!$C$6=Lists!$H$6,1+Dashboard!$D$6)</f>
        <v>2</v>
      </c>
      <c r="S68" s="1067" cm="1">
        <f t="array" ref="S68">_xlfn.IFS(Dashboard!$C$6=Lists!$H$3,1,Dashboard!$C$6=Lists!$H$4,1.5,Dashboard!$C$6=Lists!$H$5,2,Dashboard!$C$6=Lists!$H$6,1+Dashboard!$D$6)</f>
        <v>2</v>
      </c>
      <c r="T68" s="1067" cm="1">
        <f t="array" ref="T68">_xlfn.IFS(Dashboard!$C$6=Lists!$H$3,1,Dashboard!$C$6=Lists!$H$4,1.5,Dashboard!$C$6=Lists!$H$5,2,Dashboard!$C$6=Lists!$H$6,1+Dashboard!$D$6)</f>
        <v>2</v>
      </c>
      <c r="U68" s="1067" cm="1">
        <f t="array" ref="U68">_xlfn.IFS(Dashboard!$C$6=Lists!$H$3,1,Dashboard!$C$6=Lists!$H$4,1.5,Dashboard!$C$6=Lists!$H$5,2,Dashboard!$C$6=Lists!$H$6,1+Dashboard!$D$6)</f>
        <v>2</v>
      </c>
      <c r="V68" s="1067" cm="1">
        <f t="array" ref="V68">_xlfn.IFS(Dashboard!$C$6=Lists!$H$3,1,Dashboard!$C$6=Lists!$H$4,1.5,Dashboard!$C$6=Lists!$H$5,2,Dashboard!$C$6=Lists!$H$6,1+Dashboard!$D$6)</f>
        <v>2</v>
      </c>
      <c r="W68" s="1067" cm="1">
        <f t="array" ref="W68">_xlfn.IFS(Dashboard!$C$6=Lists!$H$3,1,Dashboard!$C$6=Lists!$H$4,1.5,Dashboard!$C$6=Lists!$H$5,2,Dashboard!$C$6=Lists!$H$6,1+Dashboard!$D$6)</f>
        <v>2</v>
      </c>
      <c r="X68" s="1067" cm="1">
        <f t="array" ref="X68">_xlfn.IFS(Dashboard!$C$6=Lists!$H$3,1,Dashboard!$C$6=Lists!$H$4,1.5,Dashboard!$C$6=Lists!$H$5,2,Dashboard!$C$6=Lists!$H$6,1+Dashboard!$D$6)</f>
        <v>2</v>
      </c>
      <c r="Y68" s="1067" cm="1">
        <f t="array" ref="Y68">_xlfn.IFS(Dashboard!$C$6=Lists!$H$3,1,Dashboard!$C$6=Lists!$H$4,1.5,Dashboard!$C$6=Lists!$H$5,2,Dashboard!$C$6=Lists!$H$6,1+Dashboard!$D$6)</f>
        <v>2</v>
      </c>
      <c r="Z68" s="1067" cm="1">
        <f t="array" ref="Z68">_xlfn.IFS(Dashboard!$C$6=Lists!$H$3,1,Dashboard!$C$6=Lists!$H$4,1.5,Dashboard!$C$6=Lists!$H$5,2,Dashboard!$C$6=Lists!$H$6,1+Dashboard!$D$6)</f>
        <v>2</v>
      </c>
      <c r="AA68" s="1067" cm="1">
        <f t="array" ref="AA68">_xlfn.IFS(Dashboard!$C$6=Lists!$H$3,1,Dashboard!$C$6=Lists!$H$4,1.5,Dashboard!$C$6=Lists!$H$5,2,Dashboard!$C$6=Lists!$H$6,1+Dashboard!$D$6)</f>
        <v>2</v>
      </c>
      <c r="AB68" s="1067" cm="1">
        <f t="array" ref="AB68">_xlfn.IFS(Dashboard!$C$6=Lists!$H$3,1,Dashboard!$C$6=Lists!$H$4,1.5,Dashboard!$C$6=Lists!$H$5,2,Dashboard!$C$6=Lists!$H$6,1+Dashboard!$D$6)</f>
        <v>2</v>
      </c>
      <c r="AC68" s="1067" cm="1">
        <f t="array" ref="AC68">_xlfn.IFS(Dashboard!$C$6=Lists!$H$3,1,Dashboard!$C$6=Lists!$H$4,1.5,Dashboard!$C$6=Lists!$H$5,2,Dashboard!$C$6=Lists!$H$6,1+Dashboard!$D$6)</f>
        <v>2</v>
      </c>
      <c r="AD68" s="1067" cm="1">
        <f t="array" ref="AD68">_xlfn.IFS(Dashboard!$C$6=Lists!$H$3,1,Dashboard!$C$6=Lists!$H$4,1.5,Dashboard!$C$6=Lists!$H$5,2,Dashboard!$C$6=Lists!$H$6,1+Dashboard!$D$6)</f>
        <v>2</v>
      </c>
      <c r="AE68" s="1067" cm="1">
        <f t="array" ref="AE68">_xlfn.IFS(Dashboard!$C$6=Lists!$H$3,1,Dashboard!$C$6=Lists!$H$4,1.5,Dashboard!$C$6=Lists!$H$5,2,Dashboard!$C$6=Lists!$H$6,1+Dashboard!$D$6)</f>
        <v>2</v>
      </c>
      <c r="AF68" s="1067" cm="1">
        <f t="array" ref="AF68">_xlfn.IFS(Dashboard!$C$6=Lists!$H$3,1,Dashboard!$C$6=Lists!$H$4,1.5,Dashboard!$C$6=Lists!$H$5,2,Dashboard!$C$6=Lists!$H$6,1+Dashboard!$D$6)</f>
        <v>2</v>
      </c>
      <c r="AG68" s="1067" cm="1">
        <f t="array" ref="AG68">_xlfn.IFS(Dashboard!$C$6=Lists!$H$3,1,Dashboard!$C$6=Lists!$H$4,1.5,Dashboard!$C$6=Lists!$H$5,2,Dashboard!$C$6=Lists!$H$6,1+Dashboard!$D$6)</f>
        <v>2</v>
      </c>
      <c r="AH68" s="1067" cm="1">
        <f t="array" ref="AH68">_xlfn.IFS(Dashboard!$C$6=Lists!$H$3,1,Dashboard!$C$6=Lists!$H$4,1.5,Dashboard!$C$6=Lists!$H$5,2,Dashboard!$C$6=Lists!$H$6,1+Dashboard!$D$6)</f>
        <v>2</v>
      </c>
      <c r="AI68" s="1067" cm="1">
        <f t="array" ref="AI68">_xlfn.IFS(Dashboard!$C$6=Lists!$H$3,1,Dashboard!$C$6=Lists!$H$4,1.5,Dashboard!$C$6=Lists!$H$5,2,Dashboard!$C$6=Lists!$H$6,1+Dashboard!$D$6)</f>
        <v>2</v>
      </c>
      <c r="AJ68" s="1067" cm="1">
        <f t="array" ref="AJ68">_xlfn.IFS(Dashboard!$C$6=Lists!$H$3,1,Dashboard!$C$6=Lists!$H$4,1.5,Dashboard!$C$6=Lists!$H$5,2,Dashboard!$C$6=Lists!$H$6,1+Dashboard!$D$6)</f>
        <v>2</v>
      </c>
      <c r="AK68" s="1067" cm="1">
        <f t="array" ref="AK68">_xlfn.IFS(Dashboard!$C$6=Lists!$H$3,1,Dashboard!$C$6=Lists!$H$4,1.5,Dashboard!$C$6=Lists!$H$5,2,Dashboard!$C$6=Lists!$H$6,1+Dashboard!$D$6)</f>
        <v>2</v>
      </c>
      <c r="AL68" s="1067" cm="1">
        <f t="array" ref="AL68">_xlfn.IFS(Dashboard!$C$6=Lists!$H$3,1,Dashboard!$C$6=Lists!$H$4,1.5,Dashboard!$C$6=Lists!$H$5,2,Dashboard!$C$6=Lists!$H$6,1+Dashboard!$D$6)</f>
        <v>2</v>
      </c>
      <c r="AM68" s="1067" cm="1">
        <f t="array" ref="AM68">_xlfn.IFS(Dashboard!$C$6=Lists!$H$3,1,Dashboard!$C$6=Lists!$H$4,1.5,Dashboard!$C$6=Lists!$H$5,2,Dashboard!$C$6=Lists!$H$6,1+Dashboard!$D$6)</f>
        <v>2</v>
      </c>
      <c r="AN68" s="1067" cm="1">
        <f t="array" ref="AN68">_xlfn.IFS(Dashboard!$C$6=Lists!$H$3,1,Dashboard!$C$6=Lists!$H$4,1.5,Dashboard!$C$6=Lists!$H$5,2,Dashboard!$C$6=Lists!$H$6,1+Dashboard!$D$6)</f>
        <v>2</v>
      </c>
      <c r="AO68" s="1067" cm="1">
        <f t="array" ref="AO68">_xlfn.IFS(Dashboard!$C$6=Lists!$H$3,1,Dashboard!$C$6=Lists!$H$4,1.5,Dashboard!$C$6=Lists!$H$5,2,Dashboard!$C$6=Lists!$H$6,1+Dashboard!$D$6)</f>
        <v>2</v>
      </c>
      <c r="AP68" s="1067" cm="1">
        <f t="array" ref="AP68">_xlfn.IFS(Dashboard!$C$6=Lists!$H$3,1,Dashboard!$C$6=Lists!$H$4,1.5,Dashboard!$C$6=Lists!$H$5,2,Dashboard!$C$6=Lists!$H$6,1+Dashboard!$D$6)</f>
        <v>2</v>
      </c>
      <c r="AQ68" s="1067" cm="1">
        <f t="array" ref="AQ68">_xlfn.IFS(Dashboard!$C$6=Lists!$H$3,1,Dashboard!$C$6=Lists!$H$4,1.5,Dashboard!$C$6=Lists!$H$5,2,Dashboard!$C$6=Lists!$H$6,1+Dashboard!$D$6)</f>
        <v>2</v>
      </c>
      <c r="AR68" s="1035"/>
      <c r="AS68" s="1035"/>
    </row>
    <row r="69" spans="2:45" s="238" customFormat="1" x14ac:dyDescent="0.25">
      <c r="B69" s="1076" t="s">
        <v>672</v>
      </c>
      <c r="C69" s="1036" t="s">
        <v>538</v>
      </c>
      <c r="D69" s="1111">
        <f>D67*D68*D41</f>
        <v>253.33333333333337</v>
      </c>
      <c r="E69" s="1111">
        <f t="shared" ref="E69:AQ69" si="0">E67*E68*E41</f>
        <v>253.33333333333337</v>
      </c>
      <c r="F69" s="1111">
        <f t="shared" si="0"/>
        <v>306.66666666666669</v>
      </c>
      <c r="G69" s="1111">
        <f t="shared" si="0"/>
        <v>306.66666666666669</v>
      </c>
      <c r="H69" s="1111">
        <f t="shared" si="0"/>
        <v>293.33333333333337</v>
      </c>
      <c r="I69" s="1111">
        <f t="shared" si="0"/>
        <v>293.33333333333337</v>
      </c>
      <c r="J69" s="1111">
        <f t="shared" si="0"/>
        <v>253.33333333333337</v>
      </c>
      <c r="K69" s="1111">
        <f t="shared" si="0"/>
        <v>186.66666666666669</v>
      </c>
      <c r="L69" s="1111">
        <f t="shared" si="0"/>
        <v>120.00000000000001</v>
      </c>
      <c r="M69" s="1111">
        <f t="shared" si="0"/>
        <v>146.66666666666669</v>
      </c>
      <c r="N69" s="1111">
        <f t="shared" si="0"/>
        <v>93.333333333333343</v>
      </c>
      <c r="O69" s="1111">
        <f t="shared" si="0"/>
        <v>173.33333333333334</v>
      </c>
      <c r="P69" s="1111">
        <f t="shared" si="0"/>
        <v>0</v>
      </c>
      <c r="Q69" s="1111">
        <f t="shared" si="0"/>
        <v>253.33333333333337</v>
      </c>
      <c r="R69" s="1111">
        <f t="shared" si="0"/>
        <v>106.66666666666669</v>
      </c>
      <c r="S69" s="1111">
        <f t="shared" si="0"/>
        <v>0</v>
      </c>
      <c r="T69" s="1111">
        <f t="shared" si="0"/>
        <v>0</v>
      </c>
      <c r="U69" s="1111">
        <f t="shared" si="0"/>
        <v>0</v>
      </c>
      <c r="V69" s="1111">
        <f t="shared" si="0"/>
        <v>0</v>
      </c>
      <c r="W69" s="1111">
        <f t="shared" si="0"/>
        <v>66.666666666666671</v>
      </c>
      <c r="X69" s="1111">
        <f t="shared" si="0"/>
        <v>106.66666666666669</v>
      </c>
      <c r="Y69" s="1111">
        <f t="shared" si="0"/>
        <v>146.66666666666669</v>
      </c>
      <c r="Z69" s="1111">
        <f t="shared" si="0"/>
        <v>173.33333333333334</v>
      </c>
      <c r="AA69" s="1111">
        <f t="shared" si="0"/>
        <v>186.66666666666669</v>
      </c>
      <c r="AB69" s="1111">
        <f t="shared" si="0"/>
        <v>93.333333333333343</v>
      </c>
      <c r="AC69" s="1111">
        <f t="shared" si="0"/>
        <v>33.333333333333336</v>
      </c>
      <c r="AD69" s="1111">
        <f t="shared" si="0"/>
        <v>146.66666666666669</v>
      </c>
      <c r="AE69" s="1111">
        <f t="shared" si="0"/>
        <v>106.66666666666669</v>
      </c>
      <c r="AF69" s="1111">
        <f t="shared" si="0"/>
        <v>213.33333333333337</v>
      </c>
      <c r="AG69" s="1111">
        <f t="shared" si="0"/>
        <v>208.00000000000003</v>
      </c>
      <c r="AH69" s="1111">
        <f t="shared" si="0"/>
        <v>0</v>
      </c>
      <c r="AI69" s="1111">
        <f t="shared" si="0"/>
        <v>213.33333333333337</v>
      </c>
      <c r="AJ69" s="1111">
        <f t="shared" si="0"/>
        <v>636.00000000000011</v>
      </c>
      <c r="AK69" s="1111">
        <f t="shared" si="0"/>
        <v>173.33333333333334</v>
      </c>
      <c r="AL69" s="1111">
        <f t="shared" si="0"/>
        <v>0</v>
      </c>
      <c r="AM69" s="1111">
        <f t="shared" si="0"/>
        <v>0</v>
      </c>
      <c r="AN69" s="1111">
        <f t="shared" si="0"/>
        <v>2946.666666666667</v>
      </c>
      <c r="AO69" s="1111">
        <f t="shared" si="0"/>
        <v>12446.666666666668</v>
      </c>
      <c r="AP69" s="1111">
        <f t="shared" si="0"/>
        <v>388.00000000000006</v>
      </c>
      <c r="AQ69" s="1111">
        <f t="shared" si="0"/>
        <v>433.33333333333337</v>
      </c>
    </row>
    <row r="70" spans="2:45" s="238" customFormat="1" ht="21" x14ac:dyDescent="0.25">
      <c r="B70" s="1108" t="s">
        <v>673</v>
      </c>
      <c r="C70" s="1081" t="s">
        <v>538</v>
      </c>
      <c r="D70" s="1082">
        <f>D63-(D67*D41)+D69</f>
        <v>701.61158114712589</v>
      </c>
      <c r="E70" s="1082">
        <f>E63-(E67*E41)+E69</f>
        <v>714.93348578699624</v>
      </c>
      <c r="F70" s="1082">
        <f t="shared" ref="F70:AQ70" si="1">F63-(F67*F41)+F69</f>
        <v>753.94519705492007</v>
      </c>
      <c r="G70" s="1082">
        <f>G63-(G67*G41)+G69</f>
        <v>782.3111797926224</v>
      </c>
      <c r="H70" s="1082">
        <f t="shared" si="1"/>
        <v>739.38043304074108</v>
      </c>
      <c r="I70" s="1082">
        <f t="shared" si="1"/>
        <v>764.91395095506937</v>
      </c>
      <c r="J70" s="1082">
        <f t="shared" si="1"/>
        <v>576.13253066932634</v>
      </c>
      <c r="K70" s="1082">
        <f t="shared" si="1"/>
        <v>527.77331712580917</v>
      </c>
      <c r="L70" s="1082">
        <f t="shared" si="1"/>
        <v>458.01115330099913</v>
      </c>
      <c r="M70" s="1082">
        <f t="shared" si="1"/>
        <v>429.67548275969244</v>
      </c>
      <c r="N70" s="1082">
        <f t="shared" si="1"/>
        <v>376.46595388159153</v>
      </c>
      <c r="O70" s="1082">
        <f t="shared" si="1"/>
        <v>455.59686408546804</v>
      </c>
      <c r="P70" s="1082">
        <f t="shared" si="1"/>
        <v>0</v>
      </c>
      <c r="Q70" s="1082">
        <f t="shared" si="1"/>
        <v>586.18121436422905</v>
      </c>
      <c r="R70" s="1082">
        <f t="shared" si="1"/>
        <v>341.89172395099195</v>
      </c>
      <c r="S70" s="1082">
        <f t="shared" si="1"/>
        <v>280.2559283676357</v>
      </c>
      <c r="T70" s="1082">
        <f t="shared" si="1"/>
        <v>277.55695575894003</v>
      </c>
      <c r="U70" s="1082">
        <f t="shared" si="1"/>
        <v>277.21945575894006</v>
      </c>
      <c r="V70" s="1082">
        <f t="shared" si="1"/>
        <v>289.05879161770463</v>
      </c>
      <c r="W70" s="1082">
        <f t="shared" si="1"/>
        <v>253.81824769433467</v>
      </c>
      <c r="X70" s="1082">
        <f t="shared" si="1"/>
        <v>320.3225955204216</v>
      </c>
      <c r="Y70" s="1082">
        <f t="shared" si="1"/>
        <v>333.5740075415838</v>
      </c>
      <c r="Z70" s="1082">
        <f t="shared" si="1"/>
        <v>365.12942028985503</v>
      </c>
      <c r="AA70" s="1082">
        <f t="shared" si="1"/>
        <v>462.05188405797099</v>
      </c>
      <c r="AB70" s="1082">
        <f t="shared" si="1"/>
        <v>509.7164502164502</v>
      </c>
      <c r="AC70" s="1082">
        <f t="shared" si="1"/>
        <v>320.92621870882738</v>
      </c>
      <c r="AD70" s="1082">
        <f t="shared" si="1"/>
        <v>565.86824769433474</v>
      </c>
      <c r="AE70" s="1082">
        <f t="shared" si="1"/>
        <v>445.82476943346506</v>
      </c>
      <c r="AF70" s="1082">
        <f t="shared" si="1"/>
        <v>739.84818734327848</v>
      </c>
      <c r="AG70" s="1082">
        <f t="shared" si="1"/>
        <v>951.13078878932197</v>
      </c>
      <c r="AH70" s="1082">
        <f t="shared" si="1"/>
        <v>7950</v>
      </c>
      <c r="AI70" s="1082">
        <f t="shared" si="1"/>
        <v>5267.2664637681155</v>
      </c>
      <c r="AJ70" s="1082">
        <f t="shared" si="1"/>
        <v>4180</v>
      </c>
      <c r="AK70" s="1082">
        <f t="shared" si="1"/>
        <v>9107.6666666666679</v>
      </c>
      <c r="AL70" s="1082">
        <f t="shared" si="1"/>
        <v>3100</v>
      </c>
      <c r="AM70" s="1082">
        <f t="shared" si="1"/>
        <v>88614</v>
      </c>
      <c r="AN70" s="1082">
        <f t="shared" si="1"/>
        <v>22596.333333333336</v>
      </c>
      <c r="AO70" s="1082">
        <f t="shared" si="1"/>
        <v>125451.33333333334</v>
      </c>
      <c r="AP70" s="1082">
        <f t="shared" si="1"/>
        <v>5294</v>
      </c>
      <c r="AQ70" s="1082">
        <f t="shared" si="1"/>
        <v>3802.6166666666668</v>
      </c>
    </row>
    <row r="71" spans="2:45" s="238" customFormat="1" x14ac:dyDescent="0.25">
      <c r="B71" s="1107"/>
      <c r="C71" s="1081"/>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c r="AB71" s="1082"/>
      <c r="AC71" s="1082"/>
      <c r="AD71" s="1082"/>
      <c r="AE71" s="1082"/>
      <c r="AF71" s="1082"/>
      <c r="AG71" s="1082"/>
      <c r="AH71" s="1082"/>
      <c r="AI71" s="1082"/>
      <c r="AJ71" s="1082"/>
      <c r="AK71" s="1082"/>
      <c r="AL71" s="1082"/>
      <c r="AM71" s="1082"/>
      <c r="AN71" s="1082"/>
      <c r="AO71" s="1082"/>
      <c r="AP71" s="1082"/>
      <c r="AQ71" s="1082"/>
    </row>
    <row r="72" spans="2:45" s="238" customFormat="1" x14ac:dyDescent="0.25">
      <c r="B72" s="1107" t="s">
        <v>674</v>
      </c>
      <c r="C72" s="1103" t="str">
        <f>C5</f>
        <v>£/t</v>
      </c>
      <c r="D72" s="1103">
        <f t="shared" ref="D72:AQ72" si="2">D5</f>
        <v>150</v>
      </c>
      <c r="E72" s="1103">
        <f t="shared" si="2"/>
        <v>150</v>
      </c>
      <c r="F72" s="1103">
        <f t="shared" si="2"/>
        <v>164</v>
      </c>
      <c r="G72" s="1103">
        <f t="shared" si="2"/>
        <v>164</v>
      </c>
      <c r="H72" s="1103">
        <f t="shared" si="2"/>
        <v>153</v>
      </c>
      <c r="I72" s="1103">
        <f t="shared" si="2"/>
        <v>153</v>
      </c>
      <c r="J72" s="1103">
        <f t="shared" si="2"/>
        <v>164</v>
      </c>
      <c r="K72" s="1103">
        <f t="shared" si="2"/>
        <v>131</v>
      </c>
      <c r="L72" s="1103">
        <f t="shared" si="2"/>
        <v>152</v>
      </c>
      <c r="M72" s="1103">
        <f t="shared" si="2"/>
        <v>131</v>
      </c>
      <c r="N72" s="1103">
        <f t="shared" si="2"/>
        <v>157</v>
      </c>
      <c r="O72" s="1103">
        <f t="shared" si="2"/>
        <v>131</v>
      </c>
      <c r="P72" s="1103">
        <f t="shared" si="2"/>
        <v>140</v>
      </c>
      <c r="Q72" s="1103">
        <f t="shared" si="2"/>
        <v>350</v>
      </c>
      <c r="R72" s="1103">
        <f t="shared" si="2"/>
        <v>350</v>
      </c>
      <c r="S72" s="1103">
        <f t="shared" si="2"/>
        <v>185</v>
      </c>
      <c r="T72" s="1103">
        <f t="shared" si="2"/>
        <v>188</v>
      </c>
      <c r="U72" s="1103">
        <f t="shared" si="2"/>
        <v>185</v>
      </c>
      <c r="V72" s="1103">
        <f t="shared" si="2"/>
        <v>185</v>
      </c>
      <c r="W72" s="1103">
        <f t="shared" si="2"/>
        <v>400</v>
      </c>
      <c r="X72" s="1103">
        <f t="shared" si="2"/>
        <v>400</v>
      </c>
      <c r="Y72" s="1103">
        <f t="shared" si="2"/>
        <v>131</v>
      </c>
      <c r="Z72" s="1103">
        <f t="shared" si="2"/>
        <v>145</v>
      </c>
      <c r="AA72" s="1103">
        <f t="shared" si="2"/>
        <v>160</v>
      </c>
      <c r="AB72" s="1103">
        <f t="shared" si="2"/>
        <v>165</v>
      </c>
      <c r="AC72" s="1103">
        <f t="shared" si="2"/>
        <v>260</v>
      </c>
      <c r="AD72" s="1103">
        <f t="shared" si="2"/>
        <v>145</v>
      </c>
      <c r="AE72" s="1103">
        <f t="shared" si="2"/>
        <v>2900</v>
      </c>
      <c r="AF72" s="1103">
        <f t="shared" si="2"/>
        <v>1100</v>
      </c>
      <c r="AG72" s="1103">
        <f t="shared" si="2"/>
        <v>21.66</v>
      </c>
      <c r="AH72" s="1103">
        <f t="shared" si="2"/>
        <v>8.1999999999999993</v>
      </c>
      <c r="AI72" s="1103">
        <f t="shared" si="2"/>
        <v>170</v>
      </c>
      <c r="AJ72" s="1103">
        <f t="shared" si="2"/>
        <v>410</v>
      </c>
      <c r="AK72" s="1103">
        <f t="shared" si="2"/>
        <v>800</v>
      </c>
      <c r="AL72" s="1103">
        <f t="shared" si="2"/>
        <v>2500</v>
      </c>
      <c r="AM72" s="1103">
        <f t="shared" si="2"/>
        <v>3500</v>
      </c>
      <c r="AN72" s="1103">
        <f t="shared" si="2"/>
        <v>73000</v>
      </c>
      <c r="AO72" s="1103">
        <f t="shared" si="2"/>
        <v>293928</v>
      </c>
      <c r="AP72" s="1103">
        <f t="shared" si="2"/>
        <v>325</v>
      </c>
      <c r="AQ72" s="1103">
        <f t="shared" si="2"/>
        <v>750</v>
      </c>
    </row>
    <row r="73" spans="2:45" s="238" customFormat="1" x14ac:dyDescent="0.25">
      <c r="B73" s="1107" t="s">
        <v>675</v>
      </c>
      <c r="C73" s="1081" t="s">
        <v>449</v>
      </c>
      <c r="D73" s="1104">
        <f t="shared" ref="D73:AQ73" si="3">$E$134</f>
        <v>0</v>
      </c>
      <c r="E73" s="1104">
        <f t="shared" si="3"/>
        <v>0</v>
      </c>
      <c r="F73" s="1104">
        <f t="shared" si="3"/>
        <v>0</v>
      </c>
      <c r="G73" s="1104">
        <f t="shared" si="3"/>
        <v>0</v>
      </c>
      <c r="H73" s="1104">
        <f t="shared" si="3"/>
        <v>0</v>
      </c>
      <c r="I73" s="1104">
        <f t="shared" si="3"/>
        <v>0</v>
      </c>
      <c r="J73" s="1104">
        <f t="shared" si="3"/>
        <v>0</v>
      </c>
      <c r="K73" s="1104">
        <f t="shared" si="3"/>
        <v>0</v>
      </c>
      <c r="L73" s="1104">
        <f t="shared" si="3"/>
        <v>0</v>
      </c>
      <c r="M73" s="1104">
        <f t="shared" si="3"/>
        <v>0</v>
      </c>
      <c r="N73" s="1104">
        <f t="shared" si="3"/>
        <v>0</v>
      </c>
      <c r="O73" s="1104">
        <f t="shared" si="3"/>
        <v>0</v>
      </c>
      <c r="P73" s="1104">
        <f t="shared" si="3"/>
        <v>0</v>
      </c>
      <c r="Q73" s="1104">
        <f t="shared" si="3"/>
        <v>0</v>
      </c>
      <c r="R73" s="1104">
        <f t="shared" si="3"/>
        <v>0</v>
      </c>
      <c r="S73" s="1104">
        <f t="shared" si="3"/>
        <v>0</v>
      </c>
      <c r="T73" s="1104">
        <f t="shared" si="3"/>
        <v>0</v>
      </c>
      <c r="U73" s="1104">
        <f t="shared" si="3"/>
        <v>0</v>
      </c>
      <c r="V73" s="1104">
        <f t="shared" si="3"/>
        <v>0</v>
      </c>
      <c r="W73" s="1104">
        <f t="shared" si="3"/>
        <v>0</v>
      </c>
      <c r="X73" s="1104">
        <f t="shared" si="3"/>
        <v>0</v>
      </c>
      <c r="Y73" s="1104">
        <f t="shared" si="3"/>
        <v>0</v>
      </c>
      <c r="Z73" s="1104">
        <f t="shared" si="3"/>
        <v>0</v>
      </c>
      <c r="AA73" s="1104">
        <f t="shared" si="3"/>
        <v>0</v>
      </c>
      <c r="AB73" s="1104">
        <f t="shared" si="3"/>
        <v>0</v>
      </c>
      <c r="AC73" s="1104">
        <f t="shared" si="3"/>
        <v>0</v>
      </c>
      <c r="AD73" s="1104">
        <f t="shared" si="3"/>
        <v>0</v>
      </c>
      <c r="AE73" s="1104">
        <f t="shared" si="3"/>
        <v>0</v>
      </c>
      <c r="AF73" s="1104">
        <f t="shared" si="3"/>
        <v>0</v>
      </c>
      <c r="AG73" s="1104">
        <f t="shared" si="3"/>
        <v>0</v>
      </c>
      <c r="AH73" s="1104">
        <f t="shared" si="3"/>
        <v>0</v>
      </c>
      <c r="AI73" s="1104">
        <f t="shared" si="3"/>
        <v>0</v>
      </c>
      <c r="AJ73" s="1104">
        <f t="shared" si="3"/>
        <v>0</v>
      </c>
      <c r="AK73" s="1104">
        <f t="shared" si="3"/>
        <v>0</v>
      </c>
      <c r="AL73" s="1104">
        <f t="shared" si="3"/>
        <v>0</v>
      </c>
      <c r="AM73" s="1104">
        <f t="shared" si="3"/>
        <v>0</v>
      </c>
      <c r="AN73" s="1104">
        <f t="shared" si="3"/>
        <v>0</v>
      </c>
      <c r="AO73" s="1104">
        <f t="shared" si="3"/>
        <v>0</v>
      </c>
      <c r="AP73" s="1104">
        <f t="shared" si="3"/>
        <v>0</v>
      </c>
      <c r="AQ73" s="1104">
        <f t="shared" si="3"/>
        <v>0</v>
      </c>
    </row>
    <row r="74" spans="2:45" s="238" customFormat="1" x14ac:dyDescent="0.25">
      <c r="B74" s="1107" t="s">
        <v>676</v>
      </c>
      <c r="C74" s="1081" t="s">
        <v>495</v>
      </c>
      <c r="D74" s="1105">
        <f>D72*D73</f>
        <v>0</v>
      </c>
      <c r="E74" s="1105">
        <f t="shared" ref="E74:AQ74" si="4">E72*E73</f>
        <v>0</v>
      </c>
      <c r="F74" s="1105">
        <f t="shared" si="4"/>
        <v>0</v>
      </c>
      <c r="G74" s="1105">
        <f t="shared" si="4"/>
        <v>0</v>
      </c>
      <c r="H74" s="1105">
        <f t="shared" si="4"/>
        <v>0</v>
      </c>
      <c r="I74" s="1105">
        <f t="shared" si="4"/>
        <v>0</v>
      </c>
      <c r="J74" s="1105">
        <f t="shared" si="4"/>
        <v>0</v>
      </c>
      <c r="K74" s="1105">
        <f t="shared" si="4"/>
        <v>0</v>
      </c>
      <c r="L74" s="1105">
        <f t="shared" si="4"/>
        <v>0</v>
      </c>
      <c r="M74" s="1105">
        <f t="shared" si="4"/>
        <v>0</v>
      </c>
      <c r="N74" s="1105">
        <f t="shared" si="4"/>
        <v>0</v>
      </c>
      <c r="O74" s="1105">
        <f t="shared" si="4"/>
        <v>0</v>
      </c>
      <c r="P74" s="1105">
        <f t="shared" si="4"/>
        <v>0</v>
      </c>
      <c r="Q74" s="1105">
        <f t="shared" si="4"/>
        <v>0</v>
      </c>
      <c r="R74" s="1105">
        <f t="shared" si="4"/>
        <v>0</v>
      </c>
      <c r="S74" s="1105">
        <f t="shared" si="4"/>
        <v>0</v>
      </c>
      <c r="T74" s="1105">
        <f t="shared" si="4"/>
        <v>0</v>
      </c>
      <c r="U74" s="1105">
        <f t="shared" si="4"/>
        <v>0</v>
      </c>
      <c r="V74" s="1105">
        <f t="shared" si="4"/>
        <v>0</v>
      </c>
      <c r="W74" s="1105">
        <f t="shared" si="4"/>
        <v>0</v>
      </c>
      <c r="X74" s="1105">
        <f t="shared" si="4"/>
        <v>0</v>
      </c>
      <c r="Y74" s="1105">
        <f t="shared" si="4"/>
        <v>0</v>
      </c>
      <c r="Z74" s="1105">
        <f t="shared" si="4"/>
        <v>0</v>
      </c>
      <c r="AA74" s="1105">
        <f t="shared" si="4"/>
        <v>0</v>
      </c>
      <c r="AB74" s="1105">
        <f t="shared" si="4"/>
        <v>0</v>
      </c>
      <c r="AC74" s="1105">
        <f t="shared" si="4"/>
        <v>0</v>
      </c>
      <c r="AD74" s="1105">
        <f t="shared" si="4"/>
        <v>0</v>
      </c>
      <c r="AE74" s="1105">
        <f t="shared" si="4"/>
        <v>0</v>
      </c>
      <c r="AF74" s="1105">
        <f t="shared" si="4"/>
        <v>0</v>
      </c>
      <c r="AG74" s="1105">
        <f t="shared" si="4"/>
        <v>0</v>
      </c>
      <c r="AH74" s="1105">
        <f t="shared" si="4"/>
        <v>0</v>
      </c>
      <c r="AI74" s="1105">
        <f t="shared" si="4"/>
        <v>0</v>
      </c>
      <c r="AJ74" s="1105">
        <f t="shared" si="4"/>
        <v>0</v>
      </c>
      <c r="AK74" s="1105">
        <f t="shared" si="4"/>
        <v>0</v>
      </c>
      <c r="AL74" s="1105">
        <f t="shared" si="4"/>
        <v>0</v>
      </c>
      <c r="AM74" s="1105">
        <f t="shared" si="4"/>
        <v>0</v>
      </c>
      <c r="AN74" s="1105">
        <f t="shared" si="4"/>
        <v>0</v>
      </c>
      <c r="AO74" s="1105">
        <f t="shared" si="4"/>
        <v>0</v>
      </c>
      <c r="AP74" s="1105">
        <f t="shared" si="4"/>
        <v>0</v>
      </c>
      <c r="AQ74" s="1105">
        <f t="shared" si="4"/>
        <v>0</v>
      </c>
    </row>
    <row r="75" spans="2:45" s="238" customFormat="1" ht="21" x14ac:dyDescent="0.25">
      <c r="B75" s="1108" t="s">
        <v>677</v>
      </c>
      <c r="C75" s="1081" t="s">
        <v>538</v>
      </c>
      <c r="D75" s="1106">
        <f>D74*D8+D20*D19*D21</f>
        <v>171.31199999999998</v>
      </c>
      <c r="E75" s="1106">
        <f t="shared" ref="E75:AQ75" si="5">E74*E8+E20*E19*E21</f>
        <v>171.31199999999998</v>
      </c>
      <c r="F75" s="1106">
        <f t="shared" si="5"/>
        <v>171.31199999999998</v>
      </c>
      <c r="G75" s="1106">
        <f t="shared" si="5"/>
        <v>171.31199999999998</v>
      </c>
      <c r="H75" s="1106">
        <f t="shared" si="5"/>
        <v>171.31199999999998</v>
      </c>
      <c r="I75" s="1106">
        <f t="shared" si="5"/>
        <v>171.31199999999998</v>
      </c>
      <c r="J75" s="1106">
        <f t="shared" si="5"/>
        <v>171.31199999999998</v>
      </c>
      <c r="K75" s="1106">
        <f t="shared" si="5"/>
        <v>182.62800000000001</v>
      </c>
      <c r="L75" s="1106">
        <f t="shared" si="5"/>
        <v>182.62800000000001</v>
      </c>
      <c r="M75" s="1106">
        <f t="shared" si="5"/>
        <v>196.99200000000002</v>
      </c>
      <c r="N75" s="1106">
        <f t="shared" si="5"/>
        <v>196.99200000000002</v>
      </c>
      <c r="O75" s="1106">
        <f t="shared" si="5"/>
        <v>186.04799999999997</v>
      </c>
      <c r="P75" s="1106">
        <f t="shared" si="5"/>
        <v>0</v>
      </c>
      <c r="Q75" s="1106">
        <f t="shared" si="5"/>
        <v>0</v>
      </c>
      <c r="R75" s="1106">
        <f t="shared" si="5"/>
        <v>0</v>
      </c>
      <c r="S75" s="1106">
        <f t="shared" si="5"/>
        <v>0</v>
      </c>
      <c r="T75" s="1106">
        <f t="shared" si="5"/>
        <v>0</v>
      </c>
      <c r="U75" s="1106">
        <f t="shared" si="5"/>
        <v>0</v>
      </c>
      <c r="V75" s="1106">
        <f t="shared" si="5"/>
        <v>0</v>
      </c>
      <c r="W75" s="1106">
        <f t="shared" si="5"/>
        <v>0</v>
      </c>
      <c r="X75" s="1106">
        <f t="shared" si="5"/>
        <v>0</v>
      </c>
      <c r="Y75" s="1106">
        <f t="shared" si="5"/>
        <v>0</v>
      </c>
      <c r="Z75" s="1106">
        <f t="shared" si="5"/>
        <v>171.31199999999998</v>
      </c>
      <c r="AA75" s="1106">
        <f t="shared" si="5"/>
        <v>171.31199999999998</v>
      </c>
      <c r="AB75" s="1106">
        <f t="shared" si="5"/>
        <v>0</v>
      </c>
      <c r="AC75" s="1106">
        <f t="shared" si="5"/>
        <v>0</v>
      </c>
      <c r="AD75" s="1106">
        <f t="shared" si="5"/>
        <v>0</v>
      </c>
      <c r="AE75" s="1106">
        <f t="shared" si="5"/>
        <v>0</v>
      </c>
      <c r="AF75" s="1106">
        <f t="shared" si="5"/>
        <v>0</v>
      </c>
      <c r="AG75" s="1106">
        <f t="shared" si="5"/>
        <v>0</v>
      </c>
      <c r="AH75" s="1106">
        <f t="shared" si="5"/>
        <v>0</v>
      </c>
      <c r="AI75" s="1106">
        <f t="shared" si="5"/>
        <v>0</v>
      </c>
      <c r="AJ75" s="1106">
        <f t="shared" si="5"/>
        <v>0</v>
      </c>
      <c r="AK75" s="1106">
        <f t="shared" si="5"/>
        <v>0</v>
      </c>
      <c r="AL75" s="1106">
        <f t="shared" si="5"/>
        <v>0</v>
      </c>
      <c r="AM75" s="1106">
        <f t="shared" si="5"/>
        <v>0</v>
      </c>
      <c r="AN75" s="1106">
        <f t="shared" si="5"/>
        <v>0</v>
      </c>
      <c r="AO75" s="1106">
        <f t="shared" si="5"/>
        <v>0</v>
      </c>
      <c r="AP75" s="1106">
        <f t="shared" si="5"/>
        <v>0</v>
      </c>
      <c r="AQ75" s="1106">
        <f t="shared" si="5"/>
        <v>0</v>
      </c>
    </row>
    <row r="76" spans="2:45" s="238" customFormat="1" x14ac:dyDescent="0.25">
      <c r="B76" s="1107"/>
      <c r="C76" s="1081"/>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c r="AA76" s="1082"/>
      <c r="AB76" s="1082"/>
      <c r="AC76" s="1082"/>
      <c r="AD76" s="1082"/>
      <c r="AE76" s="1082"/>
      <c r="AF76" s="1082"/>
      <c r="AG76" s="1082"/>
      <c r="AH76" s="1082"/>
      <c r="AI76" s="1082"/>
      <c r="AJ76" s="1082"/>
      <c r="AK76" s="1082"/>
      <c r="AL76" s="1082"/>
      <c r="AM76" s="1082"/>
      <c r="AN76" s="1082"/>
      <c r="AO76" s="1082"/>
      <c r="AP76" s="1082"/>
      <c r="AQ76" s="1082"/>
    </row>
    <row r="77" spans="2:45" s="238" customFormat="1" ht="21" x14ac:dyDescent="0.25">
      <c r="B77" s="1108" t="s">
        <v>678</v>
      </c>
      <c r="C77" s="1110" t="s">
        <v>538</v>
      </c>
      <c r="D77" s="1106">
        <f>D75-D70</f>
        <v>-530.29958114712588</v>
      </c>
      <c r="E77" s="1106">
        <f t="shared" ref="E77:AQ77" si="6">E75-E70</f>
        <v>-543.62148578699623</v>
      </c>
      <c r="F77" s="1106">
        <f t="shared" si="6"/>
        <v>-582.63319705492006</v>
      </c>
      <c r="G77" s="1106">
        <f t="shared" si="6"/>
        <v>-610.99917979262239</v>
      </c>
      <c r="H77" s="1106">
        <f t="shared" si="6"/>
        <v>-568.06843304074107</v>
      </c>
      <c r="I77" s="1106">
        <f t="shared" si="6"/>
        <v>-593.60195095506936</v>
      </c>
      <c r="J77" s="1106">
        <f t="shared" si="6"/>
        <v>-404.82053066932633</v>
      </c>
      <c r="K77" s="1106">
        <f t="shared" si="6"/>
        <v>-345.14531712580913</v>
      </c>
      <c r="L77" s="1106">
        <f t="shared" si="6"/>
        <v>-275.38315330099908</v>
      </c>
      <c r="M77" s="1106">
        <f t="shared" si="6"/>
        <v>-232.68348275969242</v>
      </c>
      <c r="N77" s="1106">
        <f t="shared" si="6"/>
        <v>-179.47395388159151</v>
      </c>
      <c r="O77" s="1106">
        <f t="shared" si="6"/>
        <v>-269.54886408546804</v>
      </c>
      <c r="P77" s="1106">
        <f t="shared" si="6"/>
        <v>0</v>
      </c>
      <c r="Q77" s="1106">
        <f t="shared" si="6"/>
        <v>-586.18121436422905</v>
      </c>
      <c r="R77" s="1106">
        <f t="shared" si="6"/>
        <v>-341.89172395099195</v>
      </c>
      <c r="S77" s="1106">
        <f t="shared" si="6"/>
        <v>-280.2559283676357</v>
      </c>
      <c r="T77" s="1106">
        <f t="shared" si="6"/>
        <v>-277.55695575894003</v>
      </c>
      <c r="U77" s="1106">
        <f t="shared" si="6"/>
        <v>-277.21945575894006</v>
      </c>
      <c r="V77" s="1106">
        <f t="shared" si="6"/>
        <v>-289.05879161770463</v>
      </c>
      <c r="W77" s="1106">
        <f t="shared" si="6"/>
        <v>-253.81824769433467</v>
      </c>
      <c r="X77" s="1106">
        <f t="shared" si="6"/>
        <v>-320.3225955204216</v>
      </c>
      <c r="Y77" s="1106">
        <f t="shared" si="6"/>
        <v>-333.5740075415838</v>
      </c>
      <c r="Z77" s="1106">
        <f t="shared" si="6"/>
        <v>-193.81742028985505</v>
      </c>
      <c r="AA77" s="1106">
        <f t="shared" si="6"/>
        <v>-290.73988405797104</v>
      </c>
      <c r="AB77" s="1106">
        <f t="shared" si="6"/>
        <v>-509.7164502164502</v>
      </c>
      <c r="AC77" s="1106">
        <f t="shared" si="6"/>
        <v>-320.92621870882738</v>
      </c>
      <c r="AD77" s="1106">
        <f t="shared" si="6"/>
        <v>-565.86824769433474</v>
      </c>
      <c r="AE77" s="1106">
        <f t="shared" si="6"/>
        <v>-445.82476943346506</v>
      </c>
      <c r="AF77" s="1106">
        <f t="shared" si="6"/>
        <v>-739.84818734327848</v>
      </c>
      <c r="AG77" s="1106">
        <f t="shared" si="6"/>
        <v>-951.13078878932197</v>
      </c>
      <c r="AH77" s="1106">
        <f t="shared" si="6"/>
        <v>-7950</v>
      </c>
      <c r="AI77" s="1106">
        <f t="shared" si="6"/>
        <v>-5267.2664637681155</v>
      </c>
      <c r="AJ77" s="1106">
        <f t="shared" si="6"/>
        <v>-4180</v>
      </c>
      <c r="AK77" s="1106">
        <f t="shared" si="6"/>
        <v>-9107.6666666666679</v>
      </c>
      <c r="AL77" s="1106">
        <f t="shared" si="6"/>
        <v>-3100</v>
      </c>
      <c r="AM77" s="1106">
        <f t="shared" si="6"/>
        <v>-88614</v>
      </c>
      <c r="AN77" s="1106">
        <f t="shared" si="6"/>
        <v>-22596.333333333336</v>
      </c>
      <c r="AO77" s="1106">
        <f t="shared" si="6"/>
        <v>-125451.33333333334</v>
      </c>
      <c r="AP77" s="1106">
        <f t="shared" si="6"/>
        <v>-5294</v>
      </c>
      <c r="AQ77" s="1106">
        <f t="shared" si="6"/>
        <v>-3802.6166666666668</v>
      </c>
    </row>
    <row r="78" spans="2:45" s="238" customFormat="1" ht="21.5" thickBot="1" x14ac:dyDescent="0.3">
      <c r="B78" s="1080" t="s">
        <v>679</v>
      </c>
      <c r="C78" s="1109" t="s">
        <v>538</v>
      </c>
      <c r="D78" s="1079">
        <f>D26-D70</f>
        <v>745.65306393646711</v>
      </c>
      <c r="E78" s="1079">
        <f>E26-E70</f>
        <v>612.50933560052044</v>
      </c>
      <c r="F78" s="1079">
        <f t="shared" ref="F78:AQ78" si="7">F26-F70</f>
        <v>701.91002029260244</v>
      </c>
      <c r="G78" s="1079">
        <f>G26-G70</f>
        <v>552.91549266958282</v>
      </c>
      <c r="H78" s="1079">
        <f t="shared" si="7"/>
        <v>707.63154815273629</v>
      </c>
      <c r="I78" s="1079">
        <f t="shared" si="7"/>
        <v>562.29993363613312</v>
      </c>
      <c r="J78" s="1079">
        <f t="shared" si="7"/>
        <v>584.50694092354797</v>
      </c>
      <c r="K78" s="1079">
        <f t="shared" si="7"/>
        <v>607.62698424123278</v>
      </c>
      <c r="L78" s="1079">
        <f t="shared" si="7"/>
        <v>750.16895307672246</v>
      </c>
      <c r="M78" s="1079">
        <f t="shared" si="7"/>
        <v>540.45866138214001</v>
      </c>
      <c r="N78" s="1079">
        <f t="shared" si="7"/>
        <v>722.63686047072133</v>
      </c>
      <c r="O78" s="1079">
        <f t="shared" si="7"/>
        <v>460.0599344121174</v>
      </c>
      <c r="P78" s="1079">
        <f t="shared" si="7"/>
        <v>0</v>
      </c>
      <c r="Q78" s="1079">
        <f t="shared" si="7"/>
        <v>614.98442472050999</v>
      </c>
      <c r="R78" s="1079">
        <f t="shared" si="7"/>
        <v>438.86594145408856</v>
      </c>
      <c r="S78" s="1079">
        <f t="shared" si="7"/>
        <v>458.47682163236431</v>
      </c>
      <c r="T78" s="1079">
        <f t="shared" si="7"/>
        <v>401.65884424105991</v>
      </c>
      <c r="U78" s="1079">
        <f t="shared" si="7"/>
        <v>391.15779424105995</v>
      </c>
      <c r="V78" s="1079">
        <f t="shared" si="7"/>
        <v>403.45787504896191</v>
      </c>
      <c r="W78" s="1079">
        <f t="shared" si="7"/>
        <v>446.18175230566533</v>
      </c>
      <c r="X78" s="1079">
        <f t="shared" si="7"/>
        <v>579.6774044795784</v>
      </c>
      <c r="Y78" s="1079">
        <f t="shared" si="7"/>
        <v>284.93970777188213</v>
      </c>
      <c r="Z78" s="1079">
        <f t="shared" si="7"/>
        <v>458.68257971014498</v>
      </c>
      <c r="AA78" s="1079">
        <f t="shared" si="7"/>
        <v>589.26011594202896</v>
      </c>
      <c r="AB78" s="1079">
        <f t="shared" si="7"/>
        <v>727.7835497835498</v>
      </c>
      <c r="AC78" s="1079">
        <f t="shared" si="7"/>
        <v>459.07378129117262</v>
      </c>
      <c r="AD78" s="1079">
        <f t="shared" si="7"/>
        <v>521.63175230566526</v>
      </c>
      <c r="AE78" s="1079">
        <f t="shared" si="7"/>
        <v>714.17523056653499</v>
      </c>
      <c r="AF78" s="1079">
        <f t="shared" si="7"/>
        <v>690.15181265672152</v>
      </c>
      <c r="AG78" s="1079">
        <f t="shared" si="7"/>
        <v>664.08357778885488</v>
      </c>
      <c r="AH78" s="1079">
        <f t="shared" si="7"/>
        <v>4349.9999999999982</v>
      </c>
      <c r="AI78" s="1079">
        <f t="shared" si="7"/>
        <v>2607.9835362318854</v>
      </c>
      <c r="AJ78" s="1079">
        <f t="shared" si="7"/>
        <v>740</v>
      </c>
      <c r="AK78" s="1079">
        <f t="shared" si="7"/>
        <v>10892.333333333332</v>
      </c>
      <c r="AL78" s="1079">
        <f t="shared" si="7"/>
        <v>15650</v>
      </c>
      <c r="AM78" s="1079">
        <f t="shared" si="7"/>
        <v>16386</v>
      </c>
      <c r="AN78" s="1079">
        <f t="shared" si="7"/>
        <v>50403.666666666664</v>
      </c>
      <c r="AO78" s="1079">
        <f t="shared" si="7"/>
        <v>168476.66666666666</v>
      </c>
      <c r="AP78" s="1079">
        <f t="shared" si="7"/>
        <v>8356</v>
      </c>
      <c r="AQ78" s="1079">
        <f t="shared" si="7"/>
        <v>3322.3833333333332</v>
      </c>
    </row>
    <row r="79" spans="2:45" s="238" customFormat="1" ht="11" thickBot="1" x14ac:dyDescent="0.3"/>
    <row r="80" spans="2:45" ht="32" thickBot="1" x14ac:dyDescent="0.3">
      <c r="B80" s="778" t="s">
        <v>680</v>
      </c>
      <c r="C80" s="779"/>
      <c r="D80" s="780" t="s">
        <v>541</v>
      </c>
      <c r="E80" s="781"/>
      <c r="F80" s="781"/>
      <c r="G80" s="781"/>
      <c r="H80" s="781"/>
      <c r="I80" s="781"/>
      <c r="J80" s="780" t="s">
        <v>551</v>
      </c>
      <c r="K80" s="780" t="s">
        <v>552</v>
      </c>
      <c r="L80" s="782"/>
      <c r="M80" s="780" t="s">
        <v>555</v>
      </c>
      <c r="N80" s="782"/>
      <c r="O80" s="783" t="s">
        <v>559</v>
      </c>
      <c r="P80" s="784" t="s">
        <v>561</v>
      </c>
      <c r="Q80" s="782"/>
      <c r="R80" s="782"/>
      <c r="S80" s="780" t="s">
        <v>563</v>
      </c>
      <c r="T80" s="780" t="s">
        <v>566</v>
      </c>
      <c r="U80" s="780" t="s">
        <v>567</v>
      </c>
      <c r="V80" s="784" t="s">
        <v>568</v>
      </c>
      <c r="W80" s="985"/>
      <c r="X80" s="986"/>
      <c r="Y80" s="986"/>
      <c r="Z80" s="986"/>
      <c r="AA80" s="986"/>
      <c r="AB80" s="986"/>
      <c r="AC80" s="986"/>
      <c r="AD80" s="986"/>
      <c r="AE80" s="986"/>
      <c r="AF80" s="986"/>
      <c r="AG80" s="986"/>
      <c r="AH80" s="986"/>
      <c r="AI80" s="780" t="s">
        <v>681</v>
      </c>
      <c r="AJ80" s="987"/>
      <c r="AK80" s="987"/>
      <c r="AL80" s="987"/>
      <c r="AM80" s="987"/>
      <c r="AN80" s="987"/>
      <c r="AO80" s="987"/>
      <c r="AP80" s="987"/>
      <c r="AQ80" s="987"/>
      <c r="AR80" s="988" t="s">
        <v>682</v>
      </c>
      <c r="AS80" s="1016" t="s">
        <v>683</v>
      </c>
    </row>
    <row r="81" spans="2:45" x14ac:dyDescent="0.25">
      <c r="B81" s="680" t="s">
        <v>684</v>
      </c>
      <c r="C81" s="661" t="s">
        <v>538</v>
      </c>
      <c r="D81" s="715">
        <f>D119</f>
        <v>879.11400000000003</v>
      </c>
      <c r="E81" s="681"/>
      <c r="F81" s="681"/>
      <c r="G81" s="681"/>
      <c r="H81" s="681"/>
      <c r="I81" s="681"/>
      <c r="J81" s="715">
        <f t="shared" ref="J81:V81" si="8">J119</f>
        <v>649.28428238758215</v>
      </c>
      <c r="K81" s="715">
        <f t="shared" si="8"/>
        <v>652.76782684756608</v>
      </c>
      <c r="L81" s="681"/>
      <c r="M81" s="715">
        <f t="shared" si="8"/>
        <v>554.92812936793609</v>
      </c>
      <c r="N81" s="681"/>
      <c r="O81" s="680">
        <f t="shared" si="8"/>
        <v>573.54660000000001</v>
      </c>
      <c r="P81" s="682">
        <f t="shared" si="8"/>
        <v>538.4</v>
      </c>
      <c r="Q81" s="681"/>
      <c r="R81" s="681"/>
      <c r="S81" s="715">
        <f t="shared" si="8"/>
        <v>469.6</v>
      </c>
      <c r="T81" s="715">
        <f t="shared" si="8"/>
        <v>358.37264000000005</v>
      </c>
      <c r="U81" s="715">
        <f t="shared" si="8"/>
        <v>349.70180000000005</v>
      </c>
      <c r="V81" s="682">
        <f t="shared" si="8"/>
        <v>332.86241330833332</v>
      </c>
      <c r="W81" s="973"/>
      <c r="X81" s="972"/>
      <c r="Y81" s="972"/>
      <c r="Z81" s="972"/>
      <c r="AA81" s="972"/>
      <c r="AB81" s="972"/>
      <c r="AC81" s="972"/>
      <c r="AD81" s="972"/>
      <c r="AE81" s="972"/>
      <c r="AF81" s="972"/>
      <c r="AG81" s="972"/>
      <c r="AH81" s="972"/>
      <c r="AI81" s="715">
        <f>AI119</f>
        <v>491.77999999999975</v>
      </c>
      <c r="AJ81" s="972"/>
      <c r="AK81" s="972"/>
      <c r="AL81" s="972"/>
      <c r="AM81" s="972"/>
      <c r="AN81" s="972"/>
      <c r="AO81" s="972"/>
      <c r="AP81" s="972"/>
      <c r="AQ81" s="972"/>
      <c r="AR81" s="715">
        <f>AR119</f>
        <v>1951.7799999999997</v>
      </c>
      <c r="AS81" s="1013"/>
    </row>
    <row r="82" spans="2:45" x14ac:dyDescent="0.25">
      <c r="B82" s="680" t="s">
        <v>412</v>
      </c>
      <c r="C82" s="661" t="s">
        <v>538</v>
      </c>
      <c r="D82" s="715">
        <f>D117</f>
        <v>696.11400000000003</v>
      </c>
      <c r="E82" s="681"/>
      <c r="F82" s="681"/>
      <c r="G82" s="681"/>
      <c r="H82" s="681"/>
      <c r="I82" s="681"/>
      <c r="J82" s="715">
        <f t="shared" ref="J82:T83" si="9">J117</f>
        <v>455.74125000000004</v>
      </c>
      <c r="K82" s="715">
        <f t="shared" si="9"/>
        <v>418.36900000000003</v>
      </c>
      <c r="L82" s="681"/>
      <c r="M82" s="715">
        <f t="shared" si="9"/>
        <v>431.90000000000003</v>
      </c>
      <c r="N82" s="681"/>
      <c r="O82" s="680">
        <f t="shared" si="9"/>
        <v>479.22659999999996</v>
      </c>
      <c r="P82" s="682"/>
      <c r="Q82" s="681"/>
      <c r="R82" s="681"/>
      <c r="S82" s="715">
        <f t="shared" si="9"/>
        <v>340.1</v>
      </c>
      <c r="T82" s="715">
        <f t="shared" si="9"/>
        <v>40.600000000000023</v>
      </c>
      <c r="U82" s="715"/>
      <c r="V82" s="682"/>
      <c r="W82" s="973"/>
      <c r="X82" s="972"/>
      <c r="Y82" s="972"/>
      <c r="Z82" s="972"/>
      <c r="AA82" s="972"/>
      <c r="AB82" s="972"/>
      <c r="AC82" s="972"/>
      <c r="AD82" s="972"/>
      <c r="AE82" s="972"/>
      <c r="AF82" s="972"/>
      <c r="AG82" s="972"/>
      <c r="AH82" s="972"/>
      <c r="AI82" s="715">
        <f>AI117</f>
        <v>-2160.2199999999998</v>
      </c>
      <c r="AJ82" s="972"/>
      <c r="AK82" s="972"/>
      <c r="AL82" s="972"/>
      <c r="AM82" s="972"/>
      <c r="AN82" s="972"/>
      <c r="AO82" s="972"/>
      <c r="AP82" s="972"/>
      <c r="AQ82" s="972"/>
      <c r="AR82" s="715">
        <f>AR117</f>
        <v>1511.7799999999997</v>
      </c>
      <c r="AS82" s="1012"/>
    </row>
    <row r="83" spans="2:45" x14ac:dyDescent="0.25">
      <c r="B83" s="680" t="s">
        <v>414</v>
      </c>
      <c r="C83" s="661" t="s">
        <v>538</v>
      </c>
      <c r="D83" s="715">
        <f>D118</f>
        <v>1002.1139999999998</v>
      </c>
      <c r="E83" s="681"/>
      <c r="F83" s="681"/>
      <c r="G83" s="681"/>
      <c r="H83" s="681"/>
      <c r="I83" s="681"/>
      <c r="J83" s="715">
        <f t="shared" si="9"/>
        <v>665.66125</v>
      </c>
      <c r="K83" s="715">
        <f t="shared" si="9"/>
        <v>596.529</v>
      </c>
      <c r="L83" s="681"/>
      <c r="M83" s="715">
        <f t="shared" si="9"/>
        <v>610.06000000000006</v>
      </c>
      <c r="N83" s="681"/>
      <c r="O83" s="680">
        <f t="shared" si="9"/>
        <v>667.86660000000006</v>
      </c>
      <c r="P83" s="682"/>
      <c r="Q83" s="681"/>
      <c r="R83" s="681"/>
      <c r="S83" s="715">
        <f t="shared" si="9"/>
        <v>599.1</v>
      </c>
      <c r="T83" s="715">
        <f t="shared" si="9"/>
        <v>153.39999999999998</v>
      </c>
      <c r="U83" s="715"/>
      <c r="V83" s="682"/>
      <c r="W83" s="973"/>
      <c r="X83" s="972"/>
      <c r="Y83" s="972"/>
      <c r="Z83" s="972"/>
      <c r="AA83" s="972"/>
      <c r="AB83" s="972"/>
      <c r="AC83" s="972"/>
      <c r="AD83" s="972"/>
      <c r="AE83" s="972"/>
      <c r="AF83" s="972"/>
      <c r="AG83" s="972"/>
      <c r="AH83" s="972"/>
      <c r="AI83" s="715">
        <f>AI118</f>
        <v>-596.22000000000025</v>
      </c>
      <c r="AJ83" s="972"/>
      <c r="AK83" s="972"/>
      <c r="AL83" s="972"/>
      <c r="AM83" s="972"/>
      <c r="AN83" s="972"/>
      <c r="AO83" s="972"/>
      <c r="AP83" s="972"/>
      <c r="AQ83" s="972"/>
      <c r="AR83" s="715">
        <f>AR118</f>
        <v>6191.78</v>
      </c>
      <c r="AS83" s="1014"/>
    </row>
    <row r="84" spans="2:45" x14ac:dyDescent="0.25">
      <c r="B84" s="680" t="s">
        <v>216</v>
      </c>
      <c r="C84" s="661" t="s">
        <v>538</v>
      </c>
      <c r="D84" s="715">
        <f>D121</f>
        <v>2.9445504000000002</v>
      </c>
      <c r="E84" s="681"/>
      <c r="F84" s="681"/>
      <c r="G84" s="681"/>
      <c r="H84" s="681"/>
      <c r="I84" s="681"/>
      <c r="J84" s="715">
        <f t="shared" ref="J84:V84" si="10">J121</f>
        <v>3.1949749999999999</v>
      </c>
      <c r="K84" s="715">
        <f t="shared" si="10"/>
        <v>3.3515064000000003</v>
      </c>
      <c r="L84" s="681"/>
      <c r="M84" s="715">
        <f t="shared" si="10"/>
        <v>2.2383999999999999</v>
      </c>
      <c r="N84" s="681"/>
      <c r="O84" s="680">
        <f t="shared" si="10"/>
        <v>2.461068</v>
      </c>
      <c r="P84" s="682">
        <f t="shared" si="10"/>
        <v>2.972</v>
      </c>
      <c r="Q84" s="681"/>
      <c r="R84" s="681"/>
      <c r="S84" s="715">
        <f t="shared" si="10"/>
        <v>4.6965599999999998</v>
      </c>
      <c r="T84" s="715">
        <f t="shared" si="10"/>
        <v>4.8840000000000003</v>
      </c>
      <c r="U84" s="715">
        <f t="shared" si="10"/>
        <v>3.7</v>
      </c>
      <c r="V84" s="682">
        <f t="shared" si="10"/>
        <v>4.4230184005000002</v>
      </c>
      <c r="W84" s="973"/>
      <c r="X84" s="972"/>
      <c r="Y84" s="972"/>
      <c r="Z84" s="972"/>
      <c r="AA84" s="972"/>
      <c r="AB84" s="972"/>
      <c r="AC84" s="972"/>
      <c r="AD84" s="972"/>
      <c r="AE84" s="972"/>
      <c r="AF84" s="972"/>
      <c r="AG84" s="972"/>
      <c r="AH84" s="972"/>
      <c r="AI84" s="715">
        <f>AI121</f>
        <v>105.76440000000001</v>
      </c>
      <c r="AJ84" s="972"/>
      <c r="AK84" s="972"/>
      <c r="AL84" s="972"/>
      <c r="AM84" s="972"/>
      <c r="AN84" s="972"/>
      <c r="AO84" s="972"/>
      <c r="AP84" s="972"/>
      <c r="AQ84" s="972"/>
      <c r="AR84" s="715">
        <f>AR121</f>
        <v>156.96440000000001</v>
      </c>
      <c r="AS84" s="1014"/>
    </row>
    <row r="85" spans="2:45" x14ac:dyDescent="0.25">
      <c r="B85" s="683"/>
      <c r="C85" s="684"/>
      <c r="D85" s="716"/>
      <c r="E85" s="685"/>
      <c r="F85" s="685"/>
      <c r="G85" s="685"/>
      <c r="H85" s="685"/>
      <c r="I85" s="1"/>
      <c r="J85" s="758"/>
      <c r="K85" s="758"/>
      <c r="L85" s="685"/>
      <c r="M85" s="758"/>
      <c r="N85" s="685"/>
      <c r="O85" s="5"/>
      <c r="P85" s="6"/>
      <c r="Q85" s="685"/>
      <c r="R85" s="685"/>
      <c r="S85" s="758"/>
      <c r="T85" s="758"/>
      <c r="U85" s="758"/>
      <c r="V85" s="6"/>
      <c r="W85" s="683"/>
      <c r="AA85" s="45"/>
      <c r="AB85" s="45"/>
      <c r="AC85" s="45"/>
      <c r="AD85" s="45"/>
      <c r="AE85" s="45"/>
      <c r="AF85" s="45"/>
      <c r="AG85" s="45"/>
      <c r="AH85" s="45"/>
      <c r="AI85" s="758"/>
      <c r="AJ85" s="45"/>
      <c r="AK85" s="45"/>
      <c r="AL85" s="45"/>
      <c r="AM85" s="45"/>
      <c r="AN85" s="45"/>
      <c r="AO85" s="45"/>
      <c r="AP85" s="45"/>
      <c r="AR85" s="758"/>
      <c r="AS85" s="746"/>
    </row>
    <row r="86" spans="2:45" x14ac:dyDescent="0.25">
      <c r="B86" s="665" t="s">
        <v>685</v>
      </c>
      <c r="C86" s="686" t="s">
        <v>495</v>
      </c>
      <c r="D86" s="744">
        <f>D5*D87</f>
        <v>150</v>
      </c>
      <c r="E86" s="687"/>
      <c r="F86" s="687"/>
      <c r="G86" s="687"/>
      <c r="H86" s="259"/>
      <c r="I86" s="259"/>
      <c r="J86" s="744">
        <f>J5*J87</f>
        <v>164</v>
      </c>
      <c r="K86" s="744">
        <f>K5*K87</f>
        <v>131</v>
      </c>
      <c r="L86" s="687"/>
      <c r="M86" s="744">
        <f>M5*M87</f>
        <v>131</v>
      </c>
      <c r="N86" s="687"/>
      <c r="O86" s="744">
        <f>O5*O87</f>
        <v>131</v>
      </c>
      <c r="P86" s="744">
        <f>P5*P87</f>
        <v>140</v>
      </c>
      <c r="Q86" s="687"/>
      <c r="R86" s="687"/>
      <c r="S86" s="744">
        <f>S5*S87</f>
        <v>185</v>
      </c>
      <c r="T86" s="744">
        <f>T5*T87</f>
        <v>188</v>
      </c>
      <c r="U86" s="744">
        <f>U5*U87</f>
        <v>185</v>
      </c>
      <c r="V86" s="744">
        <f>V5*V87</f>
        <v>185</v>
      </c>
      <c r="W86" s="974"/>
      <c r="AA86" s="45"/>
      <c r="AB86" s="45"/>
      <c r="AC86" s="45"/>
      <c r="AD86" s="45"/>
      <c r="AE86" s="45"/>
      <c r="AF86" s="45"/>
      <c r="AG86" s="45"/>
      <c r="AH86" s="45"/>
      <c r="AI86" s="744">
        <f>AI5*AI87</f>
        <v>170</v>
      </c>
      <c r="AJ86" s="45"/>
      <c r="AK86" s="45"/>
      <c r="AL86" s="45"/>
      <c r="AM86" s="45"/>
      <c r="AN86" s="45"/>
      <c r="AO86" s="45"/>
      <c r="AP86" s="45"/>
      <c r="AR86" s="744">
        <f>200*AR87</f>
        <v>200</v>
      </c>
      <c r="AS86" s="744">
        <f>700*AS87</f>
        <v>700</v>
      </c>
    </row>
    <row r="87" spans="2:45" x14ac:dyDescent="0.25">
      <c r="B87" s="667" t="s">
        <v>686</v>
      </c>
      <c r="C87" s="686" t="s">
        <v>495</v>
      </c>
      <c r="D87" s="745" cm="1">
        <f t="array" ref="D87">_xlfn.IFS(Dashboard!$C$4="Conventional pricing",1,Dashboard!$C$4="Organic pricing",1.8,Dashboard!$C$4=Lists!D5,1+Dashboard!D4)</f>
        <v>1</v>
      </c>
      <c r="E87" s="688"/>
      <c r="F87" s="688"/>
      <c r="G87" s="688"/>
      <c r="H87" s="258"/>
      <c r="I87" s="258"/>
      <c r="J87" s="745" cm="1">
        <f t="array" ref="J87">_xlfn.IFS(Dashboard!$C$4="Conventional pricing",1,Dashboard!$C$4="Organic pricing",1.8,Dashboard!$C$4=Lists!D5,1+Dashboard!D4)</f>
        <v>1</v>
      </c>
      <c r="K87" s="745" cm="1">
        <f t="array" ref="K87">_xlfn.IFS(Dashboard!$C$4="Conventional pricing",1,Dashboard!$C$4="Organic pricing",1.8,Dashboard!$C$4=Lists!D5,1+Dashboard!D4)</f>
        <v>1</v>
      </c>
      <c r="L87" s="688"/>
      <c r="M87" s="745" cm="1">
        <f t="array" ref="M87">_xlfn.IFS(Dashboard!$C$4="Conventional pricing",1,Dashboard!$C$4="Organic pricing",1.8,Dashboard!$C$4=Lists!D5,1+Dashboard!D4)</f>
        <v>1</v>
      </c>
      <c r="N87" s="688"/>
      <c r="O87" s="745" cm="1">
        <f t="array" ref="O87">_xlfn.IFS(Dashboard!$C$4="Conventional pricing",1,Dashboard!$C$4="Organic pricing",1.8,Dashboard!$C$4=Lists!D5,1+Dashboard!D4)</f>
        <v>1</v>
      </c>
      <c r="P87" s="745" cm="1">
        <f t="array" ref="P87">_xlfn.IFS(Dashboard!$C$4="Conventional pricing",1,Dashboard!$C$4="Organic pricing",1.8,Dashboard!$C$4=Lists!D5,1+Dashboard!D4)</f>
        <v>1</v>
      </c>
      <c r="Q87" s="688"/>
      <c r="R87" s="688"/>
      <c r="S87" s="745" cm="1">
        <f t="array" ref="S87">_xlfn.IFS(Dashboard!$C$4="Conventional pricing",1,Dashboard!$C$4="Organic pricing",1.8,Dashboard!$C$4=Lists!D5,1+Dashboard!D4)</f>
        <v>1</v>
      </c>
      <c r="T87" s="745" cm="1">
        <f t="array" ref="T87">_xlfn.IFS(Dashboard!$C$4="Conventional pricing",1,Dashboard!$C$4="Organic pricing",1.8,Dashboard!$C$4=Lists!D5,1+Dashboard!D4)</f>
        <v>1</v>
      </c>
      <c r="U87" s="745" cm="1">
        <f t="array" ref="U87">_xlfn.IFS(Dashboard!$C$4="Conventional pricing",1,Dashboard!$C$4="Organic pricing",1.8,Dashboard!$C$4=Lists!D5,1+Dashboard!D4)</f>
        <v>1</v>
      </c>
      <c r="V87" s="745" cm="1">
        <f t="array" ref="V87">_xlfn.IFS(Dashboard!$C$4="Conventional pricing",1,Dashboard!$C$4="Organic pricing",1.8,Dashboard!$C$4=Lists!D5,1+Dashboard!D4)</f>
        <v>1</v>
      </c>
      <c r="W87" s="975"/>
      <c r="AA87" s="45"/>
      <c r="AB87" s="45"/>
      <c r="AC87" s="45"/>
      <c r="AD87" s="45"/>
      <c r="AE87" s="45"/>
      <c r="AF87" s="45"/>
      <c r="AG87" s="45"/>
      <c r="AH87" s="45"/>
      <c r="AI87" s="745" cm="1">
        <f t="array" ref="AI87">_xlfn.IFS(Dashboard!$C$4="Conventional pricing",1,Dashboard!$C$4="Organic pricing",1.8,Dashboard!$C$4=Lists!D5,1+Dashboard!D4)</f>
        <v>1</v>
      </c>
      <c r="AJ87" s="45"/>
      <c r="AK87" s="45"/>
      <c r="AL87" s="45"/>
      <c r="AM87" s="45"/>
      <c r="AN87" s="45"/>
      <c r="AO87" s="45"/>
      <c r="AP87" s="45"/>
      <c r="AR87" s="745" cm="1">
        <f t="array" ref="AR87">_xlfn.IFS(Dashboard!$C$4="Conventional pricing",1,Dashboard!$C$4="Organic pricing",1.8,Dashboard!$C$4=Lists!D5,1+Dashboard!D4)</f>
        <v>1</v>
      </c>
      <c r="AS87" s="745" cm="1">
        <f t="array" ref="AS87">_xlfn.IFS(Dashboard!$C$4="Conventional pricing",1,Dashboard!$C$4="Organic pricing",1.8,Dashboard!$C$4=Lists!D5,1+Dashboard!D4)</f>
        <v>1</v>
      </c>
    </row>
    <row r="88" spans="2:45" x14ac:dyDescent="0.25">
      <c r="B88" s="667" t="s">
        <v>687</v>
      </c>
      <c r="C88" s="686" t="s">
        <v>449</v>
      </c>
      <c r="D88" s="745" cm="1">
        <f t="array" ref="D88">_xlfn.IFS(Dashboard!$C$4="Conventional pricing",1,Dashboard!$C$4="Organic pricing",1.8,Dashboard!$C$4=Lists!D5,1+Dashboard!D4)</f>
        <v>1</v>
      </c>
      <c r="E88" s="688"/>
      <c r="F88" s="688"/>
      <c r="G88" s="688"/>
      <c r="H88" s="258"/>
      <c r="I88" s="258"/>
      <c r="J88" s="745" cm="1">
        <f t="array" ref="J88">_xlfn.IFS(Dashboard!$C$4="Conventional pricing",1,Dashboard!$C$4="Organic pricing",1.8,Dashboard!$C$4=Lists!D5,1+Dashboard!D4)</f>
        <v>1</v>
      </c>
      <c r="K88" s="745" cm="1">
        <f t="array" ref="K88">_xlfn.IFS(Dashboard!$C$4="Conventional pricing",1,Dashboard!$C$4="Organic pricing",1.8,Dashboard!$C$4=Lists!D5,1+Dashboard!D4)</f>
        <v>1</v>
      </c>
      <c r="L88" s="688"/>
      <c r="M88" s="745" cm="1">
        <f t="array" ref="M88">_xlfn.IFS(Dashboard!$C$4="Conventional pricing",1,Dashboard!$C$4="Organic pricing",1.8,Dashboard!$C$4=Lists!D5,1+Dashboard!D4)</f>
        <v>1</v>
      </c>
      <c r="N88" s="688"/>
      <c r="O88" s="745" cm="1">
        <f t="array" ref="O88">_xlfn.IFS(Dashboard!$C$4="Conventional pricing",1,Dashboard!$C$4="Organic pricing",1.8,Dashboard!$C$4=Lists!D5,1+Dashboard!D4)</f>
        <v>1</v>
      </c>
      <c r="P88" s="745" cm="1">
        <f t="array" ref="P88">_xlfn.IFS(Dashboard!$C$4="Conventional pricing",1,Dashboard!$C$4="Organic pricing",1.8,Dashboard!$C$4=Lists!D5,1+Dashboard!D4)</f>
        <v>1</v>
      </c>
      <c r="Q88" s="688"/>
      <c r="R88" s="688"/>
      <c r="S88" s="745" cm="1">
        <f t="array" ref="S88">_xlfn.IFS(Dashboard!$C$4="Conventional pricing",1,Dashboard!$C$4="Organic pricing",1.8,Dashboard!$C$4=Lists!D5,1+Dashboard!D4)</f>
        <v>1</v>
      </c>
      <c r="T88" s="745" cm="1">
        <f t="array" ref="T88">_xlfn.IFS(Dashboard!$C$4="Conventional pricing",1,Dashboard!$C$4="Organic pricing",1.8,Dashboard!$C$4=Lists!D5,1+Dashboard!D4)</f>
        <v>1</v>
      </c>
      <c r="U88" s="745" cm="1">
        <f t="array" ref="U88">_xlfn.IFS(Dashboard!$C$4="Conventional pricing",1,Dashboard!$C$4="Organic pricing",1.8,Dashboard!$C$4=Lists!D5,1+Dashboard!D4)</f>
        <v>1</v>
      </c>
      <c r="V88" s="745" cm="1">
        <f t="array" ref="V88">_xlfn.IFS(Dashboard!$C$4="Conventional pricing",1,Dashboard!$C$4="Organic pricing",1.8,Dashboard!$C$4=Lists!D5,1+Dashboard!D4)</f>
        <v>1</v>
      </c>
      <c r="W88" s="975"/>
      <c r="AA88" s="45"/>
      <c r="AB88" s="45"/>
      <c r="AC88" s="45"/>
      <c r="AD88" s="45"/>
      <c r="AE88" s="45"/>
      <c r="AF88" s="45"/>
      <c r="AG88" s="45"/>
      <c r="AH88" s="45"/>
      <c r="AI88" s="745" cm="1">
        <f t="array" ref="AI88">_xlfn.IFS(Dashboard!$C$4="Conventional pricing",1,Dashboard!$C$4="Organic pricing",1.8,Dashboard!$C$4=Lists!D5,1+Dashboard!D4)</f>
        <v>1</v>
      </c>
      <c r="AJ88" s="45"/>
      <c r="AK88" s="45"/>
      <c r="AL88" s="45"/>
      <c r="AM88" s="45"/>
      <c r="AN88" s="45"/>
      <c r="AO88" s="45"/>
      <c r="AP88" s="45"/>
      <c r="AR88" s="745" cm="1">
        <f t="array" ref="AR88">_xlfn.IFS(Dashboard!$C$4="Conventional pricing",1,Dashboard!$C$4="Organic pricing",1.8,Dashboard!$C$4=Lists!D5,1+Dashboard!D4)</f>
        <v>1</v>
      </c>
      <c r="AS88" s="745" cm="1">
        <f t="array" ref="AS88">_xlfn.IFS(Dashboard!$C$4="Conventional pricing",1,Dashboard!$C$4="Organic pricing",1.8,Dashboard!$C$4=Lists!D5,1+Dashboard!D4)</f>
        <v>1</v>
      </c>
    </row>
    <row r="89" spans="2:45" x14ac:dyDescent="0.25">
      <c r="B89" s="668" t="s">
        <v>688</v>
      </c>
      <c r="C89" s="690"/>
      <c r="D89" s="746"/>
      <c r="E89" s="155"/>
      <c r="F89" s="155"/>
      <c r="G89" s="155"/>
      <c r="H89" s="155"/>
      <c r="I89" s="155"/>
      <c r="J89" s="746"/>
      <c r="K89" s="746"/>
      <c r="L89" s="155"/>
      <c r="M89" s="746"/>
      <c r="N89" s="155"/>
      <c r="O89" s="46"/>
      <c r="P89" s="153"/>
      <c r="Q89" s="155"/>
      <c r="R89" s="155"/>
      <c r="S89" s="746"/>
      <c r="T89" s="746"/>
      <c r="U89" s="746"/>
      <c r="V89" s="153"/>
      <c r="W89" s="46"/>
      <c r="AA89" s="45"/>
      <c r="AB89" s="45"/>
      <c r="AC89" s="45"/>
      <c r="AD89" s="45"/>
      <c r="AE89" s="45"/>
      <c r="AF89" s="45"/>
      <c r="AG89" s="45"/>
      <c r="AH89" s="45"/>
      <c r="AI89" s="811"/>
      <c r="AJ89" s="45"/>
      <c r="AK89" s="45"/>
      <c r="AL89" s="45"/>
      <c r="AM89" s="45"/>
      <c r="AN89" s="45"/>
      <c r="AO89" s="45"/>
      <c r="AP89" s="45"/>
      <c r="AR89" s="989"/>
      <c r="AS89" s="1019"/>
    </row>
    <row r="90" spans="2:45" x14ac:dyDescent="0.25">
      <c r="B90" s="670" t="s">
        <v>412</v>
      </c>
      <c r="C90" s="392" t="s">
        <v>539</v>
      </c>
      <c r="D90" s="747">
        <f>D92*80%</f>
        <v>4.08</v>
      </c>
      <c r="E90" s="692"/>
      <c r="F90" s="692"/>
      <c r="G90" s="692"/>
      <c r="H90" s="691"/>
      <c r="I90" s="691"/>
      <c r="J90" s="747">
        <f>J92*80%</f>
        <v>2.5600000000000005</v>
      </c>
      <c r="K90" s="747">
        <f>K92*80%</f>
        <v>2.72</v>
      </c>
      <c r="L90" s="692"/>
      <c r="M90" s="747">
        <f>M92*80%</f>
        <v>2.72</v>
      </c>
      <c r="N90" s="692"/>
      <c r="O90" s="763">
        <f>O92*80%</f>
        <v>2.8800000000000003</v>
      </c>
      <c r="P90" s="693"/>
      <c r="Q90" s="692"/>
      <c r="R90" s="692"/>
      <c r="S90" s="747">
        <f>S92*80%</f>
        <v>2.8000000000000003</v>
      </c>
      <c r="T90" s="747">
        <f>T92*80%</f>
        <v>1.2000000000000002</v>
      </c>
      <c r="U90" s="747"/>
      <c r="V90" s="693"/>
      <c r="W90" s="976"/>
      <c r="AA90" s="45"/>
      <c r="AB90" s="45"/>
      <c r="AC90" s="45"/>
      <c r="AD90" s="45"/>
      <c r="AE90" s="45"/>
      <c r="AF90" s="45"/>
      <c r="AG90" s="45"/>
      <c r="AH90" s="45"/>
      <c r="AI90" s="747">
        <f>AI92*80%</f>
        <v>18.400000000000002</v>
      </c>
      <c r="AJ90" s="45"/>
      <c r="AK90" s="45"/>
      <c r="AL90" s="45"/>
      <c r="AM90" s="45"/>
      <c r="AN90" s="45"/>
      <c r="AO90" s="45"/>
      <c r="AP90" s="45"/>
      <c r="AR90" s="747">
        <f>AR92*0.8</f>
        <v>20</v>
      </c>
      <c r="AS90" s="1018"/>
    </row>
    <row r="91" spans="2:45" x14ac:dyDescent="0.25">
      <c r="B91" s="670" t="s">
        <v>414</v>
      </c>
      <c r="C91" s="392" t="s">
        <v>539</v>
      </c>
      <c r="D91" s="747">
        <f>D92*120%</f>
        <v>6.1199999999999992</v>
      </c>
      <c r="E91" s="692"/>
      <c r="F91" s="692"/>
      <c r="G91" s="692"/>
      <c r="H91" s="691"/>
      <c r="I91" s="691"/>
      <c r="J91" s="747">
        <f>J92*120%</f>
        <v>3.84</v>
      </c>
      <c r="K91" s="747">
        <f>K92*120%</f>
        <v>4.08</v>
      </c>
      <c r="L91" s="692"/>
      <c r="M91" s="747">
        <f>M92*120%</f>
        <v>4.08</v>
      </c>
      <c r="N91" s="692"/>
      <c r="O91" s="763">
        <f>O92*120%</f>
        <v>4.32</v>
      </c>
      <c r="P91" s="693"/>
      <c r="Q91" s="692"/>
      <c r="R91" s="692"/>
      <c r="S91" s="747">
        <f>S92*120%</f>
        <v>4.2</v>
      </c>
      <c r="T91" s="747">
        <f>T92*120%</f>
        <v>1.7999999999999998</v>
      </c>
      <c r="U91" s="747"/>
      <c r="V91" s="693"/>
      <c r="W91" s="976"/>
      <c r="AA91" s="45"/>
      <c r="AB91" s="45"/>
      <c r="AC91" s="45"/>
      <c r="AD91" s="45"/>
      <c r="AE91" s="45"/>
      <c r="AF91" s="45"/>
      <c r="AG91" s="45"/>
      <c r="AH91" s="45"/>
      <c r="AI91" s="747">
        <f>AI92*120%</f>
        <v>27.599999999999998</v>
      </c>
      <c r="AJ91" s="45"/>
      <c r="AK91" s="45"/>
      <c r="AL91" s="45"/>
      <c r="AM91" s="45"/>
      <c r="AN91" s="45"/>
      <c r="AO91" s="45"/>
      <c r="AP91" s="45"/>
      <c r="AR91" s="747">
        <f>AR92*1.2</f>
        <v>30</v>
      </c>
      <c r="AS91" s="1018"/>
    </row>
    <row r="92" spans="2:45" s="1220" customFormat="1" x14ac:dyDescent="0.25">
      <c r="B92" s="1221" t="s">
        <v>689</v>
      </c>
      <c r="C92" s="1222" t="s">
        <v>539</v>
      </c>
      <c r="D92" s="1223">
        <v>5.0999999999999996</v>
      </c>
      <c r="E92" s="1224" t="s">
        <v>690</v>
      </c>
      <c r="F92" s="1225"/>
      <c r="G92" s="1225"/>
      <c r="H92" s="1226"/>
      <c r="I92" s="1226"/>
      <c r="J92" s="1227">
        <v>3.2</v>
      </c>
      <c r="K92" s="1227">
        <v>3.4</v>
      </c>
      <c r="L92" s="1224" t="s">
        <v>690</v>
      </c>
      <c r="M92" s="1227">
        <v>3.4</v>
      </c>
      <c r="N92" s="1224" t="s">
        <v>690</v>
      </c>
      <c r="O92" s="1228">
        <v>3.6</v>
      </c>
      <c r="P92" s="1229">
        <v>3.3</v>
      </c>
      <c r="Q92" s="1224"/>
      <c r="R92" s="1225"/>
      <c r="S92" s="1227">
        <v>3.5</v>
      </c>
      <c r="T92" s="1227">
        <v>1.5</v>
      </c>
      <c r="U92" s="1227">
        <v>2</v>
      </c>
      <c r="V92" s="1229">
        <v>2</v>
      </c>
      <c r="W92" s="1230"/>
      <c r="AI92" s="1227">
        <v>23</v>
      </c>
      <c r="AR92" s="1231">
        <v>25</v>
      </c>
      <c r="AS92" s="1232">
        <v>11.9</v>
      </c>
    </row>
    <row r="93" spans="2:45" x14ac:dyDescent="0.25">
      <c r="B93" s="667" t="s">
        <v>691</v>
      </c>
      <c r="C93" s="392" t="s">
        <v>539</v>
      </c>
      <c r="D93" s="748">
        <v>5.3</v>
      </c>
      <c r="E93" s="695"/>
      <c r="F93" s="694"/>
      <c r="G93" s="694"/>
      <c r="H93" s="23"/>
      <c r="I93" s="23"/>
      <c r="J93" s="759">
        <f>J8*0.62</f>
        <v>3.740140441387696</v>
      </c>
      <c r="K93" s="759">
        <f>K8*0.62</f>
        <v>4.5093040217371456</v>
      </c>
      <c r="L93" s="695"/>
      <c r="M93" s="759">
        <f>M8*0.62</f>
        <v>3.6591460257094357</v>
      </c>
      <c r="N93" s="695"/>
      <c r="O93" s="764">
        <v>3.6</v>
      </c>
      <c r="P93" s="696">
        <v>3.3</v>
      </c>
      <c r="Q93" s="695"/>
      <c r="R93" s="694"/>
      <c r="S93" s="759">
        <v>3.5</v>
      </c>
      <c r="T93" s="759">
        <f>T8*0.8</f>
        <v>2.8902800000000002</v>
      </c>
      <c r="U93" s="759">
        <f t="shared" ref="U93:V93" si="11">U8*0.8</f>
        <v>2.8902800000000002</v>
      </c>
      <c r="V93" s="759">
        <f t="shared" si="11"/>
        <v>2.9946666666666664</v>
      </c>
      <c r="W93" s="977"/>
      <c r="AA93" s="45"/>
      <c r="AB93" s="45"/>
      <c r="AC93" s="45"/>
      <c r="AD93" s="45"/>
      <c r="AE93" s="45"/>
      <c r="AF93" s="45"/>
      <c r="AG93" s="45"/>
      <c r="AH93" s="45"/>
      <c r="AI93" s="759">
        <v>34</v>
      </c>
      <c r="AJ93" s="45"/>
      <c r="AK93" s="45"/>
      <c r="AL93" s="45"/>
      <c r="AM93" s="45"/>
      <c r="AN93" s="45"/>
      <c r="AO93" s="45"/>
      <c r="AP93" s="45"/>
      <c r="AR93" s="760">
        <v>49</v>
      </c>
      <c r="AS93" s="1017">
        <v>11.9</v>
      </c>
    </row>
    <row r="94" spans="2:45" x14ac:dyDescent="0.25">
      <c r="B94" s="667" t="s">
        <v>625</v>
      </c>
      <c r="C94" s="392" t="s">
        <v>539</v>
      </c>
      <c r="D94" s="749">
        <v>3.01</v>
      </c>
      <c r="E94" s="697"/>
      <c r="F94" s="697"/>
      <c r="G94" s="697"/>
      <c r="H94" s="672"/>
      <c r="I94" s="672"/>
      <c r="J94" s="749">
        <v>3.01</v>
      </c>
      <c r="K94" s="749">
        <v>2.52</v>
      </c>
      <c r="L94" s="697"/>
      <c r="M94" s="749">
        <v>2.5</v>
      </c>
      <c r="N94" s="697"/>
      <c r="O94" s="765">
        <v>3</v>
      </c>
      <c r="P94" s="766">
        <v>3</v>
      </c>
      <c r="Q94" s="697"/>
      <c r="R94" s="697"/>
      <c r="S94" s="759">
        <v>0</v>
      </c>
      <c r="T94" s="759">
        <v>0</v>
      </c>
      <c r="U94" s="759"/>
      <c r="V94" s="696"/>
      <c r="W94" s="978"/>
      <c r="AA94" s="45"/>
      <c r="AB94" s="45"/>
      <c r="AC94" s="45"/>
      <c r="AD94" s="45"/>
      <c r="AE94" s="45"/>
      <c r="AF94" s="45"/>
      <c r="AG94" s="45"/>
      <c r="AH94" s="45"/>
      <c r="AI94" s="749"/>
      <c r="AJ94" s="45"/>
      <c r="AK94" s="45"/>
      <c r="AL94" s="45"/>
      <c r="AM94" s="45"/>
      <c r="AN94" s="45"/>
      <c r="AO94" s="45"/>
      <c r="AP94" s="45"/>
      <c r="AR94" s="989"/>
      <c r="AS94" s="746"/>
    </row>
    <row r="95" spans="2:45" x14ac:dyDescent="0.25">
      <c r="B95" s="667" t="s">
        <v>626</v>
      </c>
      <c r="C95" s="698" t="s">
        <v>495</v>
      </c>
      <c r="D95" s="750">
        <v>65</v>
      </c>
      <c r="E95" s="176"/>
      <c r="F95" s="699"/>
      <c r="G95" s="699"/>
      <c r="H95" s="700"/>
      <c r="I95" s="700"/>
      <c r="J95" s="750">
        <v>65</v>
      </c>
      <c r="K95" s="750">
        <v>75</v>
      </c>
      <c r="L95" s="699"/>
      <c r="M95" s="750">
        <v>75</v>
      </c>
      <c r="N95" s="699"/>
      <c r="O95" s="767">
        <v>75</v>
      </c>
      <c r="P95" s="768">
        <v>75</v>
      </c>
      <c r="Q95" s="699"/>
      <c r="R95" s="699"/>
      <c r="S95" s="776">
        <v>0</v>
      </c>
      <c r="T95" s="776">
        <v>0</v>
      </c>
      <c r="U95" s="776"/>
      <c r="V95" s="701"/>
      <c r="W95" s="979"/>
      <c r="AA95" s="45"/>
      <c r="AB95" s="45"/>
      <c r="AC95" s="45"/>
      <c r="AD95" s="45"/>
      <c r="AE95" s="45"/>
      <c r="AF95" s="45"/>
      <c r="AG95" s="45"/>
      <c r="AH95" s="45"/>
      <c r="AI95" s="776"/>
      <c r="AJ95" s="45"/>
      <c r="AK95" s="45"/>
      <c r="AL95" s="45"/>
      <c r="AM95" s="45"/>
      <c r="AN95" s="45"/>
      <c r="AO95" s="45"/>
      <c r="AP95" s="45"/>
      <c r="AR95" s="756"/>
      <c r="AS95" s="1011"/>
    </row>
    <row r="96" spans="2:45" x14ac:dyDescent="0.25">
      <c r="B96" s="702" t="s">
        <v>628</v>
      </c>
      <c r="C96" s="177" t="s">
        <v>538</v>
      </c>
      <c r="D96" s="751">
        <f>(D86*D90)+(D94*D95)</f>
        <v>807.65</v>
      </c>
      <c r="E96" s="178"/>
      <c r="F96" s="178"/>
      <c r="G96" s="178"/>
      <c r="H96" s="178"/>
      <c r="I96" s="178"/>
      <c r="J96" s="751">
        <f t="shared" ref="J96:T96" si="12">(J86*J90)+(J94*J95)</f>
        <v>615.49</v>
      </c>
      <c r="K96" s="751">
        <f t="shared" si="12"/>
        <v>545.32000000000005</v>
      </c>
      <c r="L96" s="178"/>
      <c r="M96" s="751">
        <f t="shared" si="12"/>
        <v>543.82000000000005</v>
      </c>
      <c r="N96" s="178"/>
      <c r="O96" s="769">
        <f t="shared" si="12"/>
        <v>602.28</v>
      </c>
      <c r="P96" s="703">
        <f t="shared" si="12"/>
        <v>225</v>
      </c>
      <c r="Q96" s="178"/>
      <c r="R96" s="178"/>
      <c r="S96" s="751">
        <f t="shared" si="12"/>
        <v>518</v>
      </c>
      <c r="T96" s="751">
        <f t="shared" si="12"/>
        <v>225.60000000000002</v>
      </c>
      <c r="U96" s="751"/>
      <c r="V96" s="703"/>
      <c r="W96" s="980"/>
      <c r="AA96" s="45"/>
      <c r="AB96" s="45"/>
      <c r="AC96" s="45"/>
      <c r="AD96" s="45"/>
      <c r="AE96" s="45"/>
      <c r="AF96" s="45"/>
      <c r="AG96" s="45"/>
      <c r="AH96" s="45"/>
      <c r="AI96" s="751">
        <f>AI86*AI90</f>
        <v>3128.0000000000005</v>
      </c>
      <c r="AJ96" s="45"/>
      <c r="AK96" s="45"/>
      <c r="AL96" s="45"/>
      <c r="AM96" s="45"/>
      <c r="AN96" s="45"/>
      <c r="AO96" s="45"/>
      <c r="AP96" s="45"/>
      <c r="AR96" s="990">
        <v>9360</v>
      </c>
      <c r="AS96" s="1010"/>
    </row>
    <row r="97" spans="2:46" x14ac:dyDescent="0.25">
      <c r="B97" s="702" t="s">
        <v>629</v>
      </c>
      <c r="C97" s="177" t="s">
        <v>538</v>
      </c>
      <c r="D97" s="751">
        <f>(D86*D91)+(D94*D95)</f>
        <v>1113.6499999999999</v>
      </c>
      <c r="E97" s="178"/>
      <c r="F97" s="178"/>
      <c r="G97" s="178"/>
      <c r="H97" s="178"/>
      <c r="I97" s="178"/>
      <c r="J97" s="751">
        <f t="shared" ref="J97:T97" si="13">(J86*J91)+(J94*J95)</f>
        <v>825.41</v>
      </c>
      <c r="K97" s="751">
        <f t="shared" si="13"/>
        <v>723.48</v>
      </c>
      <c r="L97" s="178"/>
      <c r="M97" s="751">
        <f t="shared" si="13"/>
        <v>721.98</v>
      </c>
      <c r="N97" s="178"/>
      <c r="O97" s="769">
        <f t="shared" si="13"/>
        <v>790.92000000000007</v>
      </c>
      <c r="P97" s="703">
        <f t="shared" si="13"/>
        <v>225</v>
      </c>
      <c r="Q97" s="178"/>
      <c r="R97" s="178"/>
      <c r="S97" s="751">
        <f t="shared" si="13"/>
        <v>777</v>
      </c>
      <c r="T97" s="751">
        <f t="shared" si="13"/>
        <v>338.4</v>
      </c>
      <c r="U97" s="751"/>
      <c r="V97" s="703"/>
      <c r="W97" s="980"/>
      <c r="AA97" s="45"/>
      <c r="AB97" s="45"/>
      <c r="AC97" s="45"/>
      <c r="AD97" s="45"/>
      <c r="AE97" s="45"/>
      <c r="AF97" s="45"/>
      <c r="AG97" s="45"/>
      <c r="AH97" s="45"/>
      <c r="AI97" s="751">
        <f>AI91*AI86</f>
        <v>4692</v>
      </c>
      <c r="AJ97" s="45"/>
      <c r="AK97" s="45"/>
      <c r="AL97" s="45"/>
      <c r="AM97" s="45"/>
      <c r="AN97" s="45"/>
      <c r="AO97" s="45"/>
      <c r="AP97" s="45"/>
      <c r="AR97" s="990">
        <v>14040</v>
      </c>
      <c r="AS97" s="1010"/>
    </row>
    <row r="98" spans="2:46" x14ac:dyDescent="0.25">
      <c r="B98" s="675" t="s">
        <v>630</v>
      </c>
      <c r="C98" s="179" t="s">
        <v>538</v>
      </c>
      <c r="D98" s="439">
        <f>(D86*D93)+(D94*D95)</f>
        <v>990.65</v>
      </c>
      <c r="E98" s="79"/>
      <c r="F98" s="79"/>
      <c r="G98" s="79"/>
      <c r="H98" s="79"/>
      <c r="I98" s="79"/>
      <c r="J98" s="439">
        <f>(J86*J93)+(J94*J95)</f>
        <v>809.03303238758213</v>
      </c>
      <c r="K98" s="439">
        <f>(K86*K93)+(K94*K95)</f>
        <v>779.71882684756611</v>
      </c>
      <c r="L98" s="79"/>
      <c r="M98" s="439">
        <f>(M86*M93)+(M94*M95)</f>
        <v>666.84812936793605</v>
      </c>
      <c r="N98" s="79"/>
      <c r="O98" s="439">
        <f>(O86*O93)+(O94*O95)</f>
        <v>696.6</v>
      </c>
      <c r="P98" s="439">
        <f>(P86*P93)+(P94*P95)</f>
        <v>687</v>
      </c>
      <c r="Q98" s="79"/>
      <c r="R98" s="79"/>
      <c r="S98" s="439">
        <f>(S86*S93)+(S94*S95)</f>
        <v>647.5</v>
      </c>
      <c r="T98" s="439">
        <f>(T86*T93)+(T94*T95)</f>
        <v>543.37264000000005</v>
      </c>
      <c r="U98" s="439">
        <f>(U86*U93)+(U94*U95)</f>
        <v>534.70180000000005</v>
      </c>
      <c r="V98" s="439">
        <f>(V86*V93)+(V94*V95)</f>
        <v>554.01333333333332</v>
      </c>
      <c r="W98" s="980"/>
      <c r="AA98" s="45"/>
      <c r="AB98" s="45"/>
      <c r="AC98" s="45"/>
      <c r="AD98" s="45"/>
      <c r="AE98" s="45"/>
      <c r="AF98" s="45"/>
      <c r="AG98" s="45"/>
      <c r="AH98" s="45"/>
      <c r="AI98" s="439">
        <f>(AI86*AI93)+(AI94*AI95)</f>
        <v>5780</v>
      </c>
      <c r="AJ98" s="45"/>
      <c r="AK98" s="45"/>
      <c r="AL98" s="45"/>
      <c r="AM98" s="45"/>
      <c r="AN98" s="45"/>
      <c r="AO98" s="45"/>
      <c r="AP98" s="45"/>
      <c r="AR98" s="439">
        <f>(AR86*AR93)+(AR94*AR95)</f>
        <v>9800</v>
      </c>
      <c r="AS98" s="439">
        <f>(AS86*AS93)+(AS94*AS95)</f>
        <v>8330</v>
      </c>
      <c r="AT98" s="1021"/>
    </row>
    <row r="99" spans="2:46" x14ac:dyDescent="0.25">
      <c r="B99" s="668" t="s">
        <v>631</v>
      </c>
      <c r="C99" s="690"/>
      <c r="D99" s="752"/>
      <c r="E99" s="1"/>
      <c r="F99" s="1"/>
      <c r="G99" s="1"/>
      <c r="H99" s="1"/>
      <c r="I99" s="1"/>
      <c r="J99" s="758"/>
      <c r="K99" s="758"/>
      <c r="L99" s="685"/>
      <c r="M99" s="758"/>
      <c r="N99" s="685"/>
      <c r="O99" s="5"/>
      <c r="P99" s="6"/>
      <c r="Q99" s="685"/>
      <c r="R99" s="685"/>
      <c r="S99" s="758"/>
      <c r="T99" s="758"/>
      <c r="U99" s="758"/>
      <c r="V99" s="6"/>
      <c r="W99" s="683"/>
      <c r="AA99" s="45"/>
      <c r="AB99" s="45"/>
      <c r="AC99" s="45"/>
      <c r="AD99" s="45"/>
      <c r="AE99" s="45"/>
      <c r="AF99" s="45"/>
      <c r="AG99" s="45"/>
      <c r="AH99" s="45"/>
      <c r="AI99" s="811"/>
      <c r="AJ99" s="45"/>
      <c r="AK99" s="45"/>
      <c r="AL99" s="45"/>
      <c r="AM99" s="45"/>
      <c r="AN99" s="45"/>
      <c r="AO99" s="45"/>
      <c r="AP99" s="45"/>
      <c r="AR99" s="811"/>
      <c r="AS99" s="746"/>
      <c r="AT99" s="1021"/>
    </row>
    <row r="100" spans="2:46" x14ac:dyDescent="0.25">
      <c r="B100" s="668"/>
      <c r="C100" s="690"/>
      <c r="D100" s="753"/>
      <c r="E100" s="1"/>
      <c r="F100" s="1"/>
      <c r="G100" s="1"/>
      <c r="H100" s="1"/>
      <c r="I100" s="1"/>
      <c r="J100" s="758"/>
      <c r="K100" s="758"/>
      <c r="L100" s="685"/>
      <c r="M100" s="758"/>
      <c r="N100" s="685"/>
      <c r="O100" s="5"/>
      <c r="P100" s="6"/>
      <c r="Q100" s="685"/>
      <c r="R100" s="685"/>
      <c r="S100" s="758"/>
      <c r="T100" s="758"/>
      <c r="U100" s="758"/>
      <c r="V100" s="6"/>
      <c r="W100" s="683"/>
      <c r="AA100" s="45"/>
      <c r="AB100" s="45"/>
      <c r="AC100" s="45"/>
      <c r="AD100" s="45"/>
      <c r="AE100" s="45"/>
      <c r="AF100" s="45"/>
      <c r="AG100" s="45"/>
      <c r="AH100" s="45"/>
      <c r="AI100" s="811"/>
      <c r="AJ100" s="45"/>
      <c r="AK100" s="45"/>
      <c r="AL100" s="45"/>
      <c r="AM100" s="45"/>
      <c r="AN100" s="45"/>
      <c r="AO100" s="45"/>
      <c r="AP100" s="45"/>
      <c r="AR100" s="811"/>
      <c r="AS100" s="776">
        <v>709.75168867187483</v>
      </c>
      <c r="AT100" s="1015" t="s">
        <v>692</v>
      </c>
    </row>
    <row r="101" spans="2:46" x14ac:dyDescent="0.25">
      <c r="B101" s="667" t="s">
        <v>693</v>
      </c>
      <c r="C101" s="698"/>
      <c r="D101" s="753">
        <v>200</v>
      </c>
      <c r="E101" s="704"/>
      <c r="F101" s="704"/>
      <c r="G101" s="704"/>
      <c r="H101" s="704"/>
      <c r="I101" s="704"/>
      <c r="J101" s="753">
        <v>250</v>
      </c>
      <c r="K101" s="753">
        <v>180</v>
      </c>
      <c r="L101" s="704"/>
      <c r="M101" s="753">
        <v>230</v>
      </c>
      <c r="N101" s="704"/>
      <c r="O101" s="770">
        <v>195</v>
      </c>
      <c r="P101" s="705">
        <v>220</v>
      </c>
      <c r="Q101" s="704"/>
      <c r="R101" s="704"/>
      <c r="S101" s="753">
        <v>210</v>
      </c>
      <c r="T101" s="753">
        <v>250</v>
      </c>
      <c r="U101" s="753">
        <v>250</v>
      </c>
      <c r="V101" s="705">
        <v>275</v>
      </c>
      <c r="W101" s="981"/>
      <c r="AA101" s="45"/>
      <c r="AB101" s="45"/>
      <c r="AC101" s="45"/>
      <c r="AD101" s="45"/>
      <c r="AE101" s="45"/>
      <c r="AF101" s="45"/>
      <c r="AG101" s="45"/>
      <c r="AH101" s="45"/>
      <c r="AI101" s="753">
        <v>200</v>
      </c>
      <c r="AJ101" s="45"/>
      <c r="AK101" s="45"/>
      <c r="AL101" s="45"/>
      <c r="AM101" s="45"/>
      <c r="AN101" s="45"/>
      <c r="AO101" s="45"/>
      <c r="AP101" s="45"/>
      <c r="AR101" s="811"/>
      <c r="AS101" s="776">
        <v>1116.5067388671873</v>
      </c>
      <c r="AT101" s="1015" t="s">
        <v>694</v>
      </c>
    </row>
    <row r="102" spans="2:46" x14ac:dyDescent="0.25">
      <c r="B102" s="667" t="s">
        <v>695</v>
      </c>
      <c r="C102" s="698"/>
      <c r="D102" s="752">
        <f>D37*D87</f>
        <v>420</v>
      </c>
      <c r="E102" s="704"/>
      <c r="F102" s="704"/>
      <c r="G102" s="704"/>
      <c r="H102" s="704"/>
      <c r="I102" s="704"/>
      <c r="J102" s="752">
        <f t="shared" ref="J102:K102" si="14">J37*J87</f>
        <v>450</v>
      </c>
      <c r="K102" s="752">
        <f t="shared" si="14"/>
        <v>400</v>
      </c>
      <c r="L102" s="704"/>
      <c r="M102" s="752">
        <f>M37*M87</f>
        <v>430</v>
      </c>
      <c r="N102" s="704"/>
      <c r="O102" s="752">
        <f t="shared" ref="O102" si="15">O37*O87</f>
        <v>430</v>
      </c>
      <c r="P102" s="752">
        <f>O37*P87</f>
        <v>430</v>
      </c>
      <c r="Q102" s="704"/>
      <c r="R102" s="704"/>
      <c r="S102" s="752">
        <f t="shared" ref="S102:V102" si="16">S37*S87</f>
        <v>490</v>
      </c>
      <c r="T102" s="752">
        <f t="shared" si="16"/>
        <v>500</v>
      </c>
      <c r="U102" s="752">
        <f t="shared" si="16"/>
        <v>500</v>
      </c>
      <c r="V102" s="752">
        <f t="shared" si="16"/>
        <v>510</v>
      </c>
      <c r="W102" s="981"/>
      <c r="AA102" s="45"/>
      <c r="AB102" s="45"/>
      <c r="AC102" s="45"/>
      <c r="AD102" s="45"/>
      <c r="AE102" s="45"/>
      <c r="AF102" s="45"/>
      <c r="AG102" s="45"/>
      <c r="AH102" s="45"/>
      <c r="AI102" s="752">
        <f>AI37*AI87</f>
        <v>370</v>
      </c>
      <c r="AJ102" s="45"/>
      <c r="AK102" s="45"/>
      <c r="AL102" s="45"/>
      <c r="AM102" s="45"/>
      <c r="AN102" s="45"/>
      <c r="AO102" s="45"/>
      <c r="AP102" s="45"/>
      <c r="AR102" s="752">
        <f>AR37*AR87</f>
        <v>0</v>
      </c>
      <c r="AS102" s="752">
        <f t="shared" ref="AS102" si="17">AS37*AS87</f>
        <v>0</v>
      </c>
      <c r="AT102" s="1015" t="s">
        <v>696</v>
      </c>
    </row>
    <row r="103" spans="2:46" x14ac:dyDescent="0.25">
      <c r="B103" s="676" t="s">
        <v>641</v>
      </c>
      <c r="C103" s="706"/>
      <c r="D103" s="754">
        <v>0.4</v>
      </c>
      <c r="E103" s="707"/>
      <c r="F103" s="707"/>
      <c r="G103" s="707"/>
      <c r="H103" s="707"/>
      <c r="I103" s="707"/>
      <c r="J103" s="754">
        <v>0.35</v>
      </c>
      <c r="K103" s="754">
        <v>0.5</v>
      </c>
      <c r="L103" s="707"/>
      <c r="M103" s="754">
        <v>0.5</v>
      </c>
      <c r="N103" s="707"/>
      <c r="O103" s="771">
        <v>0.4</v>
      </c>
      <c r="P103" s="772"/>
      <c r="Q103" s="707"/>
      <c r="R103" s="707"/>
      <c r="S103" s="777">
        <v>0</v>
      </c>
      <c r="T103" s="754">
        <v>0</v>
      </c>
      <c r="U103" s="777"/>
      <c r="V103" s="708"/>
      <c r="W103" s="982"/>
      <c r="AA103" s="45"/>
      <c r="AB103" s="45"/>
      <c r="AC103" s="45"/>
      <c r="AD103" s="45"/>
      <c r="AE103" s="45"/>
      <c r="AF103" s="45"/>
      <c r="AG103" s="45"/>
      <c r="AH103" s="45"/>
      <c r="AI103" s="754">
        <v>0</v>
      </c>
      <c r="AJ103" s="45"/>
      <c r="AK103" s="45"/>
      <c r="AL103" s="45"/>
      <c r="AM103" s="45"/>
      <c r="AN103" s="45"/>
      <c r="AO103" s="45"/>
      <c r="AP103" s="45"/>
      <c r="AR103" s="811"/>
      <c r="AS103" s="776">
        <v>1026.2010467529294</v>
      </c>
      <c r="AT103" s="1015" t="s">
        <v>697</v>
      </c>
    </row>
    <row r="104" spans="2:46" x14ac:dyDescent="0.25">
      <c r="B104" s="667" t="s">
        <v>698</v>
      </c>
      <c r="C104" s="698"/>
      <c r="D104" s="752">
        <f>D86+10</f>
        <v>160</v>
      </c>
      <c r="E104" s="669"/>
      <c r="F104" s="669"/>
      <c r="G104" s="669"/>
      <c r="H104" s="669"/>
      <c r="I104" s="669"/>
      <c r="J104" s="752">
        <f t="shared" ref="J104:V104" si="18">J86+10</f>
        <v>174</v>
      </c>
      <c r="K104" s="752">
        <f t="shared" si="18"/>
        <v>141</v>
      </c>
      <c r="L104" s="669"/>
      <c r="M104" s="752">
        <f t="shared" si="18"/>
        <v>141</v>
      </c>
      <c r="N104" s="669"/>
      <c r="O104" s="773">
        <f t="shared" si="18"/>
        <v>141</v>
      </c>
      <c r="P104" s="677">
        <f t="shared" si="18"/>
        <v>150</v>
      </c>
      <c r="Q104" s="669"/>
      <c r="R104" s="669"/>
      <c r="S104" s="752">
        <f t="shared" si="18"/>
        <v>195</v>
      </c>
      <c r="T104" s="752">
        <f t="shared" si="18"/>
        <v>198</v>
      </c>
      <c r="U104" s="752">
        <f t="shared" si="18"/>
        <v>195</v>
      </c>
      <c r="V104" s="677">
        <f t="shared" si="18"/>
        <v>195</v>
      </c>
      <c r="W104" s="981"/>
      <c r="AA104" s="45"/>
      <c r="AB104" s="45"/>
      <c r="AC104" s="45"/>
      <c r="AD104" s="45"/>
      <c r="AE104" s="45"/>
      <c r="AF104" s="45"/>
      <c r="AG104" s="45"/>
      <c r="AH104" s="45"/>
      <c r="AI104" s="752">
        <v>370</v>
      </c>
      <c r="AJ104" s="45"/>
      <c r="AK104" s="45"/>
      <c r="AL104" s="45"/>
      <c r="AM104" s="45"/>
      <c r="AN104" s="45"/>
      <c r="AO104" s="45"/>
      <c r="AP104" s="45"/>
      <c r="AR104" s="811"/>
      <c r="AS104" s="776">
        <v>1176.9294564999998</v>
      </c>
      <c r="AT104" s="1015" t="s">
        <v>699</v>
      </c>
    </row>
    <row r="105" spans="2:46" ht="11.15" customHeight="1" x14ac:dyDescent="0.25">
      <c r="B105" s="667" t="s">
        <v>700</v>
      </c>
      <c r="C105" s="698"/>
      <c r="D105" s="752">
        <f>D31/2+D32+D33</f>
        <v>104.2</v>
      </c>
      <c r="E105" s="704"/>
      <c r="F105" s="704"/>
      <c r="G105" s="704"/>
      <c r="H105" s="704"/>
      <c r="I105" s="704"/>
      <c r="J105" s="752">
        <f>J31+J32+J33</f>
        <v>141.69999999999999</v>
      </c>
      <c r="K105" s="752">
        <f>K31/2+K32+K33</f>
        <v>102.9</v>
      </c>
      <c r="L105" s="704"/>
      <c r="M105" s="753">
        <v>37</v>
      </c>
      <c r="N105" s="704"/>
      <c r="O105" s="770">
        <v>99.3</v>
      </c>
      <c r="P105" s="705">
        <v>99.3</v>
      </c>
      <c r="Q105" s="704"/>
      <c r="R105" s="704"/>
      <c r="S105" s="753">
        <v>89.3</v>
      </c>
      <c r="T105" s="753">
        <v>89.3</v>
      </c>
      <c r="U105" s="753"/>
      <c r="V105" s="705"/>
      <c r="W105" s="981"/>
      <c r="AA105" s="45"/>
      <c r="AB105" s="45"/>
      <c r="AC105" s="45"/>
      <c r="AD105" s="45"/>
      <c r="AE105" s="45"/>
      <c r="AF105" s="45"/>
      <c r="AG105" s="45"/>
      <c r="AH105" s="45"/>
      <c r="AI105" s="753">
        <v>0</v>
      </c>
      <c r="AJ105" s="45"/>
      <c r="AK105" s="45"/>
      <c r="AL105" s="45"/>
      <c r="AM105" s="45"/>
      <c r="AN105" s="45"/>
      <c r="AO105" s="45"/>
      <c r="AP105" s="45"/>
      <c r="AR105" s="811"/>
      <c r="AS105" s="776">
        <v>1444.8910738281247</v>
      </c>
      <c r="AT105" s="1015" t="s">
        <v>701</v>
      </c>
    </row>
    <row r="106" spans="2:46" x14ac:dyDescent="0.25">
      <c r="B106" s="668" t="s">
        <v>702</v>
      </c>
      <c r="C106" s="690" t="s">
        <v>538</v>
      </c>
      <c r="D106" s="752">
        <f>((D102*(1-D103))+((D104+D105)*D103))/1000*D101</f>
        <v>71.536000000000001</v>
      </c>
      <c r="E106" s="669"/>
      <c r="F106" s="669"/>
      <c r="G106" s="669"/>
      <c r="H106" s="669"/>
      <c r="I106" s="669"/>
      <c r="J106" s="752">
        <f t="shared" ref="J106:V106" si="19">((J102*(1-J103))+((J104+J105)*J103))/1000*J101</f>
        <v>100.74875</v>
      </c>
      <c r="K106" s="752">
        <f t="shared" si="19"/>
        <v>57.951000000000001</v>
      </c>
      <c r="L106" s="669"/>
      <c r="M106" s="752">
        <f t="shared" si="19"/>
        <v>69.92</v>
      </c>
      <c r="N106" s="669"/>
      <c r="O106" s="773">
        <f t="shared" si="19"/>
        <v>69.053399999999996</v>
      </c>
      <c r="P106" s="677">
        <f t="shared" si="19"/>
        <v>94.6</v>
      </c>
      <c r="Q106" s="669"/>
      <c r="R106" s="669"/>
      <c r="S106" s="752">
        <f t="shared" si="19"/>
        <v>102.89999999999999</v>
      </c>
      <c r="T106" s="752">
        <f t="shared" si="19"/>
        <v>125</v>
      </c>
      <c r="U106" s="752">
        <f t="shared" si="19"/>
        <v>125</v>
      </c>
      <c r="V106" s="677">
        <f t="shared" si="19"/>
        <v>140.25</v>
      </c>
      <c r="W106" s="981"/>
      <c r="AA106" s="45"/>
      <c r="AB106" s="45"/>
      <c r="AC106" s="45"/>
      <c r="AD106" s="45"/>
      <c r="AE106" s="45"/>
      <c r="AF106" s="45"/>
      <c r="AG106" s="45"/>
      <c r="AH106" s="45"/>
      <c r="AI106" s="755">
        <v>1600</v>
      </c>
      <c r="AJ106" s="45"/>
      <c r="AK106" s="45"/>
      <c r="AL106" s="45"/>
      <c r="AM106" s="45"/>
      <c r="AN106" s="45"/>
      <c r="AO106" s="45"/>
      <c r="AP106" s="45"/>
      <c r="AR106" s="760">
        <v>1750</v>
      </c>
      <c r="AS106" s="776">
        <v>1555.2723628906247</v>
      </c>
      <c r="AT106" s="1021"/>
    </row>
    <row r="107" spans="2:46" x14ac:dyDescent="0.25">
      <c r="B107" s="668" t="s">
        <v>703</v>
      </c>
      <c r="C107" s="690" t="s">
        <v>538</v>
      </c>
      <c r="D107" s="755">
        <v>20</v>
      </c>
      <c r="E107" s="685"/>
      <c r="F107" s="685"/>
      <c r="G107" s="685"/>
      <c r="H107" s="685"/>
      <c r="I107" s="685"/>
      <c r="J107" s="760">
        <v>39</v>
      </c>
      <c r="K107" s="760">
        <v>39</v>
      </c>
      <c r="L107" s="685"/>
      <c r="M107" s="760">
        <v>16</v>
      </c>
      <c r="N107" s="685"/>
      <c r="O107" s="9">
        <v>19</v>
      </c>
      <c r="P107" s="10">
        <v>19</v>
      </c>
      <c r="Q107" s="685"/>
      <c r="R107" s="685"/>
      <c r="S107" s="760">
        <v>35</v>
      </c>
      <c r="T107" s="760">
        <v>32</v>
      </c>
      <c r="U107" s="760">
        <v>32</v>
      </c>
      <c r="V107" s="10">
        <v>35</v>
      </c>
      <c r="W107" s="683"/>
      <c r="AA107" s="45"/>
      <c r="AB107" s="45"/>
      <c r="AC107" s="45"/>
      <c r="AD107" s="45"/>
      <c r="AE107" s="45"/>
      <c r="AF107" s="45"/>
      <c r="AG107" s="45"/>
      <c r="AH107" s="45"/>
      <c r="AI107" s="760">
        <v>40</v>
      </c>
      <c r="AJ107" s="45"/>
      <c r="AK107" s="45"/>
      <c r="AL107" s="45"/>
      <c r="AM107" s="45"/>
      <c r="AN107" s="45"/>
      <c r="AO107" s="45"/>
      <c r="AP107" s="45"/>
      <c r="AR107" s="760">
        <v>60</v>
      </c>
      <c r="AS107" s="776">
        <v>165.57193359374997</v>
      </c>
    </row>
    <row r="108" spans="2:46" x14ac:dyDescent="0.25">
      <c r="B108" s="668" t="s">
        <v>704</v>
      </c>
      <c r="C108" s="690" t="s">
        <v>538</v>
      </c>
      <c r="D108" s="755">
        <v>0</v>
      </c>
      <c r="E108" s="685"/>
      <c r="F108" s="685"/>
      <c r="G108" s="685"/>
      <c r="H108" s="685"/>
      <c r="I108" s="685"/>
      <c r="J108" s="760">
        <v>0</v>
      </c>
      <c r="K108" s="758"/>
      <c r="L108" s="685"/>
      <c r="M108" s="760">
        <v>2</v>
      </c>
      <c r="N108" s="685"/>
      <c r="O108" s="9">
        <v>5</v>
      </c>
      <c r="P108" s="10">
        <v>5</v>
      </c>
      <c r="Q108" s="685"/>
      <c r="R108" s="685"/>
      <c r="S108" s="760"/>
      <c r="T108" s="760">
        <v>5</v>
      </c>
      <c r="U108" s="760">
        <v>5</v>
      </c>
      <c r="V108" s="10"/>
      <c r="W108" s="683"/>
      <c r="AA108" s="45"/>
      <c r="AB108" s="45"/>
      <c r="AC108" s="45"/>
      <c r="AD108" s="45"/>
      <c r="AE108" s="45"/>
      <c r="AF108" s="45"/>
      <c r="AG108" s="45"/>
      <c r="AH108" s="45"/>
      <c r="AI108" s="760">
        <v>50</v>
      </c>
      <c r="AJ108" s="45"/>
      <c r="AK108" s="45"/>
      <c r="AL108" s="45"/>
      <c r="AM108" s="45"/>
      <c r="AN108" s="45"/>
      <c r="AO108" s="45"/>
      <c r="AP108" s="45"/>
      <c r="AR108" s="760">
        <v>340</v>
      </c>
      <c r="AS108" s="776">
        <v>1103.8128906249997</v>
      </c>
    </row>
    <row r="109" spans="2:46" x14ac:dyDescent="0.25">
      <c r="B109" s="668" t="s">
        <v>705</v>
      </c>
      <c r="C109" s="690" t="s">
        <v>538</v>
      </c>
      <c r="D109" s="755">
        <v>20</v>
      </c>
      <c r="E109" s="704"/>
      <c r="F109" s="704"/>
      <c r="G109" s="704"/>
      <c r="H109" s="704"/>
      <c r="I109" s="704"/>
      <c r="J109" s="755">
        <v>20</v>
      </c>
      <c r="K109" s="755">
        <v>30</v>
      </c>
      <c r="L109" s="704"/>
      <c r="M109" s="755">
        <v>24</v>
      </c>
      <c r="N109" s="704"/>
      <c r="O109" s="774">
        <v>30</v>
      </c>
      <c r="P109" s="709">
        <v>30</v>
      </c>
      <c r="Q109" s="704"/>
      <c r="R109" s="704"/>
      <c r="S109" s="755">
        <v>40</v>
      </c>
      <c r="T109" s="755">
        <v>23</v>
      </c>
      <c r="U109" s="755">
        <v>23</v>
      </c>
      <c r="V109" s="709">
        <v>45.900920024999991</v>
      </c>
      <c r="W109" s="981"/>
      <c r="AA109" s="45"/>
      <c r="AB109" s="45"/>
      <c r="AC109" s="45"/>
      <c r="AD109" s="45"/>
      <c r="AE109" s="45"/>
      <c r="AF109" s="45"/>
      <c r="AG109" s="45"/>
      <c r="AH109" s="45"/>
      <c r="AI109" s="755">
        <v>2010</v>
      </c>
      <c r="AJ109" s="45"/>
      <c r="AK109" s="45"/>
      <c r="AL109" s="45"/>
      <c r="AM109" s="45"/>
      <c r="AN109" s="45"/>
      <c r="AO109" s="45"/>
      <c r="AP109" s="45"/>
      <c r="AR109" s="760">
        <v>4110</v>
      </c>
      <c r="AS109" s="776">
        <v>275.95322265624992</v>
      </c>
    </row>
    <row r="110" spans="2:46" x14ac:dyDescent="0.25">
      <c r="B110" s="668" t="s">
        <v>659</v>
      </c>
      <c r="C110" s="690"/>
      <c r="D110" s="752"/>
      <c r="E110" s="685"/>
      <c r="F110" s="685"/>
      <c r="G110" s="685"/>
      <c r="H110" s="685"/>
      <c r="I110" s="685"/>
      <c r="J110" s="758"/>
      <c r="K110" s="758"/>
      <c r="L110" s="685"/>
      <c r="M110" s="758"/>
      <c r="N110" s="685"/>
      <c r="O110" s="5"/>
      <c r="P110" s="6"/>
      <c r="Q110" s="685"/>
      <c r="R110" s="685"/>
      <c r="S110" s="758"/>
      <c r="T110" s="758"/>
      <c r="U110" s="758"/>
      <c r="V110" s="6"/>
      <c r="W110" s="683"/>
      <c r="AA110" s="45"/>
      <c r="AB110" s="45"/>
      <c r="AC110" s="45"/>
      <c r="AD110" s="45"/>
      <c r="AE110" s="45"/>
      <c r="AF110" s="45"/>
      <c r="AG110" s="45"/>
      <c r="AH110" s="45"/>
      <c r="AI110" s="811"/>
      <c r="AJ110" s="45"/>
      <c r="AK110" s="45"/>
      <c r="AL110" s="45"/>
      <c r="AM110" s="45"/>
      <c r="AN110" s="45"/>
      <c r="AO110" s="45"/>
      <c r="AP110" s="45"/>
      <c r="AR110" s="811"/>
      <c r="AS110" s="746"/>
    </row>
    <row r="111" spans="2:46" x14ac:dyDescent="0.25">
      <c r="B111" s="667" t="s">
        <v>702</v>
      </c>
      <c r="C111" s="690" t="s">
        <v>538</v>
      </c>
      <c r="D111" s="756">
        <f>D106</f>
        <v>71.536000000000001</v>
      </c>
      <c r="E111" s="21"/>
      <c r="F111" s="21"/>
      <c r="G111" s="21"/>
      <c r="H111" s="21"/>
      <c r="I111" s="21"/>
      <c r="J111" s="756">
        <f t="shared" ref="J111:V114" si="20">J106</f>
        <v>100.74875</v>
      </c>
      <c r="K111" s="756">
        <f t="shared" si="20"/>
        <v>57.951000000000001</v>
      </c>
      <c r="L111" s="21"/>
      <c r="M111" s="756">
        <f t="shared" si="20"/>
        <v>69.92</v>
      </c>
      <c r="N111" s="21"/>
      <c r="O111" s="20">
        <f t="shared" si="20"/>
        <v>69.053399999999996</v>
      </c>
      <c r="P111" s="22">
        <f t="shared" si="20"/>
        <v>94.6</v>
      </c>
      <c r="Q111" s="21"/>
      <c r="R111" s="21"/>
      <c r="S111" s="756">
        <f t="shared" si="20"/>
        <v>102.89999999999999</v>
      </c>
      <c r="T111" s="756">
        <f t="shared" si="20"/>
        <v>125</v>
      </c>
      <c r="U111" s="756">
        <f t="shared" si="20"/>
        <v>125</v>
      </c>
      <c r="V111" s="22">
        <f t="shared" si="20"/>
        <v>140.25</v>
      </c>
      <c r="W111" s="983"/>
      <c r="AA111" s="45"/>
      <c r="AB111" s="45"/>
      <c r="AC111" s="45"/>
      <c r="AD111" s="45"/>
      <c r="AE111" s="45"/>
      <c r="AF111" s="45"/>
      <c r="AG111" s="45"/>
      <c r="AH111" s="45"/>
      <c r="AI111" s="756">
        <f>AI106</f>
        <v>1600</v>
      </c>
      <c r="AJ111" s="45"/>
      <c r="AK111" s="45"/>
      <c r="AL111" s="45"/>
      <c r="AM111" s="45"/>
      <c r="AN111" s="45"/>
      <c r="AO111" s="45"/>
      <c r="AP111" s="45"/>
      <c r="AR111" s="756">
        <f>AR106</f>
        <v>1750</v>
      </c>
      <c r="AS111" s="756">
        <f>AS106</f>
        <v>1555.2723628906247</v>
      </c>
    </row>
    <row r="112" spans="2:46" x14ac:dyDescent="0.25">
      <c r="B112" s="667" t="s">
        <v>706</v>
      </c>
      <c r="C112" s="690" t="s">
        <v>538</v>
      </c>
      <c r="D112" s="752">
        <f>D107</f>
        <v>20</v>
      </c>
      <c r="E112" s="669"/>
      <c r="F112" s="669"/>
      <c r="G112" s="669"/>
      <c r="H112" s="669"/>
      <c r="I112" s="669"/>
      <c r="J112" s="752">
        <f t="shared" si="20"/>
        <v>39</v>
      </c>
      <c r="K112" s="752">
        <f t="shared" si="20"/>
        <v>39</v>
      </c>
      <c r="L112" s="669"/>
      <c r="M112" s="752">
        <f t="shared" si="20"/>
        <v>16</v>
      </c>
      <c r="N112" s="669"/>
      <c r="O112" s="773">
        <f t="shared" si="20"/>
        <v>19</v>
      </c>
      <c r="P112" s="677">
        <f t="shared" si="20"/>
        <v>19</v>
      </c>
      <c r="Q112" s="669"/>
      <c r="R112" s="669"/>
      <c r="S112" s="752">
        <f t="shared" si="20"/>
        <v>35</v>
      </c>
      <c r="T112" s="752">
        <f t="shared" si="20"/>
        <v>32</v>
      </c>
      <c r="U112" s="752">
        <f t="shared" si="20"/>
        <v>32</v>
      </c>
      <c r="V112" s="677">
        <f t="shared" si="20"/>
        <v>35</v>
      </c>
      <c r="W112" s="981"/>
      <c r="AA112" s="45"/>
      <c r="AB112" s="45"/>
      <c r="AC112" s="45"/>
      <c r="AD112" s="45"/>
      <c r="AE112" s="45"/>
      <c r="AF112" s="45"/>
      <c r="AG112" s="45"/>
      <c r="AH112" s="45"/>
      <c r="AI112" s="756">
        <f t="shared" ref="AI112:AI114" si="21">AI107</f>
        <v>40</v>
      </c>
      <c r="AJ112" s="45"/>
      <c r="AK112" s="45"/>
      <c r="AL112" s="45"/>
      <c r="AM112" s="45"/>
      <c r="AN112" s="45"/>
      <c r="AO112" s="45"/>
      <c r="AP112" s="45"/>
      <c r="AR112" s="756">
        <f t="shared" ref="AR112:AR114" si="22">AR107</f>
        <v>60</v>
      </c>
      <c r="AS112" s="752">
        <f>AS107</f>
        <v>165.57193359374997</v>
      </c>
    </row>
    <row r="113" spans="2:45" x14ac:dyDescent="0.25">
      <c r="B113" s="667" t="s">
        <v>707</v>
      </c>
      <c r="C113" s="690" t="s">
        <v>538</v>
      </c>
      <c r="D113" s="752">
        <f>D108</f>
        <v>0</v>
      </c>
      <c r="E113" s="669"/>
      <c r="F113" s="669"/>
      <c r="G113" s="669"/>
      <c r="H113" s="669"/>
      <c r="I113" s="669"/>
      <c r="J113" s="752">
        <f t="shared" si="20"/>
        <v>0</v>
      </c>
      <c r="K113" s="752">
        <f t="shared" si="20"/>
        <v>0</v>
      </c>
      <c r="L113" s="669"/>
      <c r="M113" s="752">
        <f t="shared" si="20"/>
        <v>2</v>
      </c>
      <c r="N113" s="669"/>
      <c r="O113" s="773">
        <f t="shared" si="20"/>
        <v>5</v>
      </c>
      <c r="P113" s="677">
        <f t="shared" si="20"/>
        <v>5</v>
      </c>
      <c r="Q113" s="669"/>
      <c r="R113" s="669"/>
      <c r="S113" s="752">
        <f t="shared" si="20"/>
        <v>0</v>
      </c>
      <c r="T113" s="752">
        <f t="shared" si="20"/>
        <v>5</v>
      </c>
      <c r="U113" s="752">
        <f t="shared" si="20"/>
        <v>5</v>
      </c>
      <c r="V113" s="677">
        <f t="shared" si="20"/>
        <v>0</v>
      </c>
      <c r="W113" s="981"/>
      <c r="AA113" s="45"/>
      <c r="AB113" s="45"/>
      <c r="AC113" s="45"/>
      <c r="AD113" s="45"/>
      <c r="AE113" s="45"/>
      <c r="AF113" s="45"/>
      <c r="AG113" s="45"/>
      <c r="AH113" s="45"/>
      <c r="AI113" s="756">
        <f t="shared" si="21"/>
        <v>50</v>
      </c>
      <c r="AJ113" s="45"/>
      <c r="AK113" s="45"/>
      <c r="AL113" s="45"/>
      <c r="AM113" s="45"/>
      <c r="AN113" s="45"/>
      <c r="AO113" s="45"/>
      <c r="AP113" s="45"/>
      <c r="AR113" s="756">
        <f t="shared" si="22"/>
        <v>340</v>
      </c>
      <c r="AS113" s="752">
        <f>AS108</f>
        <v>1103.8128906249997</v>
      </c>
    </row>
    <row r="114" spans="2:45" x14ac:dyDescent="0.25">
      <c r="B114" s="667" t="s">
        <v>656</v>
      </c>
      <c r="C114" s="690" t="s">
        <v>538</v>
      </c>
      <c r="D114" s="752">
        <f>D109</f>
        <v>20</v>
      </c>
      <c r="E114" s="669"/>
      <c r="F114" s="669"/>
      <c r="G114" s="669"/>
      <c r="H114" s="669"/>
      <c r="I114" s="669"/>
      <c r="J114" s="752">
        <f t="shared" si="20"/>
        <v>20</v>
      </c>
      <c r="K114" s="752">
        <f t="shared" si="20"/>
        <v>30</v>
      </c>
      <c r="L114" s="669"/>
      <c r="M114" s="752">
        <f t="shared" si="20"/>
        <v>24</v>
      </c>
      <c r="N114" s="669"/>
      <c r="O114" s="773">
        <f t="shared" si="20"/>
        <v>30</v>
      </c>
      <c r="P114" s="677">
        <f t="shared" si="20"/>
        <v>30</v>
      </c>
      <c r="Q114" s="669"/>
      <c r="R114" s="669"/>
      <c r="S114" s="752">
        <f t="shared" si="20"/>
        <v>40</v>
      </c>
      <c r="T114" s="752">
        <f t="shared" si="20"/>
        <v>23</v>
      </c>
      <c r="U114" s="752">
        <f t="shared" si="20"/>
        <v>23</v>
      </c>
      <c r="V114" s="677">
        <f t="shared" si="20"/>
        <v>45.900920024999991</v>
      </c>
      <c r="W114" s="981"/>
      <c r="AA114" s="45"/>
      <c r="AB114" s="45"/>
      <c r="AC114" s="45"/>
      <c r="AD114" s="45"/>
      <c r="AE114" s="45"/>
      <c r="AF114" s="45"/>
      <c r="AG114" s="45"/>
      <c r="AH114" s="45"/>
      <c r="AI114" s="756">
        <f t="shared" si="21"/>
        <v>2010</v>
      </c>
      <c r="AJ114" s="45"/>
      <c r="AK114" s="45"/>
      <c r="AL114" s="45"/>
      <c r="AM114" s="45"/>
      <c r="AN114" s="45"/>
      <c r="AO114" s="45"/>
      <c r="AP114" s="45"/>
      <c r="AR114" s="756">
        <f t="shared" si="22"/>
        <v>4110</v>
      </c>
      <c r="AS114" s="753">
        <v>7129.4474341123032</v>
      </c>
    </row>
    <row r="115" spans="2:45" x14ac:dyDescent="0.25">
      <c r="B115" s="667" t="s">
        <v>708</v>
      </c>
      <c r="C115" s="690" t="s">
        <v>538</v>
      </c>
      <c r="D115" s="752"/>
      <c r="E115" s="669"/>
      <c r="F115" s="669"/>
      <c r="G115" s="669"/>
      <c r="H115" s="669"/>
      <c r="I115" s="669"/>
      <c r="J115" s="752"/>
      <c r="K115" s="752"/>
      <c r="L115" s="669"/>
      <c r="M115" s="752"/>
      <c r="N115" s="669"/>
      <c r="O115" s="773"/>
      <c r="P115" s="677"/>
      <c r="Q115" s="669"/>
      <c r="R115" s="669"/>
      <c r="S115" s="752"/>
      <c r="T115" s="752"/>
      <c r="U115" s="752"/>
      <c r="V115" s="677"/>
      <c r="W115" s="981"/>
      <c r="AA115" s="45"/>
      <c r="AB115" s="45"/>
      <c r="AC115" s="45"/>
      <c r="AD115" s="45"/>
      <c r="AE115" s="45"/>
      <c r="AF115" s="45"/>
      <c r="AG115" s="45"/>
      <c r="AH115" s="45"/>
      <c r="AI115" s="756">
        <v>1588.22</v>
      </c>
      <c r="AJ115" s="45"/>
      <c r="AK115" s="45"/>
      <c r="AL115" s="45"/>
      <c r="AM115" s="45"/>
      <c r="AN115" s="45"/>
      <c r="AO115" s="45"/>
      <c r="AP115" s="45"/>
      <c r="AR115" s="756">
        <v>1588.22</v>
      </c>
      <c r="AS115" s="753"/>
    </row>
    <row r="116" spans="2:45" x14ac:dyDescent="0.25">
      <c r="B116" s="675" t="s">
        <v>709</v>
      </c>
      <c r="C116" s="690" t="s">
        <v>538</v>
      </c>
      <c r="D116" s="439">
        <f>SUM(D111:D115)</f>
        <v>111.536</v>
      </c>
      <c r="E116" s="79"/>
      <c r="F116" s="79"/>
      <c r="G116" s="79"/>
      <c r="H116" s="79"/>
      <c r="I116" s="79"/>
      <c r="J116" s="439">
        <f>SUM(J111:J115)</f>
        <v>159.74875</v>
      </c>
      <c r="K116" s="439">
        <f>SUM(K111:K115)</f>
        <v>126.95099999999999</v>
      </c>
      <c r="L116" s="79"/>
      <c r="M116" s="439">
        <f>SUM(M111:M115)</f>
        <v>111.92</v>
      </c>
      <c r="N116" s="79"/>
      <c r="O116" s="439">
        <f>SUM(O111:O115)</f>
        <v>123.0534</v>
      </c>
      <c r="P116" s="439">
        <f>SUM(P111:P115)</f>
        <v>148.6</v>
      </c>
      <c r="Q116" s="79"/>
      <c r="R116" s="79"/>
      <c r="S116" s="439">
        <f>SUM(S111:S115)</f>
        <v>177.89999999999998</v>
      </c>
      <c r="T116" s="439">
        <f>SUM(T111:T115)</f>
        <v>185</v>
      </c>
      <c r="U116" s="439">
        <f>SUM(U111:U115)</f>
        <v>185</v>
      </c>
      <c r="V116" s="439">
        <f>SUM(V111:V115)</f>
        <v>221.150920025</v>
      </c>
      <c r="W116" s="980"/>
      <c r="AA116" s="45"/>
      <c r="AB116" s="45"/>
      <c r="AC116" s="45"/>
      <c r="AD116" s="45"/>
      <c r="AE116" s="45"/>
      <c r="AF116" s="45"/>
      <c r="AG116" s="45"/>
      <c r="AH116" s="45"/>
      <c r="AI116" s="439">
        <f>SUM(AI111:AI115)</f>
        <v>5288.22</v>
      </c>
      <c r="AJ116" s="45"/>
      <c r="AK116" s="45"/>
      <c r="AL116" s="45"/>
      <c r="AM116" s="45"/>
      <c r="AN116" s="45"/>
      <c r="AO116" s="45"/>
      <c r="AP116" s="45"/>
      <c r="AR116" s="439">
        <f>SUM(AR111:AR115)</f>
        <v>7848.22</v>
      </c>
      <c r="AS116" s="439">
        <f>SUM(AS111:AS115)</f>
        <v>9954.104621221677</v>
      </c>
    </row>
    <row r="117" spans="2:45" x14ac:dyDescent="0.25">
      <c r="B117" s="702" t="s">
        <v>710</v>
      </c>
      <c r="C117" s="690" t="s">
        <v>538</v>
      </c>
      <c r="D117" s="751">
        <f>D96-D116</f>
        <v>696.11400000000003</v>
      </c>
      <c r="E117" s="178"/>
      <c r="F117" s="178"/>
      <c r="G117" s="178"/>
      <c r="H117" s="178"/>
      <c r="I117" s="178"/>
      <c r="J117" s="751">
        <f t="shared" ref="J117:T117" si="23">J96-J116</f>
        <v>455.74125000000004</v>
      </c>
      <c r="K117" s="751">
        <f t="shared" si="23"/>
        <v>418.36900000000003</v>
      </c>
      <c r="L117" s="178"/>
      <c r="M117" s="751">
        <f t="shared" si="23"/>
        <v>431.90000000000003</v>
      </c>
      <c r="N117" s="178"/>
      <c r="O117" s="769">
        <f t="shared" si="23"/>
        <v>479.22659999999996</v>
      </c>
      <c r="P117" s="703"/>
      <c r="Q117" s="178"/>
      <c r="R117" s="178"/>
      <c r="S117" s="751">
        <f t="shared" si="23"/>
        <v>340.1</v>
      </c>
      <c r="T117" s="751">
        <f t="shared" si="23"/>
        <v>40.600000000000023</v>
      </c>
      <c r="U117" s="751"/>
      <c r="V117" s="703"/>
      <c r="W117" s="980"/>
      <c r="AA117" s="45"/>
      <c r="AB117" s="45"/>
      <c r="AC117" s="45"/>
      <c r="AD117" s="45"/>
      <c r="AE117" s="45"/>
      <c r="AF117" s="45"/>
      <c r="AG117" s="45"/>
      <c r="AH117" s="45"/>
      <c r="AI117" s="751">
        <f>AI96-AI116</f>
        <v>-2160.2199999999998</v>
      </c>
      <c r="AJ117" s="45"/>
      <c r="AK117" s="45"/>
      <c r="AL117" s="45"/>
      <c r="AM117" s="45"/>
      <c r="AN117" s="45"/>
      <c r="AO117" s="45"/>
      <c r="AP117" s="45"/>
      <c r="AR117" s="990">
        <f>AR96-AR116</f>
        <v>1511.7799999999997</v>
      </c>
      <c r="AS117" s="751"/>
    </row>
    <row r="118" spans="2:45" x14ac:dyDescent="0.25">
      <c r="B118" s="702" t="s">
        <v>711</v>
      </c>
      <c r="C118" s="690" t="s">
        <v>538</v>
      </c>
      <c r="D118" s="751">
        <f>D97-D116</f>
        <v>1002.1139999999998</v>
      </c>
      <c r="E118" s="178"/>
      <c r="F118" s="178"/>
      <c r="G118" s="178"/>
      <c r="H118" s="178"/>
      <c r="I118" s="178"/>
      <c r="J118" s="751">
        <f t="shared" ref="J118:T118" si="24">J97-J116</f>
        <v>665.66125</v>
      </c>
      <c r="K118" s="751">
        <f t="shared" si="24"/>
        <v>596.529</v>
      </c>
      <c r="L118" s="178"/>
      <c r="M118" s="751">
        <f t="shared" si="24"/>
        <v>610.06000000000006</v>
      </c>
      <c r="N118" s="178"/>
      <c r="O118" s="769">
        <f t="shared" si="24"/>
        <v>667.86660000000006</v>
      </c>
      <c r="P118" s="703"/>
      <c r="Q118" s="178"/>
      <c r="R118" s="178"/>
      <c r="S118" s="751">
        <f t="shared" si="24"/>
        <v>599.1</v>
      </c>
      <c r="T118" s="751">
        <f t="shared" si="24"/>
        <v>153.39999999999998</v>
      </c>
      <c r="U118" s="751"/>
      <c r="V118" s="703"/>
      <c r="W118" s="980"/>
      <c r="AA118" s="45"/>
      <c r="AB118" s="45"/>
      <c r="AC118" s="45"/>
      <c r="AD118" s="45"/>
      <c r="AE118" s="45"/>
      <c r="AF118" s="45"/>
      <c r="AG118" s="45"/>
      <c r="AH118" s="45"/>
      <c r="AI118" s="751">
        <f>AI97-AI116</f>
        <v>-596.22000000000025</v>
      </c>
      <c r="AJ118" s="45"/>
      <c r="AK118" s="45"/>
      <c r="AL118" s="45"/>
      <c r="AM118" s="45"/>
      <c r="AN118" s="45"/>
      <c r="AO118" s="45"/>
      <c r="AP118" s="45"/>
      <c r="AR118" s="990">
        <f>AR97-AR116</f>
        <v>6191.78</v>
      </c>
      <c r="AS118" s="751"/>
    </row>
    <row r="119" spans="2:45" x14ac:dyDescent="0.25">
      <c r="B119" s="675" t="s">
        <v>712</v>
      </c>
      <c r="C119" s="690" t="s">
        <v>538</v>
      </c>
      <c r="D119" s="439">
        <f>D98-D116</f>
        <v>879.11400000000003</v>
      </c>
      <c r="E119" s="79"/>
      <c r="F119" s="79"/>
      <c r="G119" s="79"/>
      <c r="H119" s="79"/>
      <c r="I119" s="79"/>
      <c r="J119" s="439">
        <f t="shared" ref="J119:V119" si="25">J98-J116</f>
        <v>649.28428238758215</v>
      </c>
      <c r="K119" s="439">
        <f t="shared" si="25"/>
        <v>652.76782684756608</v>
      </c>
      <c r="L119" s="79"/>
      <c r="M119" s="439">
        <f t="shared" si="25"/>
        <v>554.92812936793609</v>
      </c>
      <c r="N119" s="79"/>
      <c r="O119" s="77">
        <f t="shared" si="25"/>
        <v>573.54660000000001</v>
      </c>
      <c r="P119" s="78">
        <f t="shared" si="25"/>
        <v>538.4</v>
      </c>
      <c r="Q119" s="79"/>
      <c r="R119" s="79"/>
      <c r="S119" s="439">
        <f t="shared" si="25"/>
        <v>469.6</v>
      </c>
      <c r="T119" s="439">
        <f t="shared" si="25"/>
        <v>358.37264000000005</v>
      </c>
      <c r="U119" s="439">
        <f t="shared" si="25"/>
        <v>349.70180000000005</v>
      </c>
      <c r="V119" s="78">
        <f t="shared" si="25"/>
        <v>332.86241330833332</v>
      </c>
      <c r="W119" s="980"/>
      <c r="AA119" s="45"/>
      <c r="AB119" s="45"/>
      <c r="AC119" s="45"/>
      <c r="AD119" s="45"/>
      <c r="AE119" s="45"/>
      <c r="AF119" s="45"/>
      <c r="AG119" s="45"/>
      <c r="AH119" s="45"/>
      <c r="AI119" s="439">
        <f>AI98-AI116</f>
        <v>491.77999999999975</v>
      </c>
      <c r="AJ119" s="45"/>
      <c r="AK119" s="45"/>
      <c r="AL119" s="45"/>
      <c r="AM119" s="45"/>
      <c r="AN119" s="45"/>
      <c r="AO119" s="45"/>
      <c r="AP119" s="45"/>
      <c r="AR119" s="991">
        <f>AR98-AR116</f>
        <v>1951.7799999999997</v>
      </c>
      <c r="AS119" s="439">
        <f>AS98-AS116</f>
        <v>-1624.104621221677</v>
      </c>
    </row>
    <row r="120" spans="2:45" x14ac:dyDescent="0.25">
      <c r="B120" s="667" t="s">
        <v>667</v>
      </c>
      <c r="C120" s="698"/>
      <c r="D120" s="752" t="s">
        <v>668</v>
      </c>
      <c r="E120" s="710"/>
      <c r="F120" s="710"/>
      <c r="G120" s="710"/>
      <c r="H120" s="710"/>
      <c r="I120" s="710"/>
      <c r="J120" s="756" t="s">
        <v>669</v>
      </c>
      <c r="K120" s="756" t="s">
        <v>668</v>
      </c>
      <c r="L120" s="710"/>
      <c r="M120" s="756" t="s">
        <v>669</v>
      </c>
      <c r="N120" s="710"/>
      <c r="O120" s="20" t="s">
        <v>669</v>
      </c>
      <c r="P120" s="22" t="s">
        <v>669</v>
      </c>
      <c r="Q120" s="710"/>
      <c r="R120" s="710"/>
      <c r="S120" s="756" t="s">
        <v>668</v>
      </c>
      <c r="T120" s="756" t="s">
        <v>668</v>
      </c>
      <c r="U120" s="756" t="s">
        <v>669</v>
      </c>
      <c r="V120" s="22" t="s">
        <v>669</v>
      </c>
      <c r="W120" s="983"/>
      <c r="AA120" s="45"/>
      <c r="AB120" s="45"/>
      <c r="AC120" s="45"/>
      <c r="AD120" s="45"/>
      <c r="AE120" s="45"/>
      <c r="AF120" s="45"/>
      <c r="AG120" s="45"/>
      <c r="AH120" s="45"/>
      <c r="AI120" s="756" t="s">
        <v>669</v>
      </c>
      <c r="AJ120" s="45"/>
      <c r="AK120" s="45"/>
      <c r="AL120" s="45"/>
      <c r="AM120" s="45"/>
      <c r="AN120" s="45"/>
      <c r="AO120" s="45"/>
      <c r="AP120" s="45"/>
      <c r="AR120" s="756" t="s">
        <v>669</v>
      </c>
      <c r="AS120" s="756" t="s">
        <v>669</v>
      </c>
    </row>
    <row r="121" spans="2:45" ht="11" thickBot="1" x14ac:dyDescent="0.3">
      <c r="B121" s="711" t="s">
        <v>713</v>
      </c>
      <c r="C121" s="712" t="s">
        <v>538</v>
      </c>
      <c r="D121" s="757">
        <f>D116*66%*4%</f>
        <v>2.9445504000000002</v>
      </c>
      <c r="E121" s="713"/>
      <c r="F121" s="713"/>
      <c r="G121" s="713"/>
      <c r="H121" s="713"/>
      <c r="I121" s="713"/>
      <c r="J121" s="757">
        <f>J116*50%*4%</f>
        <v>3.1949749999999999</v>
      </c>
      <c r="K121" s="757">
        <f>K116*66%*4%</f>
        <v>3.3515064000000003</v>
      </c>
      <c r="L121" s="713"/>
      <c r="M121" s="757">
        <f>M116*50%*4%</f>
        <v>2.2383999999999999</v>
      </c>
      <c r="N121" s="713"/>
      <c r="O121" s="775">
        <f>O116*50%*4%</f>
        <v>2.461068</v>
      </c>
      <c r="P121" s="714">
        <f>P116*50%*4%</f>
        <v>2.972</v>
      </c>
      <c r="Q121" s="713"/>
      <c r="R121" s="713"/>
      <c r="S121" s="757">
        <f>S116*66%*4%</f>
        <v>4.6965599999999998</v>
      </c>
      <c r="T121" s="757">
        <f>T116*66%*4%</f>
        <v>4.8840000000000003</v>
      </c>
      <c r="U121" s="757">
        <f>U116*50%*4%</f>
        <v>3.7</v>
      </c>
      <c r="V121" s="714">
        <f>V116*50%*4%</f>
        <v>4.4230184005000002</v>
      </c>
      <c r="W121" s="984"/>
      <c r="X121" s="490"/>
      <c r="Y121" s="490"/>
      <c r="Z121" s="490"/>
      <c r="AA121" s="490"/>
      <c r="AB121" s="490"/>
      <c r="AC121" s="490"/>
      <c r="AD121" s="490"/>
      <c r="AE121" s="490"/>
      <c r="AF121" s="490"/>
      <c r="AG121" s="490"/>
      <c r="AH121" s="490"/>
      <c r="AI121" s="757">
        <f>AI116*50%*4%</f>
        <v>105.76440000000001</v>
      </c>
      <c r="AJ121" s="490"/>
      <c r="AK121" s="490"/>
      <c r="AL121" s="490"/>
      <c r="AM121" s="490"/>
      <c r="AN121" s="490"/>
      <c r="AO121" s="490"/>
      <c r="AP121" s="490"/>
      <c r="AQ121" s="490"/>
      <c r="AR121" s="757">
        <f>AR116*50%*4%</f>
        <v>156.96440000000001</v>
      </c>
      <c r="AS121" s="757">
        <f>AS116*50%*4%</f>
        <v>199.08209242443354</v>
      </c>
    </row>
    <row r="122" spans="2:45" s="238" customFormat="1" ht="11" thickBot="1" x14ac:dyDescent="0.3"/>
    <row r="123" spans="2:45" s="238" customFormat="1" x14ac:dyDescent="0.25">
      <c r="B123" s="1037" t="s">
        <v>49</v>
      </c>
      <c r="C123" s="1038" t="s">
        <v>714</v>
      </c>
    </row>
    <row r="124" spans="2:45" s="238" customFormat="1" ht="21.5" thickBot="1" x14ac:dyDescent="0.3">
      <c r="B124" s="1039" t="s">
        <v>715</v>
      </c>
      <c r="C124" s="1040">
        <v>0</v>
      </c>
    </row>
    <row r="125" spans="2:45" s="238" customFormat="1" x14ac:dyDescent="0.25"/>
    <row r="126" spans="2:45" s="238" customFormat="1" x14ac:dyDescent="0.25"/>
    <row r="127" spans="2:45" s="238" customFormat="1" x14ac:dyDescent="0.25"/>
    <row r="128" spans="2:45" s="238" customFormat="1" x14ac:dyDescent="0.25"/>
    <row r="129" s="238" customFormat="1" x14ac:dyDescent="0.25"/>
    <row r="130" s="238" customFormat="1" x14ac:dyDescent="0.25"/>
    <row r="131" s="238" customFormat="1" x14ac:dyDescent="0.25"/>
    <row r="132" s="238" customFormat="1" x14ac:dyDescent="0.25"/>
    <row r="133" s="238" customFormat="1" x14ac:dyDescent="0.25"/>
    <row r="134" s="238" customFormat="1" x14ac:dyDescent="0.25"/>
    <row r="135" s="238" customFormat="1" x14ac:dyDescent="0.25"/>
    <row r="136" s="238" customFormat="1" x14ac:dyDescent="0.25"/>
    <row r="137" s="238" customFormat="1" x14ac:dyDescent="0.25"/>
    <row r="138" s="238" customFormat="1" x14ac:dyDescent="0.25"/>
    <row r="139" s="238" customFormat="1" x14ac:dyDescent="0.25"/>
    <row r="140" s="238" customFormat="1" x14ac:dyDescent="0.25"/>
    <row r="141" s="238" customFormat="1" x14ac:dyDescent="0.25"/>
    <row r="142" s="238" customFormat="1" x14ac:dyDescent="0.25"/>
    <row r="143" s="238" customFormat="1" x14ac:dyDescent="0.25"/>
    <row r="144" s="238" customFormat="1" x14ac:dyDescent="0.25"/>
    <row r="145" s="238" customFormat="1" x14ac:dyDescent="0.25"/>
    <row r="146" s="238" customFormat="1" x14ac:dyDescent="0.25"/>
    <row r="147" s="238" customFormat="1" x14ac:dyDescent="0.25"/>
    <row r="148" s="238" customFormat="1" x14ac:dyDescent="0.25"/>
    <row r="149" s="238" customFormat="1" x14ac:dyDescent="0.25"/>
    <row r="150" s="238" customFormat="1" x14ac:dyDescent="0.25"/>
    <row r="151" s="238" customFormat="1" x14ac:dyDescent="0.25"/>
    <row r="152" s="238" customFormat="1" x14ac:dyDescent="0.25"/>
    <row r="153" s="238" customFormat="1" x14ac:dyDescent="0.25"/>
    <row r="154" s="238" customFormat="1" x14ac:dyDescent="0.25"/>
    <row r="155" s="238" customFormat="1" x14ac:dyDescent="0.25"/>
    <row r="156" s="238" customFormat="1" x14ac:dyDescent="0.25"/>
    <row r="157" s="238" customFormat="1" x14ac:dyDescent="0.25"/>
    <row r="158" s="238" customFormat="1" x14ac:dyDescent="0.25"/>
    <row r="159" s="238" customFormat="1" x14ac:dyDescent="0.25"/>
    <row r="160" s="238" customFormat="1" x14ac:dyDescent="0.25"/>
    <row r="161" s="238" customFormat="1"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A2E17-D1B4-4C9E-9316-5E3DB45C8749}">
  <dimension ref="A1:AW74"/>
  <sheetViews>
    <sheetView workbookViewId="0"/>
  </sheetViews>
  <sheetFormatPr defaultColWidth="8.81640625" defaultRowHeight="10.5" x14ac:dyDescent="0.25"/>
  <cols>
    <col min="1" max="1" width="2.453125" style="235" customWidth="1"/>
    <col min="2" max="2" width="21.54296875" style="2" customWidth="1"/>
    <col min="3" max="3" width="8.54296875" style="2" customWidth="1"/>
    <col min="4" max="17" width="8.81640625" style="2"/>
    <col min="18" max="18" width="4.453125" style="2" customWidth="1"/>
    <col min="19" max="25" width="8.81640625" style="2"/>
    <col min="26" max="26" width="3.54296875" style="2" customWidth="1"/>
    <col min="27" max="27" width="8.81640625" style="267"/>
    <col min="28" max="16384" width="8.81640625" style="2"/>
  </cols>
  <sheetData>
    <row r="1" spans="1:49" s="235" customFormat="1" ht="11" thickBot="1" x14ac:dyDescent="0.3">
      <c r="AA1" s="267"/>
      <c r="AB1" s="2"/>
      <c r="AC1" s="2"/>
      <c r="AD1" s="2"/>
      <c r="AE1" s="2"/>
      <c r="AF1" s="2"/>
      <c r="AG1" s="2"/>
      <c r="AH1" s="2"/>
      <c r="AI1" s="2"/>
      <c r="AJ1" s="2"/>
      <c r="AK1" s="2"/>
      <c r="AL1" s="2"/>
      <c r="AM1" s="2"/>
      <c r="AN1" s="2"/>
      <c r="AO1" s="2"/>
      <c r="AP1" s="2"/>
      <c r="AQ1" s="2"/>
      <c r="AR1" s="2"/>
      <c r="AS1" s="2"/>
      <c r="AT1" s="2"/>
      <c r="AU1" s="2"/>
      <c r="AV1" s="2"/>
      <c r="AW1" s="2"/>
    </row>
    <row r="2" spans="1:49" s="175" customFormat="1" ht="24" customHeight="1" thickBot="1" x14ac:dyDescent="0.4">
      <c r="A2" s="339"/>
      <c r="B2" s="401"/>
      <c r="C2" s="402"/>
      <c r="D2" s="1499" t="s">
        <v>196</v>
      </c>
      <c r="E2" s="1497"/>
      <c r="F2" s="1497"/>
      <c r="G2" s="1497"/>
      <c r="H2" s="1497"/>
      <c r="I2" s="1497"/>
      <c r="J2" s="1497"/>
      <c r="K2" s="1497"/>
      <c r="L2" s="1497"/>
      <c r="M2" s="1497"/>
      <c r="N2" s="1497"/>
      <c r="O2" s="1497"/>
      <c r="P2" s="1497"/>
      <c r="Q2" s="1498"/>
      <c r="R2" s="273"/>
      <c r="S2" s="1499" t="s">
        <v>74</v>
      </c>
      <c r="T2" s="1497"/>
      <c r="U2" s="1497"/>
      <c r="V2" s="1497"/>
      <c r="W2" s="1497"/>
      <c r="X2" s="1497"/>
      <c r="Y2" s="1498"/>
      <c r="Z2" s="273"/>
      <c r="AA2" s="658" t="s">
        <v>69</v>
      </c>
      <c r="AB2" s="130"/>
      <c r="AC2" s="130"/>
      <c r="AD2" s="130"/>
    </row>
    <row r="3" spans="1:49" s="96" customFormat="1" ht="42" x14ac:dyDescent="0.35">
      <c r="A3" s="236"/>
      <c r="B3" s="403"/>
      <c r="C3" s="404" t="s">
        <v>444</v>
      </c>
      <c r="D3" s="1505" t="s">
        <v>716</v>
      </c>
      <c r="E3" s="1506"/>
      <c r="F3" s="1506"/>
      <c r="G3" s="1506"/>
      <c r="H3" s="1506"/>
      <c r="I3" s="1507"/>
      <c r="J3" s="1505" t="s">
        <v>717</v>
      </c>
      <c r="K3" s="1506"/>
      <c r="L3" s="1506"/>
      <c r="M3" s="1506"/>
      <c r="N3" s="1506"/>
      <c r="O3" s="1507"/>
      <c r="P3" s="429" t="s">
        <v>718</v>
      </c>
      <c r="Q3" s="430" t="s">
        <v>719</v>
      </c>
      <c r="R3" s="370"/>
      <c r="S3" s="1505" t="s">
        <v>720</v>
      </c>
      <c r="T3" s="1507"/>
      <c r="U3" s="429" t="s">
        <v>721</v>
      </c>
      <c r="V3" s="429" t="s">
        <v>542</v>
      </c>
      <c r="W3" s="429" t="s">
        <v>722</v>
      </c>
      <c r="X3" s="429" t="s">
        <v>723</v>
      </c>
      <c r="Y3" s="435" t="s">
        <v>724</v>
      </c>
      <c r="Z3" s="274"/>
      <c r="AA3" s="659"/>
      <c r="AB3" s="660"/>
    </row>
    <row r="4" spans="1:49" x14ac:dyDescent="0.25">
      <c r="B4" s="405" t="s">
        <v>725</v>
      </c>
      <c r="C4" s="406"/>
      <c r="D4" s="431" t="s">
        <v>726</v>
      </c>
      <c r="E4" s="432" t="s">
        <v>727</v>
      </c>
      <c r="F4" s="432" t="s">
        <v>728</v>
      </c>
      <c r="G4" s="432" t="s">
        <v>729</v>
      </c>
      <c r="H4" s="432" t="s">
        <v>730</v>
      </c>
      <c r="I4" s="433" t="s">
        <v>731</v>
      </c>
      <c r="J4" s="431" t="s">
        <v>732</v>
      </c>
      <c r="K4" s="432" t="s">
        <v>733</v>
      </c>
      <c r="L4" s="432" t="s">
        <v>734</v>
      </c>
      <c r="M4" s="432" t="s">
        <v>735</v>
      </c>
      <c r="N4" s="432" t="s">
        <v>736</v>
      </c>
      <c r="O4" s="433" t="s">
        <v>737</v>
      </c>
      <c r="P4" s="434" t="s">
        <v>738</v>
      </c>
      <c r="Q4" s="434" t="s">
        <v>739</v>
      </c>
      <c r="R4" s="287"/>
      <c r="S4" s="436" t="s">
        <v>740</v>
      </c>
      <c r="T4" s="437" t="s">
        <v>741</v>
      </c>
      <c r="U4" s="438" t="s">
        <v>742</v>
      </c>
      <c r="V4" s="438" t="s">
        <v>743</v>
      </c>
      <c r="W4" s="438" t="s">
        <v>743</v>
      </c>
      <c r="X4" s="438" t="s">
        <v>744</v>
      </c>
      <c r="Y4" s="437" t="s">
        <v>745</v>
      </c>
      <c r="Z4" s="371"/>
      <c r="AA4" s="266"/>
      <c r="AB4" s="1"/>
    </row>
    <row r="5" spans="1:49" x14ac:dyDescent="0.25">
      <c r="B5" s="407" t="s">
        <v>746</v>
      </c>
      <c r="C5" s="408" t="s">
        <v>425</v>
      </c>
      <c r="D5" s="254">
        <f>D29</f>
        <v>59.127826086956517</v>
      </c>
      <c r="E5" s="255">
        <f>E29</f>
        <v>141.19884057971015</v>
      </c>
      <c r="F5" s="255">
        <f t="shared" ref="F5:Q5" si="0">F29</f>
        <v>223.9294202898551</v>
      </c>
      <c r="G5" s="255">
        <f t="shared" si="0"/>
        <v>301.63869565217396</v>
      </c>
      <c r="H5" s="255">
        <f t="shared" si="0"/>
        <v>383.75753623188405</v>
      </c>
      <c r="I5" s="256">
        <f t="shared" si="0"/>
        <v>471.69550724637685</v>
      </c>
      <c r="J5" s="254">
        <f t="shared" si="0"/>
        <v>9</v>
      </c>
      <c r="K5" s="255">
        <f t="shared" si="0"/>
        <v>106.0677275362319</v>
      </c>
      <c r="L5" s="255">
        <f t="shared" si="0"/>
        <v>182.50616376811595</v>
      </c>
      <c r="M5" s="255">
        <f t="shared" si="0"/>
        <v>255.68734347826091</v>
      </c>
      <c r="N5" s="255">
        <f t="shared" si="0"/>
        <v>328.78277101449277</v>
      </c>
      <c r="O5" s="256">
        <f t="shared" si="0"/>
        <v>399.70669420289857</v>
      </c>
      <c r="P5" s="257">
        <f t="shared" si="0"/>
        <v>92.608695652173921</v>
      </c>
      <c r="Q5" s="257">
        <f t="shared" si="0"/>
        <v>661.33144927536239</v>
      </c>
      <c r="R5" s="275"/>
      <c r="S5" s="254">
        <f>S29</f>
        <v>73.553391304347826</v>
      </c>
      <c r="T5" s="256">
        <f t="shared" ref="T5:Y5" si="1">T29</f>
        <v>36.817893043478264</v>
      </c>
      <c r="U5" s="257">
        <f t="shared" si="1"/>
        <v>275.5</v>
      </c>
      <c r="V5" s="257">
        <f t="shared" si="1"/>
        <v>125.66500000000001</v>
      </c>
      <c r="W5" s="257">
        <f t="shared" si="1"/>
        <v>150.49</v>
      </c>
      <c r="X5" s="257">
        <f t="shared" si="1"/>
        <v>133.75</v>
      </c>
      <c r="Y5" s="256">
        <f t="shared" si="1"/>
        <v>123.06</v>
      </c>
      <c r="Z5" s="275"/>
      <c r="AA5" s="266"/>
      <c r="AB5" s="1"/>
    </row>
    <row r="6" spans="1:49" x14ac:dyDescent="0.25">
      <c r="B6" s="409" t="s">
        <v>216</v>
      </c>
      <c r="C6" s="410" t="s">
        <v>442</v>
      </c>
      <c r="D6" s="268">
        <f>D29/2*4%</f>
        <v>1.1825565217391303</v>
      </c>
      <c r="E6" s="350">
        <f>E29/2*4%</f>
        <v>2.823976811594203</v>
      </c>
      <c r="F6" s="350">
        <f t="shared" ref="F6:O6" si="2">F29/2*4%</f>
        <v>4.4785884057971019</v>
      </c>
      <c r="G6" s="350">
        <f t="shared" si="2"/>
        <v>6.0327739130434797</v>
      </c>
      <c r="H6" s="350">
        <f t="shared" si="2"/>
        <v>7.6751507246376809</v>
      </c>
      <c r="I6" s="351">
        <f t="shared" si="2"/>
        <v>9.4339101449275375</v>
      </c>
      <c r="J6" s="268">
        <f t="shared" si="2"/>
        <v>0.18</v>
      </c>
      <c r="K6" s="350">
        <f t="shared" si="2"/>
        <v>2.1213545507246381</v>
      </c>
      <c r="L6" s="350">
        <f t="shared" si="2"/>
        <v>3.650123275362319</v>
      </c>
      <c r="M6" s="350">
        <f t="shared" si="2"/>
        <v>5.113746869565218</v>
      </c>
      <c r="N6" s="350">
        <f t="shared" si="2"/>
        <v>6.5756554202898556</v>
      </c>
      <c r="O6" s="351">
        <f t="shared" si="2"/>
        <v>7.9941338840579714</v>
      </c>
      <c r="P6" s="264">
        <v>1.8521739130434784</v>
      </c>
      <c r="Q6" s="264">
        <f>Q29/2*4%</f>
        <v>13.226628985507247</v>
      </c>
      <c r="R6" s="275"/>
      <c r="S6" s="254">
        <f t="shared" ref="S6:Y6" si="3">S29/2*4%</f>
        <v>1.4710678260869565</v>
      </c>
      <c r="T6" s="256">
        <f t="shared" si="3"/>
        <v>0.73635786086956534</v>
      </c>
      <c r="U6" s="257">
        <f t="shared" si="3"/>
        <v>5.51</v>
      </c>
      <c r="V6" s="257">
        <f t="shared" si="3"/>
        <v>2.5133000000000001</v>
      </c>
      <c r="W6" s="257">
        <f t="shared" si="3"/>
        <v>3.0098000000000003</v>
      </c>
      <c r="X6" s="257">
        <f t="shared" si="3"/>
        <v>2.6750000000000003</v>
      </c>
      <c r="Y6" s="256">
        <f t="shared" si="3"/>
        <v>2.4612000000000003</v>
      </c>
      <c r="Z6" s="275"/>
      <c r="AA6" s="266"/>
      <c r="AB6" s="1"/>
    </row>
    <row r="7" spans="1:49" x14ac:dyDescent="0.25">
      <c r="B7" s="411" t="s">
        <v>747</v>
      </c>
      <c r="C7" s="412" t="s">
        <v>645</v>
      </c>
      <c r="D7" s="271">
        <v>0</v>
      </c>
      <c r="E7" s="269">
        <v>50</v>
      </c>
      <c r="F7" s="269">
        <v>100</v>
      </c>
      <c r="G7" s="269">
        <v>150</v>
      </c>
      <c r="H7" s="269">
        <v>200</v>
      </c>
      <c r="I7" s="270">
        <v>250</v>
      </c>
      <c r="J7" s="271">
        <v>0</v>
      </c>
      <c r="K7" s="269">
        <v>50</v>
      </c>
      <c r="L7" s="269">
        <v>100</v>
      </c>
      <c r="M7" s="269">
        <v>150</v>
      </c>
      <c r="N7" s="269">
        <v>200</v>
      </c>
      <c r="O7" s="270">
        <v>250</v>
      </c>
      <c r="P7" s="352">
        <v>0</v>
      </c>
      <c r="Q7" s="352">
        <v>50</v>
      </c>
      <c r="R7" s="276"/>
      <c r="S7" s="271">
        <v>0</v>
      </c>
      <c r="T7" s="270">
        <v>0</v>
      </c>
      <c r="U7" s="352"/>
      <c r="V7" s="352"/>
      <c r="W7" s="352"/>
      <c r="X7" s="352"/>
      <c r="Y7" s="270"/>
      <c r="Z7" s="276"/>
      <c r="AA7" s="265"/>
      <c r="AB7" s="1"/>
    </row>
    <row r="8" spans="1:49" x14ac:dyDescent="0.25">
      <c r="B8" s="413" t="s">
        <v>748</v>
      </c>
      <c r="C8" s="414" t="s">
        <v>749</v>
      </c>
      <c r="D8" s="97">
        <v>5</v>
      </c>
      <c r="E8" s="98">
        <v>5</v>
      </c>
      <c r="F8" s="98">
        <v>5</v>
      </c>
      <c r="G8" s="98">
        <v>5</v>
      </c>
      <c r="H8" s="98">
        <v>4</v>
      </c>
      <c r="I8" s="101">
        <v>3</v>
      </c>
      <c r="J8" s="97">
        <v>100</v>
      </c>
      <c r="K8" s="98">
        <v>25</v>
      </c>
      <c r="L8" s="98">
        <v>25</v>
      </c>
      <c r="M8" s="98">
        <v>25</v>
      </c>
      <c r="N8" s="98">
        <v>25</v>
      </c>
      <c r="O8" s="101">
        <v>25</v>
      </c>
      <c r="P8" s="353">
        <v>2</v>
      </c>
      <c r="Q8" s="358"/>
      <c r="R8" s="277"/>
      <c r="S8" s="97">
        <v>5</v>
      </c>
      <c r="T8" s="101">
        <v>25</v>
      </c>
      <c r="U8" s="353">
        <v>1</v>
      </c>
      <c r="V8" s="353">
        <v>2</v>
      </c>
      <c r="W8" s="353">
        <v>2</v>
      </c>
      <c r="X8" s="353">
        <v>2</v>
      </c>
      <c r="Y8" s="101">
        <v>3</v>
      </c>
      <c r="Z8" s="277"/>
      <c r="AA8" s="265" t="s">
        <v>750</v>
      </c>
      <c r="AB8" s="94"/>
    </row>
    <row r="9" spans="1:49" x14ac:dyDescent="0.25">
      <c r="B9" s="413" t="s">
        <v>751</v>
      </c>
      <c r="C9" s="414" t="s">
        <v>752</v>
      </c>
      <c r="D9" s="97">
        <v>18</v>
      </c>
      <c r="E9" s="98">
        <v>28</v>
      </c>
      <c r="F9" s="98">
        <v>37</v>
      </c>
      <c r="G9" s="98">
        <v>43</v>
      </c>
      <c r="H9" s="98">
        <v>48</v>
      </c>
      <c r="I9" s="101">
        <v>51</v>
      </c>
      <c r="J9" s="114">
        <f>D9*0.81</f>
        <v>14.580000000000002</v>
      </c>
      <c r="K9" s="100">
        <f>E9*0.81</f>
        <v>22.68</v>
      </c>
      <c r="L9" s="100">
        <f t="shared" ref="L9:O9" si="4">F9*0.81</f>
        <v>29.970000000000002</v>
      </c>
      <c r="M9" s="100">
        <f t="shared" si="4"/>
        <v>34.830000000000005</v>
      </c>
      <c r="N9" s="100">
        <f t="shared" si="4"/>
        <v>38.880000000000003</v>
      </c>
      <c r="O9" s="118">
        <f t="shared" si="4"/>
        <v>41.31</v>
      </c>
      <c r="P9" s="246">
        <f>AVERAGE(45,65)</f>
        <v>55</v>
      </c>
      <c r="Q9" s="353">
        <v>40</v>
      </c>
      <c r="R9" s="248"/>
      <c r="S9" s="114">
        <f>D9*1.2</f>
        <v>21.599999999999998</v>
      </c>
      <c r="T9" s="118">
        <f>J9*1.1</f>
        <v>16.038000000000004</v>
      </c>
      <c r="U9" s="246"/>
      <c r="V9" s="246"/>
      <c r="W9" s="246"/>
      <c r="X9" s="246"/>
      <c r="Y9" s="118"/>
      <c r="Z9" s="248"/>
      <c r="AA9" s="265" t="s">
        <v>753</v>
      </c>
      <c r="AB9" s="95"/>
    </row>
    <row r="10" spans="1:49" x14ac:dyDescent="0.25">
      <c r="B10" s="415" t="s">
        <v>754</v>
      </c>
      <c r="C10" s="416" t="s">
        <v>429</v>
      </c>
      <c r="D10" s="102">
        <f>D9/$I$9*$I$10</f>
        <v>0.70588235294117652</v>
      </c>
      <c r="E10" s="103">
        <f>E9/$I$9*$I$10</f>
        <v>1.0980392156862746</v>
      </c>
      <c r="F10" s="103">
        <f t="shared" ref="F10:H10" si="5">F9/$I$9*$I$10</f>
        <v>1.4509803921568627</v>
      </c>
      <c r="G10" s="103">
        <f t="shared" si="5"/>
        <v>1.6862745098039216</v>
      </c>
      <c r="H10" s="103">
        <f t="shared" si="5"/>
        <v>1.8823529411764706</v>
      </c>
      <c r="I10" s="242">
        <v>2</v>
      </c>
      <c r="J10" s="102">
        <f>D10/D9*J9</f>
        <v>0.57176470588235295</v>
      </c>
      <c r="K10" s="103">
        <f>$J$10/$J$9*K9</f>
        <v>0.88941176470588212</v>
      </c>
      <c r="L10" s="103">
        <f t="shared" ref="L10:P10" si="6">$J$10/$J$9*L9</f>
        <v>1.1752941176470586</v>
      </c>
      <c r="M10" s="103">
        <f t="shared" si="6"/>
        <v>1.3658823529411763</v>
      </c>
      <c r="N10" s="103">
        <f t="shared" si="6"/>
        <v>1.5247058823529409</v>
      </c>
      <c r="O10" s="243">
        <f t="shared" si="6"/>
        <v>1.6199999999999999</v>
      </c>
      <c r="P10" s="247">
        <f t="shared" si="6"/>
        <v>2.1568627450980387</v>
      </c>
      <c r="Q10" s="362"/>
      <c r="R10" s="278"/>
      <c r="S10" s="102">
        <f>D10/D9*S9</f>
        <v>0.84705882352941164</v>
      </c>
      <c r="T10" s="243">
        <f>J10/J9*T9</f>
        <v>0.62894117647058823</v>
      </c>
      <c r="U10" s="247"/>
      <c r="V10" s="247">
        <f>P10</f>
        <v>2.1568627450980387</v>
      </c>
      <c r="W10" s="247"/>
      <c r="X10" s="247"/>
      <c r="Y10" s="243"/>
      <c r="Z10" s="278"/>
      <c r="AA10" s="265" t="s">
        <v>755</v>
      </c>
      <c r="AB10" s="94"/>
    </row>
    <row r="11" spans="1:49" x14ac:dyDescent="0.25">
      <c r="B11" s="415" t="s">
        <v>645</v>
      </c>
      <c r="C11" s="416"/>
      <c r="D11" s="104"/>
      <c r="E11" s="105"/>
      <c r="F11" s="105"/>
      <c r="G11" s="105"/>
      <c r="H11" s="105"/>
      <c r="I11" s="125"/>
      <c r="J11" s="104"/>
      <c r="K11" s="105"/>
      <c r="L11" s="105"/>
      <c r="M11" s="105"/>
      <c r="N11" s="105"/>
      <c r="O11" s="125"/>
      <c r="P11" s="359"/>
      <c r="Q11" s="363"/>
      <c r="R11" s="279"/>
      <c r="S11" s="104"/>
      <c r="T11" s="125"/>
      <c r="U11" s="359"/>
      <c r="V11" s="359"/>
      <c r="W11" s="359"/>
      <c r="X11" s="359"/>
      <c r="Y11" s="125"/>
      <c r="Z11" s="279"/>
      <c r="AA11" s="266"/>
      <c r="AB11" s="1"/>
    </row>
    <row r="12" spans="1:49" x14ac:dyDescent="0.25">
      <c r="B12" s="417" t="s">
        <v>756</v>
      </c>
      <c r="C12" s="414" t="s">
        <v>645</v>
      </c>
      <c r="D12" s="106">
        <v>0</v>
      </c>
      <c r="E12" s="107">
        <v>50</v>
      </c>
      <c r="F12" s="107">
        <v>100</v>
      </c>
      <c r="G12" s="107">
        <v>150</v>
      </c>
      <c r="H12" s="107">
        <v>200</v>
      </c>
      <c r="I12" s="108">
        <v>250</v>
      </c>
      <c r="J12" s="106">
        <v>0</v>
      </c>
      <c r="K12" s="107">
        <v>50</v>
      </c>
      <c r="L12" s="107">
        <v>100</v>
      </c>
      <c r="M12" s="107">
        <v>150</v>
      </c>
      <c r="N12" s="107">
        <v>200</v>
      </c>
      <c r="O12" s="108">
        <v>250</v>
      </c>
      <c r="P12" s="354">
        <v>0</v>
      </c>
      <c r="Q12" s="354">
        <v>50</v>
      </c>
      <c r="R12" s="280"/>
      <c r="S12" s="106">
        <v>0</v>
      </c>
      <c r="T12" s="108">
        <v>0</v>
      </c>
      <c r="U12" s="354"/>
      <c r="V12" s="354"/>
      <c r="W12" s="354"/>
      <c r="X12" s="354"/>
      <c r="Y12" s="108"/>
      <c r="Z12" s="280"/>
      <c r="AA12" s="265"/>
      <c r="AB12" s="1"/>
    </row>
    <row r="13" spans="1:49" x14ac:dyDescent="0.25">
      <c r="B13" s="418" t="s">
        <v>646</v>
      </c>
      <c r="C13" s="416" t="s">
        <v>645</v>
      </c>
      <c r="D13" s="109">
        <f>$D$34*D9</f>
        <v>12.6</v>
      </c>
      <c r="E13" s="110">
        <f>$D$34*E9</f>
        <v>19.599999999999998</v>
      </c>
      <c r="F13" s="110">
        <f t="shared" ref="F13:O13" si="7">$D$34*F9</f>
        <v>25.9</v>
      </c>
      <c r="G13" s="110">
        <f t="shared" si="7"/>
        <v>30.099999999999998</v>
      </c>
      <c r="H13" s="110">
        <f t="shared" si="7"/>
        <v>33.599999999999994</v>
      </c>
      <c r="I13" s="126">
        <f t="shared" si="7"/>
        <v>35.699999999999996</v>
      </c>
      <c r="J13" s="106">
        <v>0</v>
      </c>
      <c r="K13" s="110">
        <f t="shared" si="7"/>
        <v>15.875999999999999</v>
      </c>
      <c r="L13" s="110">
        <f t="shared" si="7"/>
        <v>20.978999999999999</v>
      </c>
      <c r="M13" s="110">
        <f t="shared" si="7"/>
        <v>24.381000000000004</v>
      </c>
      <c r="N13" s="110">
        <f t="shared" si="7"/>
        <v>27.216000000000001</v>
      </c>
      <c r="O13" s="126">
        <f t="shared" si="7"/>
        <v>28.916999999999998</v>
      </c>
      <c r="P13" s="354">
        <v>60</v>
      </c>
      <c r="Q13" s="364">
        <f>E34*Q9</f>
        <v>56</v>
      </c>
      <c r="R13" s="280"/>
      <c r="S13" s="109">
        <f t="shared" ref="S13:T13" si="8">$D$34*S9</f>
        <v>15.119999999999997</v>
      </c>
      <c r="T13" s="126">
        <f t="shared" si="8"/>
        <v>11.226600000000001</v>
      </c>
      <c r="U13" s="368"/>
      <c r="V13" s="368"/>
      <c r="W13" s="368"/>
      <c r="X13" s="368"/>
      <c r="Y13" s="126"/>
      <c r="Z13" s="281"/>
      <c r="AA13" s="265" t="s">
        <v>757</v>
      </c>
      <c r="AB13" s="1"/>
    </row>
    <row r="14" spans="1:49" x14ac:dyDescent="0.25">
      <c r="B14" s="417" t="s">
        <v>648</v>
      </c>
      <c r="C14" s="414" t="s">
        <v>645</v>
      </c>
      <c r="D14" s="109">
        <f>$D$35*D9</f>
        <v>43.199999999999996</v>
      </c>
      <c r="E14" s="110">
        <f>$D$35*E9</f>
        <v>67.2</v>
      </c>
      <c r="F14" s="110">
        <f t="shared" ref="F14:O14" si="9">$D$35*F9</f>
        <v>88.8</v>
      </c>
      <c r="G14" s="110">
        <f t="shared" si="9"/>
        <v>103.2</v>
      </c>
      <c r="H14" s="110">
        <f t="shared" si="9"/>
        <v>115.19999999999999</v>
      </c>
      <c r="I14" s="126">
        <f t="shared" si="9"/>
        <v>122.39999999999999</v>
      </c>
      <c r="J14" s="106">
        <v>0</v>
      </c>
      <c r="K14" s="110">
        <f t="shared" si="9"/>
        <v>54.431999999999995</v>
      </c>
      <c r="L14" s="110">
        <f t="shared" si="9"/>
        <v>71.927999999999997</v>
      </c>
      <c r="M14" s="110">
        <f t="shared" si="9"/>
        <v>83.592000000000013</v>
      </c>
      <c r="N14" s="110">
        <f t="shared" si="9"/>
        <v>93.311999999999998</v>
      </c>
      <c r="O14" s="126">
        <f t="shared" si="9"/>
        <v>99.144000000000005</v>
      </c>
      <c r="P14" s="354">
        <v>60</v>
      </c>
      <c r="Q14" s="364">
        <f>E35*Q9</f>
        <v>176</v>
      </c>
      <c r="R14" s="280"/>
      <c r="S14" s="109">
        <f>$D$35*S9</f>
        <v>51.839999999999996</v>
      </c>
      <c r="T14" s="126">
        <f>$D$35*T9</f>
        <v>38.491200000000006</v>
      </c>
      <c r="U14" s="368"/>
      <c r="V14" s="368"/>
      <c r="W14" s="368"/>
      <c r="X14" s="368"/>
      <c r="Y14" s="126"/>
      <c r="Z14" s="281"/>
      <c r="AA14" s="265" t="s">
        <v>757</v>
      </c>
      <c r="AB14" s="1"/>
    </row>
    <row r="15" spans="1:49" x14ac:dyDescent="0.25">
      <c r="B15" s="413" t="s">
        <v>758</v>
      </c>
      <c r="C15" s="414"/>
      <c r="D15" s="111"/>
      <c r="E15" s="112"/>
      <c r="F15" s="112"/>
      <c r="G15" s="112"/>
      <c r="H15" s="112"/>
      <c r="I15" s="99"/>
      <c r="J15" s="244"/>
      <c r="K15" s="113"/>
      <c r="L15" s="113"/>
      <c r="M15" s="113"/>
      <c r="N15" s="113"/>
      <c r="O15" s="99"/>
      <c r="P15" s="358"/>
      <c r="Q15" s="358"/>
      <c r="R15" s="282"/>
      <c r="S15" s="111"/>
      <c r="T15" s="99"/>
      <c r="U15" s="358"/>
      <c r="V15" s="358"/>
      <c r="W15" s="358"/>
      <c r="X15" s="358"/>
      <c r="Y15" s="99"/>
      <c r="Z15" s="282"/>
      <c r="AA15" s="266"/>
      <c r="AB15" s="1"/>
    </row>
    <row r="16" spans="1:49" x14ac:dyDescent="0.25">
      <c r="B16" s="419" t="s">
        <v>756</v>
      </c>
      <c r="C16" s="420" t="s">
        <v>425</v>
      </c>
      <c r="D16" s="260">
        <f>$B$45*D12*$E$40</f>
        <v>0</v>
      </c>
      <c r="E16" s="260">
        <f>$B$45*E12*$E$40</f>
        <v>66.666666666666671</v>
      </c>
      <c r="F16" s="260">
        <f>$B$45*F12*$E$40</f>
        <v>133.33333333333334</v>
      </c>
      <c r="G16" s="260">
        <f t="shared" ref="G16:Y16" si="10">$B$45*G12*$E$40</f>
        <v>200.00000000000003</v>
      </c>
      <c r="H16" s="260">
        <f t="shared" si="10"/>
        <v>266.66666666666669</v>
      </c>
      <c r="I16" s="260">
        <f>$B$45*I12*$E$40</f>
        <v>333.33333333333337</v>
      </c>
      <c r="J16" s="260">
        <f t="shared" si="10"/>
        <v>0</v>
      </c>
      <c r="K16" s="260">
        <f t="shared" si="10"/>
        <v>66.666666666666671</v>
      </c>
      <c r="L16" s="260">
        <f t="shared" si="10"/>
        <v>133.33333333333334</v>
      </c>
      <c r="M16" s="260">
        <f t="shared" si="10"/>
        <v>200.00000000000003</v>
      </c>
      <c r="N16" s="260">
        <f t="shared" si="10"/>
        <v>266.66666666666669</v>
      </c>
      <c r="O16" s="260">
        <f t="shared" si="10"/>
        <v>333.33333333333337</v>
      </c>
      <c r="P16" s="260">
        <f t="shared" si="10"/>
        <v>0</v>
      </c>
      <c r="Q16" s="260">
        <f t="shared" si="10"/>
        <v>66.666666666666671</v>
      </c>
      <c r="R16" s="283"/>
      <c r="S16" s="260">
        <f t="shared" si="10"/>
        <v>0</v>
      </c>
      <c r="T16" s="260">
        <f t="shared" si="10"/>
        <v>0</v>
      </c>
      <c r="U16" s="260">
        <f t="shared" si="10"/>
        <v>0</v>
      </c>
      <c r="V16" s="260">
        <f t="shared" si="10"/>
        <v>0</v>
      </c>
      <c r="W16" s="260">
        <f t="shared" si="10"/>
        <v>0</v>
      </c>
      <c r="X16" s="260">
        <f t="shared" si="10"/>
        <v>0</v>
      </c>
      <c r="Y16" s="260">
        <f t="shared" si="10"/>
        <v>0</v>
      </c>
      <c r="Z16" s="283"/>
      <c r="AA16" s="266"/>
      <c r="AB16" s="1"/>
    </row>
    <row r="17" spans="2:28" x14ac:dyDescent="0.25">
      <c r="B17" s="419" t="s">
        <v>646</v>
      </c>
      <c r="C17" s="420" t="s">
        <v>425</v>
      </c>
      <c r="D17" s="260">
        <f t="shared" ref="D17:Q17" si="11">D13*$E$41</f>
        <v>6.8478260869565224</v>
      </c>
      <c r="E17" s="261">
        <f t="shared" si="11"/>
        <v>10.652173913043478</v>
      </c>
      <c r="F17" s="261">
        <f t="shared" si="11"/>
        <v>14.07608695652174</v>
      </c>
      <c r="G17" s="261">
        <f t="shared" si="11"/>
        <v>16.358695652173914</v>
      </c>
      <c r="H17" s="261">
        <f t="shared" si="11"/>
        <v>18.260869565217391</v>
      </c>
      <c r="I17" s="262">
        <f t="shared" si="11"/>
        <v>19.40217391304348</v>
      </c>
      <c r="J17" s="260">
        <f t="shared" si="11"/>
        <v>0</v>
      </c>
      <c r="K17" s="261">
        <f t="shared" si="11"/>
        <v>8.628260869565219</v>
      </c>
      <c r="L17" s="261">
        <f t="shared" si="11"/>
        <v>11.401630434782611</v>
      </c>
      <c r="M17" s="261">
        <f t="shared" si="11"/>
        <v>13.250543478260873</v>
      </c>
      <c r="N17" s="261">
        <f t="shared" si="11"/>
        <v>14.79130434782609</v>
      </c>
      <c r="O17" s="262">
        <f t="shared" si="11"/>
        <v>15.715760869565219</v>
      </c>
      <c r="P17" s="361">
        <f t="shared" si="11"/>
        <v>32.608695652173921</v>
      </c>
      <c r="Q17" s="361">
        <f t="shared" si="11"/>
        <v>30.434782608695656</v>
      </c>
      <c r="R17" s="283"/>
      <c r="S17" s="260">
        <f>S13*$E$41</f>
        <v>8.2173913043478262</v>
      </c>
      <c r="T17" s="262">
        <f>T13*$E$41</f>
        <v>6.1014130434782627</v>
      </c>
      <c r="U17" s="353">
        <v>41</v>
      </c>
      <c r="V17" s="353">
        <v>41</v>
      </c>
      <c r="W17" s="353">
        <v>41</v>
      </c>
      <c r="X17" s="353">
        <v>41</v>
      </c>
      <c r="Y17" s="101">
        <v>41</v>
      </c>
      <c r="Z17" s="283"/>
      <c r="AA17" s="266"/>
      <c r="AB17" s="1"/>
    </row>
    <row r="18" spans="2:28" x14ac:dyDescent="0.25">
      <c r="B18" s="421" t="s">
        <v>648</v>
      </c>
      <c r="C18" s="420" t="s">
        <v>425</v>
      </c>
      <c r="D18" s="260">
        <f t="shared" ref="D18:Q18" si="12">D14*$E$42</f>
        <v>17.279999999999998</v>
      </c>
      <c r="E18" s="261">
        <f t="shared" si="12"/>
        <v>26.880000000000003</v>
      </c>
      <c r="F18" s="261">
        <f t="shared" si="12"/>
        <v>35.520000000000003</v>
      </c>
      <c r="G18" s="261">
        <f t="shared" si="12"/>
        <v>41.28</v>
      </c>
      <c r="H18" s="261">
        <f t="shared" si="12"/>
        <v>46.08</v>
      </c>
      <c r="I18" s="262">
        <f t="shared" si="12"/>
        <v>48.96</v>
      </c>
      <c r="J18" s="260">
        <f t="shared" si="12"/>
        <v>0</v>
      </c>
      <c r="K18" s="261">
        <f t="shared" si="12"/>
        <v>21.7728</v>
      </c>
      <c r="L18" s="261">
        <f t="shared" si="12"/>
        <v>28.7712</v>
      </c>
      <c r="M18" s="261">
        <f t="shared" si="12"/>
        <v>33.436800000000005</v>
      </c>
      <c r="N18" s="261">
        <f t="shared" si="12"/>
        <v>37.324800000000003</v>
      </c>
      <c r="O18" s="262">
        <f t="shared" si="12"/>
        <v>39.657600000000002</v>
      </c>
      <c r="P18" s="361">
        <f t="shared" si="12"/>
        <v>24</v>
      </c>
      <c r="Q18" s="361">
        <f t="shared" si="12"/>
        <v>70.400000000000006</v>
      </c>
      <c r="R18" s="283"/>
      <c r="S18" s="260">
        <f>S14*$E$42</f>
        <v>20.736000000000001</v>
      </c>
      <c r="T18" s="262">
        <f>T14*$E$42</f>
        <v>15.396480000000004</v>
      </c>
      <c r="U18" s="361"/>
      <c r="V18" s="361"/>
      <c r="W18" s="361"/>
      <c r="X18" s="361"/>
      <c r="Y18" s="262"/>
      <c r="Z18" s="283"/>
      <c r="AA18" s="266"/>
      <c r="AB18" s="1"/>
    </row>
    <row r="19" spans="2:28" x14ac:dyDescent="0.25">
      <c r="B19" s="413" t="s">
        <v>759</v>
      </c>
      <c r="C19" s="420" t="s">
        <v>425</v>
      </c>
      <c r="D19" s="114">
        <f>E19</f>
        <v>150</v>
      </c>
      <c r="E19" s="100">
        <f>F19</f>
        <v>150</v>
      </c>
      <c r="F19" s="100">
        <f>G19</f>
        <v>150</v>
      </c>
      <c r="G19" s="115">
        <v>150</v>
      </c>
      <c r="H19" s="115">
        <v>135</v>
      </c>
      <c r="I19" s="117">
        <v>135</v>
      </c>
      <c r="J19" s="15"/>
      <c r="K19" s="116"/>
      <c r="L19" s="116"/>
      <c r="M19" s="116"/>
      <c r="N19" s="116"/>
      <c r="O19" s="245"/>
      <c r="P19" s="360"/>
      <c r="Q19" s="365">
        <v>190</v>
      </c>
      <c r="R19" s="288"/>
      <c r="S19" s="15">
        <v>198</v>
      </c>
      <c r="T19" s="14">
        <v>258</v>
      </c>
      <c r="U19" s="369">
        <v>224.5</v>
      </c>
      <c r="V19" s="369">
        <v>149.33000000000001</v>
      </c>
      <c r="W19" s="369">
        <v>198.98</v>
      </c>
      <c r="X19" s="369">
        <v>165.5</v>
      </c>
      <c r="Y19" s="14">
        <v>216.18</v>
      </c>
      <c r="Z19" s="284"/>
      <c r="AA19" s="272" t="s">
        <v>760</v>
      </c>
      <c r="AB19" s="1"/>
    </row>
    <row r="20" spans="2:28" x14ac:dyDescent="0.25">
      <c r="B20" s="422" t="s">
        <v>761</v>
      </c>
      <c r="C20" s="423" t="s">
        <v>425</v>
      </c>
      <c r="D20" s="97">
        <v>5</v>
      </c>
      <c r="E20" s="98">
        <v>7</v>
      </c>
      <c r="F20" s="98">
        <v>9</v>
      </c>
      <c r="G20" s="98">
        <v>11</v>
      </c>
      <c r="H20" s="98">
        <v>15</v>
      </c>
      <c r="I20" s="101">
        <v>20</v>
      </c>
      <c r="J20" s="97">
        <v>0</v>
      </c>
      <c r="K20" s="98">
        <v>0</v>
      </c>
      <c r="L20" s="98">
        <v>0</v>
      </c>
      <c r="M20" s="98">
        <v>0</v>
      </c>
      <c r="N20" s="98">
        <v>1</v>
      </c>
      <c r="O20" s="101">
        <v>2</v>
      </c>
      <c r="P20" s="353">
        <v>30</v>
      </c>
      <c r="Q20" s="365">
        <v>53.6</v>
      </c>
      <c r="R20" s="277"/>
      <c r="S20" s="97">
        <v>0</v>
      </c>
      <c r="T20" s="101">
        <v>0</v>
      </c>
      <c r="U20" s="353"/>
      <c r="V20" s="353"/>
      <c r="W20" s="353"/>
      <c r="X20" s="353"/>
      <c r="Y20" s="101"/>
      <c r="Z20" s="277"/>
      <c r="AA20" s="266" t="s">
        <v>762</v>
      </c>
      <c r="AB20" s="94"/>
    </row>
    <row r="21" spans="2:28" x14ac:dyDescent="0.25">
      <c r="B21" s="422" t="s">
        <v>763</v>
      </c>
      <c r="C21" s="423" t="s">
        <v>425</v>
      </c>
      <c r="D21" s="97">
        <v>0</v>
      </c>
      <c r="E21" s="98">
        <v>0</v>
      </c>
      <c r="F21" s="98">
        <v>2</v>
      </c>
      <c r="G21" s="98">
        <v>3</v>
      </c>
      <c r="H21" s="98">
        <v>4</v>
      </c>
      <c r="I21" s="101">
        <v>5</v>
      </c>
      <c r="J21" s="97">
        <v>3</v>
      </c>
      <c r="K21" s="98">
        <v>3</v>
      </c>
      <c r="L21" s="98">
        <v>3</v>
      </c>
      <c r="M21" s="98">
        <v>3</v>
      </c>
      <c r="N21" s="98">
        <v>3</v>
      </c>
      <c r="O21" s="101">
        <v>3</v>
      </c>
      <c r="P21" s="353">
        <v>0</v>
      </c>
      <c r="Q21" s="353">
        <v>15</v>
      </c>
      <c r="R21" s="277"/>
      <c r="S21" s="97">
        <v>5</v>
      </c>
      <c r="T21" s="101">
        <v>5</v>
      </c>
      <c r="U21" s="353">
        <v>10</v>
      </c>
      <c r="V21" s="353">
        <v>10</v>
      </c>
      <c r="W21" s="353">
        <v>10</v>
      </c>
      <c r="X21" s="353">
        <v>10</v>
      </c>
      <c r="Y21" s="101">
        <v>10</v>
      </c>
      <c r="Z21" s="277"/>
      <c r="AA21" s="265"/>
      <c r="AB21" s="94"/>
    </row>
    <row r="22" spans="2:28" x14ac:dyDescent="0.25">
      <c r="B22" s="424" t="s">
        <v>764</v>
      </c>
      <c r="C22" s="425"/>
      <c r="D22" s="249"/>
      <c r="E22" s="250"/>
      <c r="F22" s="250"/>
      <c r="G22" s="250"/>
      <c r="H22" s="250"/>
      <c r="I22" s="251"/>
      <c r="J22" s="263"/>
      <c r="K22" s="252"/>
      <c r="L22" s="252"/>
      <c r="M22" s="252"/>
      <c r="N22" s="252"/>
      <c r="O22" s="253"/>
      <c r="P22" s="357"/>
      <c r="Q22" s="366"/>
      <c r="R22" s="282"/>
      <c r="S22" s="263"/>
      <c r="T22" s="253"/>
      <c r="U22" s="357"/>
      <c r="V22" s="357"/>
      <c r="W22" s="357"/>
      <c r="X22" s="357"/>
      <c r="Y22" s="253"/>
      <c r="Z22" s="282"/>
      <c r="AA22" s="265"/>
      <c r="AB22" s="94"/>
    </row>
    <row r="23" spans="2:28" x14ac:dyDescent="0.25">
      <c r="B23" s="426" t="s">
        <v>702</v>
      </c>
      <c r="C23" s="423" t="s">
        <v>425</v>
      </c>
      <c r="D23" s="114">
        <f>D19/D8</f>
        <v>30</v>
      </c>
      <c r="E23" s="100">
        <f>E19/E8</f>
        <v>30</v>
      </c>
      <c r="F23" s="100">
        <f t="shared" ref="F23:I23" si="13">F19/F8</f>
        <v>30</v>
      </c>
      <c r="G23" s="100">
        <f t="shared" si="13"/>
        <v>30</v>
      </c>
      <c r="H23" s="100">
        <f t="shared" si="13"/>
        <v>33.75</v>
      </c>
      <c r="I23" s="118">
        <f t="shared" si="13"/>
        <v>45</v>
      </c>
      <c r="J23" s="114">
        <f>$D$19/25</f>
        <v>6</v>
      </c>
      <c r="K23" s="100">
        <f>$D$19/25</f>
        <v>6</v>
      </c>
      <c r="L23" s="100">
        <f t="shared" ref="L23:P23" si="14">$D$19/25</f>
        <v>6</v>
      </c>
      <c r="M23" s="100">
        <f t="shared" si="14"/>
        <v>6</v>
      </c>
      <c r="N23" s="100">
        <f t="shared" si="14"/>
        <v>6</v>
      </c>
      <c r="O23" s="118">
        <f t="shared" si="14"/>
        <v>6</v>
      </c>
      <c r="P23" s="246">
        <f t="shared" si="14"/>
        <v>6</v>
      </c>
      <c r="Q23" s="246">
        <f>Q19</f>
        <v>190</v>
      </c>
      <c r="R23" s="248"/>
      <c r="S23" s="373">
        <f>S19/S8</f>
        <v>39.6</v>
      </c>
      <c r="T23" s="118">
        <f>T19/T8</f>
        <v>10.32</v>
      </c>
      <c r="U23" s="246">
        <f t="shared" ref="U23:Y23" si="15">U19/U8</f>
        <v>224.5</v>
      </c>
      <c r="V23" s="246">
        <f t="shared" si="15"/>
        <v>74.665000000000006</v>
      </c>
      <c r="W23" s="246">
        <f t="shared" si="15"/>
        <v>99.49</v>
      </c>
      <c r="X23" s="246">
        <f t="shared" si="15"/>
        <v>82.75</v>
      </c>
      <c r="Y23" s="118">
        <f t="shared" si="15"/>
        <v>72.06</v>
      </c>
      <c r="Z23" s="248"/>
      <c r="AA23" s="265"/>
      <c r="AB23" s="94"/>
    </row>
    <row r="24" spans="2:28" x14ac:dyDescent="0.25">
      <c r="B24" s="426" t="s">
        <v>706</v>
      </c>
      <c r="C24" s="423" t="s">
        <v>425</v>
      </c>
      <c r="D24" s="114">
        <f>SUM(D16:D18)</f>
        <v>24.127826086956521</v>
      </c>
      <c r="E24" s="100">
        <f>SUM(E16:E18)</f>
        <v>104.19884057971015</v>
      </c>
      <c r="F24" s="100">
        <f t="shared" ref="F24:Q24" si="16">SUM(F16:F18)</f>
        <v>182.9294202898551</v>
      </c>
      <c r="G24" s="100">
        <f t="shared" si="16"/>
        <v>257.63869565217396</v>
      </c>
      <c r="H24" s="100">
        <f t="shared" si="16"/>
        <v>331.00753623188405</v>
      </c>
      <c r="I24" s="118">
        <f t="shared" si="16"/>
        <v>401.69550724637685</v>
      </c>
      <c r="J24" s="114">
        <f>SUM(J16:J18)</f>
        <v>0</v>
      </c>
      <c r="K24" s="100">
        <f t="shared" si="16"/>
        <v>97.067727536231899</v>
      </c>
      <c r="L24" s="100">
        <f t="shared" si="16"/>
        <v>173.50616376811595</v>
      </c>
      <c r="M24" s="100">
        <f t="shared" si="16"/>
        <v>246.68734347826091</v>
      </c>
      <c r="N24" s="100">
        <f t="shared" si="16"/>
        <v>318.78277101449277</v>
      </c>
      <c r="O24" s="118">
        <f t="shared" si="16"/>
        <v>388.70669420289857</v>
      </c>
      <c r="P24" s="246">
        <f t="shared" si="16"/>
        <v>56.608695652173921</v>
      </c>
      <c r="Q24" s="246">
        <f t="shared" si="16"/>
        <v>167.50144927536235</v>
      </c>
      <c r="R24" s="248"/>
      <c r="S24" s="114">
        <f>SUM(S16:S18)</f>
        <v>28.953391304347825</v>
      </c>
      <c r="T24" s="118">
        <f t="shared" ref="T24:Y24" si="17">SUM(T16:T18)</f>
        <v>21.497893043478268</v>
      </c>
      <c r="U24" s="246">
        <f t="shared" si="17"/>
        <v>41</v>
      </c>
      <c r="V24" s="246">
        <f t="shared" si="17"/>
        <v>41</v>
      </c>
      <c r="W24" s="246">
        <f t="shared" si="17"/>
        <v>41</v>
      </c>
      <c r="X24" s="246">
        <f t="shared" si="17"/>
        <v>41</v>
      </c>
      <c r="Y24" s="118">
        <f t="shared" si="17"/>
        <v>41</v>
      </c>
      <c r="Z24" s="248"/>
      <c r="AA24" s="265"/>
      <c r="AB24" s="94"/>
    </row>
    <row r="25" spans="2:28" x14ac:dyDescent="0.25">
      <c r="B25" s="426" t="s">
        <v>707</v>
      </c>
      <c r="C25" s="423" t="s">
        <v>425</v>
      </c>
      <c r="D25" s="114">
        <f>D20</f>
        <v>5</v>
      </c>
      <c r="E25" s="100">
        <f>E20</f>
        <v>7</v>
      </c>
      <c r="F25" s="100">
        <f t="shared" ref="F25:Q25" si="18">F20</f>
        <v>9</v>
      </c>
      <c r="G25" s="100">
        <f t="shared" si="18"/>
        <v>11</v>
      </c>
      <c r="H25" s="100">
        <f t="shared" si="18"/>
        <v>15</v>
      </c>
      <c r="I25" s="118">
        <f t="shared" si="18"/>
        <v>20</v>
      </c>
      <c r="J25" s="114">
        <f t="shared" si="18"/>
        <v>0</v>
      </c>
      <c r="K25" s="100">
        <f t="shared" si="18"/>
        <v>0</v>
      </c>
      <c r="L25" s="100">
        <f t="shared" si="18"/>
        <v>0</v>
      </c>
      <c r="M25" s="100">
        <f t="shared" si="18"/>
        <v>0</v>
      </c>
      <c r="N25" s="100">
        <f t="shared" si="18"/>
        <v>1</v>
      </c>
      <c r="O25" s="118">
        <f t="shared" si="18"/>
        <v>2</v>
      </c>
      <c r="P25" s="246">
        <f t="shared" si="18"/>
        <v>30</v>
      </c>
      <c r="Q25" s="246">
        <f t="shared" si="18"/>
        <v>53.6</v>
      </c>
      <c r="R25" s="248"/>
      <c r="S25" s="114">
        <f>S20</f>
        <v>0</v>
      </c>
      <c r="T25" s="118">
        <f t="shared" ref="T25:Y25" si="19">T20</f>
        <v>0</v>
      </c>
      <c r="U25" s="246">
        <f t="shared" si="19"/>
        <v>0</v>
      </c>
      <c r="V25" s="246">
        <f t="shared" si="19"/>
        <v>0</v>
      </c>
      <c r="W25" s="246">
        <f t="shared" si="19"/>
        <v>0</v>
      </c>
      <c r="X25" s="246">
        <f t="shared" si="19"/>
        <v>0</v>
      </c>
      <c r="Y25" s="118">
        <f t="shared" si="19"/>
        <v>0</v>
      </c>
      <c r="Z25" s="248"/>
      <c r="AA25" s="265"/>
      <c r="AB25" s="94"/>
    </row>
    <row r="26" spans="2:28" x14ac:dyDescent="0.25">
      <c r="B26" s="426" t="s">
        <v>763</v>
      </c>
      <c r="C26" s="423" t="s">
        <v>425</v>
      </c>
      <c r="D26" s="114">
        <f>D21</f>
        <v>0</v>
      </c>
      <c r="E26" s="100">
        <f>E21</f>
        <v>0</v>
      </c>
      <c r="F26" s="100">
        <f t="shared" ref="F26:Q26" si="20">F21</f>
        <v>2</v>
      </c>
      <c r="G26" s="100">
        <f t="shared" si="20"/>
        <v>3</v>
      </c>
      <c r="H26" s="100">
        <f t="shared" si="20"/>
        <v>4</v>
      </c>
      <c r="I26" s="118">
        <f t="shared" si="20"/>
        <v>5</v>
      </c>
      <c r="J26" s="114">
        <f t="shared" si="20"/>
        <v>3</v>
      </c>
      <c r="K26" s="100">
        <f t="shared" si="20"/>
        <v>3</v>
      </c>
      <c r="L26" s="100">
        <f t="shared" si="20"/>
        <v>3</v>
      </c>
      <c r="M26" s="100">
        <f t="shared" si="20"/>
        <v>3</v>
      </c>
      <c r="N26" s="100">
        <f t="shared" si="20"/>
        <v>3</v>
      </c>
      <c r="O26" s="118">
        <f t="shared" si="20"/>
        <v>3</v>
      </c>
      <c r="P26" s="246">
        <f t="shared" si="20"/>
        <v>0</v>
      </c>
      <c r="Q26" s="246">
        <f t="shared" si="20"/>
        <v>15</v>
      </c>
      <c r="R26" s="248"/>
      <c r="S26" s="114">
        <f>S21</f>
        <v>5</v>
      </c>
      <c r="T26" s="118">
        <f t="shared" ref="T26:Y26" si="21">T21</f>
        <v>5</v>
      </c>
      <c r="U26" s="246">
        <f t="shared" si="21"/>
        <v>10</v>
      </c>
      <c r="V26" s="246">
        <f t="shared" si="21"/>
        <v>10</v>
      </c>
      <c r="W26" s="246">
        <f t="shared" si="21"/>
        <v>10</v>
      </c>
      <c r="X26" s="246">
        <f t="shared" si="21"/>
        <v>10</v>
      </c>
      <c r="Y26" s="118">
        <f t="shared" si="21"/>
        <v>10</v>
      </c>
      <c r="Z26" s="248"/>
      <c r="AA26" s="265"/>
      <c r="AB26" s="94"/>
    </row>
    <row r="27" spans="2:28" x14ac:dyDescent="0.25">
      <c r="B27" s="426" t="s">
        <v>765</v>
      </c>
      <c r="C27" s="423" t="s">
        <v>425</v>
      </c>
      <c r="D27" s="111"/>
      <c r="E27" s="112"/>
      <c r="F27" s="112"/>
      <c r="G27" s="112"/>
      <c r="H27" s="112"/>
      <c r="I27" s="99"/>
      <c r="J27" s="123"/>
      <c r="K27" s="94"/>
      <c r="L27" s="94"/>
      <c r="M27" s="94"/>
      <c r="N27" s="94"/>
      <c r="O27" s="124"/>
      <c r="P27" s="356"/>
      <c r="Q27" s="367">
        <v>48.29</v>
      </c>
      <c r="R27" s="285"/>
      <c r="S27" s="123"/>
      <c r="T27" s="124"/>
      <c r="U27" s="356"/>
      <c r="V27" s="356"/>
      <c r="W27" s="356"/>
      <c r="X27" s="356"/>
      <c r="Y27" s="124"/>
      <c r="Z27" s="285"/>
      <c r="AA27" s="265" t="s">
        <v>766</v>
      </c>
      <c r="AB27" s="94"/>
    </row>
    <row r="28" spans="2:28" x14ac:dyDescent="0.25">
      <c r="B28" s="426" t="s">
        <v>767</v>
      </c>
      <c r="C28" s="423" t="s">
        <v>425</v>
      </c>
      <c r="D28" s="111"/>
      <c r="E28" s="112"/>
      <c r="F28" s="112"/>
      <c r="G28" s="112"/>
      <c r="H28" s="112"/>
      <c r="I28" s="99"/>
      <c r="J28" s="123"/>
      <c r="K28" s="94"/>
      <c r="L28" s="94"/>
      <c r="M28" s="94"/>
      <c r="N28" s="94"/>
      <c r="O28" s="124"/>
      <c r="P28" s="356"/>
      <c r="Q28" s="367">
        <v>186.94</v>
      </c>
      <c r="R28" s="285"/>
      <c r="S28" s="123"/>
      <c r="T28" s="124"/>
      <c r="U28" s="356"/>
      <c r="V28" s="356"/>
      <c r="W28" s="356"/>
      <c r="X28" s="356"/>
      <c r="Y28" s="124"/>
      <c r="Z28" s="285"/>
      <c r="AA28" s="265" t="s">
        <v>768</v>
      </c>
      <c r="AB28" s="94"/>
    </row>
    <row r="29" spans="2:28" ht="11" thickBot="1" x14ac:dyDescent="0.3">
      <c r="B29" s="427" t="s">
        <v>246</v>
      </c>
      <c r="C29" s="428" t="s">
        <v>425</v>
      </c>
      <c r="D29" s="119">
        <f>SUM(D23:D26)</f>
        <v>59.127826086956517</v>
      </c>
      <c r="E29" s="120">
        <f>SUM(E23:E26)</f>
        <v>141.19884057971015</v>
      </c>
      <c r="F29" s="120">
        <f t="shared" ref="F29:O29" si="22">SUM(F23:F26)</f>
        <v>223.9294202898551</v>
      </c>
      <c r="G29" s="120">
        <f t="shared" si="22"/>
        <v>301.63869565217396</v>
      </c>
      <c r="H29" s="120">
        <f t="shared" si="22"/>
        <v>383.75753623188405</v>
      </c>
      <c r="I29" s="121">
        <f t="shared" si="22"/>
        <v>471.69550724637685</v>
      </c>
      <c r="J29" s="119">
        <f t="shared" si="22"/>
        <v>9</v>
      </c>
      <c r="K29" s="120">
        <f t="shared" si="22"/>
        <v>106.0677275362319</v>
      </c>
      <c r="L29" s="120">
        <f t="shared" si="22"/>
        <v>182.50616376811595</v>
      </c>
      <c r="M29" s="120">
        <f t="shared" si="22"/>
        <v>255.68734347826091</v>
      </c>
      <c r="N29" s="120">
        <f t="shared" si="22"/>
        <v>328.78277101449277</v>
      </c>
      <c r="O29" s="121">
        <f t="shared" si="22"/>
        <v>399.70669420289857</v>
      </c>
      <c r="P29" s="355">
        <f>SUM(P23:P28)</f>
        <v>92.608695652173921</v>
      </c>
      <c r="Q29" s="355">
        <f>SUM(Q23:Q28)</f>
        <v>661.33144927536239</v>
      </c>
      <c r="R29" s="248"/>
      <c r="S29" s="119">
        <f>SUM(S23:S28)</f>
        <v>73.553391304347826</v>
      </c>
      <c r="T29" s="121">
        <f t="shared" ref="T29:Y30" si="23">SUM(T23:T28)</f>
        <v>36.817893043478264</v>
      </c>
      <c r="U29" s="355">
        <f t="shared" si="23"/>
        <v>275.5</v>
      </c>
      <c r="V29" s="355">
        <f t="shared" si="23"/>
        <v>125.66500000000001</v>
      </c>
      <c r="W29" s="355">
        <f t="shared" si="23"/>
        <v>150.49</v>
      </c>
      <c r="X29" s="355">
        <f t="shared" si="23"/>
        <v>133.75</v>
      </c>
      <c r="Y29" s="121">
        <f t="shared" si="23"/>
        <v>123.06</v>
      </c>
      <c r="Z29" s="372"/>
      <c r="AA29" s="265"/>
      <c r="AB29" s="94"/>
    </row>
    <row r="30" spans="2:28" ht="11" thickBot="1" x14ac:dyDescent="0.3">
      <c r="B30" s="427" t="s">
        <v>769</v>
      </c>
      <c r="C30" s="428" t="s">
        <v>425</v>
      </c>
      <c r="D30" s="119">
        <f>D29-D16+(D12*$E$40*$B$45)</f>
        <v>59.127826086956517</v>
      </c>
      <c r="E30" s="119">
        <f t="shared" ref="E30:S30" si="24">E29-E16+(E12*$E$40*$B$45)</f>
        <v>141.19884057971015</v>
      </c>
      <c r="F30" s="119">
        <f t="shared" si="24"/>
        <v>223.9294202898551</v>
      </c>
      <c r="G30" s="119">
        <f t="shared" si="24"/>
        <v>301.63869565217396</v>
      </c>
      <c r="H30" s="119">
        <f t="shared" si="24"/>
        <v>383.75753623188405</v>
      </c>
      <c r="I30" s="119">
        <f t="shared" si="24"/>
        <v>471.69550724637685</v>
      </c>
      <c r="J30" s="119">
        <f t="shared" si="24"/>
        <v>9</v>
      </c>
      <c r="K30" s="119">
        <f t="shared" si="24"/>
        <v>106.0677275362319</v>
      </c>
      <c r="L30" s="119">
        <f t="shared" si="24"/>
        <v>182.50616376811595</v>
      </c>
      <c r="M30" s="119">
        <f t="shared" si="24"/>
        <v>255.68734347826091</v>
      </c>
      <c r="N30" s="119">
        <f t="shared" si="24"/>
        <v>328.78277101449277</v>
      </c>
      <c r="O30" s="119">
        <f t="shared" si="24"/>
        <v>399.70669420289857</v>
      </c>
      <c r="P30" s="119">
        <f t="shared" si="24"/>
        <v>92.608695652173921</v>
      </c>
      <c r="Q30" s="119">
        <f t="shared" si="24"/>
        <v>661.33144927536239</v>
      </c>
      <c r="R30" s="248"/>
      <c r="S30" s="119">
        <f t="shared" si="24"/>
        <v>73.553391304347826</v>
      </c>
      <c r="T30" s="121">
        <f t="shared" si="23"/>
        <v>63.315786086956535</v>
      </c>
      <c r="U30" s="355">
        <f t="shared" si="23"/>
        <v>326.5</v>
      </c>
      <c r="V30" s="355">
        <f t="shared" si="23"/>
        <v>176.66500000000002</v>
      </c>
      <c r="W30" s="355">
        <f t="shared" si="23"/>
        <v>201.49</v>
      </c>
      <c r="X30" s="355">
        <f t="shared" si="23"/>
        <v>184.75</v>
      </c>
      <c r="Y30" s="121">
        <f t="shared" si="23"/>
        <v>174.06</v>
      </c>
      <c r="Z30" s="286"/>
      <c r="AA30" s="265"/>
      <c r="AB30" s="94"/>
    </row>
    <row r="31" spans="2:28" ht="11" thickBot="1" x14ac:dyDescent="0.3">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row>
    <row r="32" spans="2:28" ht="21" customHeight="1" x14ac:dyDescent="0.25">
      <c r="B32" s="1502" t="s">
        <v>770</v>
      </c>
      <c r="C32" s="1503"/>
      <c r="D32" s="1503"/>
      <c r="E32" s="1504"/>
      <c r="F32" s="285"/>
      <c r="G32" s="285"/>
      <c r="H32" s="285"/>
      <c r="I32" s="290"/>
      <c r="J32" s="285"/>
      <c r="K32" s="285"/>
      <c r="L32" s="285"/>
      <c r="M32" s="290"/>
      <c r="N32" s="290"/>
      <c r="O32" s="290"/>
      <c r="P32" s="290"/>
      <c r="Q32" s="291"/>
      <c r="R32" s="235"/>
      <c r="S32" s="235"/>
      <c r="T32" s="235"/>
      <c r="U32" s="235"/>
      <c r="V32" s="235"/>
      <c r="W32" s="235"/>
      <c r="X32" s="235"/>
      <c r="Y32" s="235"/>
      <c r="Z32" s="235"/>
      <c r="AA32" s="267" t="s">
        <v>771</v>
      </c>
    </row>
    <row r="33" spans="2:27" x14ac:dyDescent="0.25">
      <c r="B33" s="386" t="s">
        <v>772</v>
      </c>
      <c r="C33" s="374"/>
      <c r="D33" s="375" t="s">
        <v>773</v>
      </c>
      <c r="E33" s="387" t="s">
        <v>719</v>
      </c>
      <c r="F33" s="290"/>
      <c r="G33" s="290"/>
      <c r="H33" s="290"/>
      <c r="I33" s="1261"/>
      <c r="J33" s="285"/>
      <c r="K33" s="285"/>
      <c r="L33" s="285"/>
      <c r="M33" s="290"/>
      <c r="N33" s="290"/>
      <c r="O33" s="290"/>
      <c r="P33" s="290"/>
      <c r="Q33" s="290"/>
      <c r="R33" s="235"/>
      <c r="S33" s="235"/>
      <c r="T33" s="235"/>
      <c r="U33" s="235"/>
      <c r="V33" s="235"/>
      <c r="W33" s="235"/>
      <c r="X33" s="235"/>
      <c r="Y33" s="235"/>
      <c r="Z33" s="235"/>
      <c r="AA33" s="267" t="s">
        <v>774</v>
      </c>
    </row>
    <row r="34" spans="2:27" x14ac:dyDescent="0.25">
      <c r="B34" s="380" t="s">
        <v>775</v>
      </c>
      <c r="C34" s="376" t="s">
        <v>776</v>
      </c>
      <c r="D34" s="377">
        <v>0.7</v>
      </c>
      <c r="E34" s="388">
        <v>1.4</v>
      </c>
      <c r="F34" s="290"/>
      <c r="G34" s="290"/>
      <c r="H34" s="290"/>
      <c r="I34" s="290"/>
      <c r="J34" s="290"/>
      <c r="K34" s="290"/>
      <c r="L34" s="285"/>
      <c r="M34" s="290"/>
      <c r="N34" s="290"/>
      <c r="O34" s="290"/>
      <c r="P34" s="290"/>
      <c r="Q34" s="290"/>
      <c r="R34" s="235"/>
      <c r="S34" s="235"/>
      <c r="T34" s="235"/>
      <c r="U34" s="235"/>
      <c r="V34" s="235"/>
      <c r="W34" s="235"/>
      <c r="X34" s="235"/>
      <c r="Y34" s="235"/>
      <c r="Z34" s="235"/>
      <c r="AA34" s="267" t="s">
        <v>777</v>
      </c>
    </row>
    <row r="35" spans="2:27" ht="11" thickBot="1" x14ac:dyDescent="0.3">
      <c r="B35" s="382" t="s">
        <v>778</v>
      </c>
      <c r="C35" s="389" t="s">
        <v>648</v>
      </c>
      <c r="D35" s="390">
        <v>2.4</v>
      </c>
      <c r="E35" s="391">
        <v>4.4000000000000004</v>
      </c>
      <c r="F35" s="290"/>
      <c r="G35" s="290"/>
      <c r="H35" s="290"/>
      <c r="I35" s="290"/>
      <c r="J35" s="290"/>
      <c r="K35" s="290"/>
      <c r="L35" s="285"/>
      <c r="M35" s="290"/>
      <c r="N35" s="290"/>
      <c r="O35" s="290"/>
      <c r="P35" s="290"/>
      <c r="Q35" s="290"/>
      <c r="R35" s="235"/>
      <c r="S35" s="235"/>
      <c r="T35" s="235"/>
      <c r="U35" s="235"/>
      <c r="V35" s="235"/>
      <c r="W35" s="235"/>
      <c r="X35" s="235"/>
      <c r="Y35" s="235"/>
      <c r="Z35" s="235"/>
      <c r="AA35" s="267" t="s">
        <v>779</v>
      </c>
    </row>
    <row r="36" spans="2:27" x14ac:dyDescent="0.25">
      <c r="B36" s="289"/>
      <c r="C36" s="292"/>
      <c r="D36" s="293"/>
      <c r="E36" s="293"/>
      <c r="F36" s="290"/>
      <c r="G36" s="290"/>
      <c r="H36" s="290"/>
      <c r="I36" s="290"/>
      <c r="J36" s="290"/>
      <c r="K36" s="290"/>
      <c r="L36" s="285"/>
      <c r="M36" s="290"/>
      <c r="N36" s="290"/>
      <c r="O36" s="290"/>
      <c r="P36" s="290"/>
      <c r="Q36" s="290"/>
      <c r="R36" s="235"/>
      <c r="S36" s="235"/>
      <c r="T36" s="235"/>
      <c r="U36" s="235"/>
      <c r="V36" s="235"/>
      <c r="W36" s="235"/>
      <c r="X36" s="235"/>
      <c r="Y36" s="235"/>
      <c r="Z36" s="235"/>
    </row>
    <row r="37" spans="2:27" ht="11" thickBot="1" x14ac:dyDescent="0.3">
      <c r="B37" s="290"/>
      <c r="C37" s="290"/>
      <c r="D37" s="290"/>
      <c r="E37" s="290"/>
      <c r="F37" s="290"/>
      <c r="G37" s="290"/>
      <c r="H37" s="290"/>
      <c r="I37" s="290"/>
      <c r="J37" s="290"/>
      <c r="K37" s="290"/>
      <c r="L37" s="285"/>
      <c r="M37" s="290"/>
      <c r="N37" s="290"/>
      <c r="O37" s="290"/>
      <c r="P37" s="290"/>
      <c r="Q37" s="290"/>
      <c r="R37" s="235"/>
      <c r="S37" s="235"/>
      <c r="T37" s="235"/>
      <c r="U37" s="235"/>
      <c r="V37" s="235"/>
      <c r="W37" s="235"/>
      <c r="X37" s="235"/>
      <c r="Y37" s="235"/>
      <c r="Z37" s="235"/>
    </row>
    <row r="38" spans="2:27" ht="20.5" customHeight="1" thickBot="1" x14ac:dyDescent="0.3">
      <c r="B38" s="1499" t="s">
        <v>780</v>
      </c>
      <c r="C38" s="1497"/>
      <c r="D38" s="1497"/>
      <c r="E38" s="1498"/>
      <c r="F38" s="235"/>
      <c r="G38" s="290"/>
      <c r="H38" s="290"/>
      <c r="I38" s="290"/>
      <c r="J38" s="235"/>
      <c r="K38" s="235"/>
      <c r="L38" s="235"/>
      <c r="M38" s="235"/>
      <c r="N38" s="235"/>
      <c r="O38" s="235"/>
      <c r="P38" s="235"/>
      <c r="Q38" s="235"/>
      <c r="R38" s="235"/>
      <c r="S38" s="235"/>
      <c r="T38" s="235"/>
      <c r="U38" s="235"/>
      <c r="V38" s="235"/>
      <c r="W38" s="235"/>
      <c r="X38" s="235"/>
      <c r="Y38" s="235"/>
      <c r="Z38" s="235"/>
    </row>
    <row r="39" spans="2:27" x14ac:dyDescent="0.25">
      <c r="B39" s="378"/>
      <c r="C39" s="294" t="s">
        <v>781</v>
      </c>
      <c r="D39" s="294" t="s">
        <v>495</v>
      </c>
      <c r="E39" s="379" t="s">
        <v>782</v>
      </c>
      <c r="F39" s="235"/>
      <c r="G39" s="290"/>
      <c r="H39" s="290"/>
      <c r="I39" s="290"/>
      <c r="J39" s="235"/>
      <c r="K39" s="235"/>
      <c r="L39" s="235"/>
      <c r="M39" s="235"/>
      <c r="N39" s="235"/>
      <c r="O39" s="235"/>
      <c r="P39" s="235"/>
      <c r="Q39" s="235"/>
      <c r="R39" s="235"/>
      <c r="S39" s="235"/>
      <c r="T39" s="235"/>
      <c r="U39" s="235"/>
      <c r="V39" s="235"/>
      <c r="W39" s="235"/>
      <c r="X39" s="235"/>
      <c r="Y39" s="235"/>
      <c r="Z39" s="235"/>
      <c r="AA39" s="272" t="s">
        <v>783</v>
      </c>
    </row>
    <row r="40" spans="2:27" x14ac:dyDescent="0.25">
      <c r="B40" s="380" t="s">
        <v>756</v>
      </c>
      <c r="C40" s="295">
        <v>0.34499999999999997</v>
      </c>
      <c r="D40" s="296">
        <v>230</v>
      </c>
      <c r="E40" s="381">
        <f>D40/C40/1000</f>
        <v>0.66666666666666674</v>
      </c>
      <c r="F40" s="235"/>
      <c r="G40" s="290"/>
      <c r="H40" s="290"/>
      <c r="I40" s="290"/>
      <c r="J40" s="235"/>
      <c r="K40" s="235"/>
      <c r="L40" s="235"/>
      <c r="M40" s="235"/>
      <c r="N40" s="235"/>
      <c r="O40" s="235"/>
      <c r="P40" s="235"/>
      <c r="Q40" s="235"/>
      <c r="R40" s="235"/>
      <c r="S40" s="235"/>
      <c r="T40" s="235"/>
      <c r="U40" s="235"/>
      <c r="V40" s="235"/>
      <c r="W40" s="235"/>
      <c r="X40" s="235"/>
      <c r="Y40" s="235"/>
      <c r="Z40" s="235"/>
    </row>
    <row r="41" spans="2:27" x14ac:dyDescent="0.25">
      <c r="B41" s="380" t="s">
        <v>646</v>
      </c>
      <c r="C41" s="297">
        <v>0.46</v>
      </c>
      <c r="D41" s="296">
        <v>250</v>
      </c>
      <c r="E41" s="381">
        <f t="shared" ref="E41:E42" si="25">D41/C41/1000</f>
        <v>0.5434782608695653</v>
      </c>
      <c r="F41" s="235"/>
      <c r="G41" s="290"/>
      <c r="H41" s="290"/>
      <c r="I41" s="290"/>
      <c r="J41" s="235"/>
      <c r="K41" s="235"/>
      <c r="L41" s="235"/>
      <c r="M41" s="235"/>
      <c r="N41" s="235"/>
      <c r="O41" s="235"/>
      <c r="P41" s="235"/>
      <c r="Q41" s="235"/>
      <c r="R41" s="235"/>
      <c r="S41" s="235"/>
      <c r="T41" s="235"/>
      <c r="U41" s="235"/>
      <c r="V41" s="235"/>
      <c r="W41" s="235"/>
      <c r="X41" s="235"/>
      <c r="Y41" s="235"/>
      <c r="Z41" s="235"/>
    </row>
    <row r="42" spans="2:27" ht="11" thickBot="1" x14ac:dyDescent="0.3">
      <c r="B42" s="382" t="s">
        <v>648</v>
      </c>
      <c r="C42" s="383">
        <v>0.6</v>
      </c>
      <c r="D42" s="384">
        <v>240</v>
      </c>
      <c r="E42" s="385">
        <f t="shared" si="25"/>
        <v>0.4</v>
      </c>
      <c r="F42" s="235"/>
      <c r="G42" s="290"/>
      <c r="H42" s="290"/>
      <c r="I42" s="290"/>
      <c r="J42" s="235"/>
      <c r="K42" s="235"/>
      <c r="L42" s="235"/>
      <c r="M42" s="235"/>
      <c r="N42" s="235"/>
      <c r="O42" s="235"/>
      <c r="P42" s="235"/>
      <c r="Q42" s="235"/>
      <c r="R42" s="235"/>
      <c r="S42" s="235"/>
      <c r="T42" s="235"/>
      <c r="U42" s="235"/>
      <c r="V42" s="235"/>
      <c r="W42" s="235"/>
      <c r="X42" s="235"/>
      <c r="Y42" s="235"/>
      <c r="Z42" s="235"/>
    </row>
    <row r="43" spans="2:27" ht="11" thickBot="1" x14ac:dyDescent="0.3">
      <c r="C43" s="290"/>
      <c r="D43" s="298"/>
      <c r="E43" s="290"/>
      <c r="G43" s="290"/>
      <c r="H43" s="290"/>
      <c r="I43" s="290"/>
      <c r="J43" s="235"/>
      <c r="K43" s="235"/>
      <c r="L43" s="235"/>
      <c r="M43" s="235"/>
      <c r="N43" s="235"/>
      <c r="O43" s="235"/>
      <c r="P43" s="235"/>
      <c r="Q43" s="235"/>
      <c r="R43" s="235"/>
      <c r="S43" s="235"/>
      <c r="T43" s="235"/>
      <c r="U43" s="235"/>
      <c r="V43" s="235"/>
      <c r="W43" s="235"/>
      <c r="X43" s="235"/>
      <c r="Y43" s="235"/>
      <c r="Z43" s="235"/>
    </row>
    <row r="44" spans="2:27" ht="11" thickBot="1" x14ac:dyDescent="0.3">
      <c r="B44" s="1083" t="s">
        <v>784</v>
      </c>
      <c r="C44" s="290"/>
      <c r="D44" s="290"/>
      <c r="E44" s="290"/>
      <c r="F44" s="290"/>
      <c r="G44" s="290"/>
      <c r="H44" s="290"/>
      <c r="I44" s="290"/>
      <c r="J44" s="290"/>
      <c r="K44" s="290"/>
      <c r="L44" s="235"/>
      <c r="M44" s="235"/>
      <c r="N44" s="235"/>
      <c r="O44" s="235"/>
      <c r="P44" s="235"/>
      <c r="Q44" s="235"/>
      <c r="R44" s="235"/>
      <c r="S44" s="235"/>
      <c r="T44" s="235"/>
      <c r="U44" s="235"/>
      <c r="V44" s="235"/>
      <c r="W44" s="235"/>
      <c r="X44" s="235"/>
      <c r="Y44" s="235"/>
      <c r="Z44" s="235"/>
    </row>
    <row r="45" spans="2:27" ht="11" thickBot="1" x14ac:dyDescent="0.3">
      <c r="B45" s="1084" cm="1">
        <f t="array" ref="B45">_xlfn.IFS(Dashboard!$C$6="Historic pricing",1,Dashboard!$C$6=Lists!H4,1.5,Dashboard!$C$6=Lists!H5,2,Dashboard!$C$6=Lists!H6,(1+Dashboard!D6))</f>
        <v>2</v>
      </c>
      <c r="C45" s="290"/>
      <c r="D45" s="290"/>
      <c r="E45" s="290"/>
      <c r="F45" s="290"/>
      <c r="G45" s="235"/>
      <c r="H45" s="235"/>
      <c r="I45" s="235"/>
      <c r="J45" s="235"/>
      <c r="K45" s="235"/>
      <c r="L45" s="235"/>
      <c r="M45" s="235"/>
      <c r="N45" s="235"/>
      <c r="O45" s="235"/>
      <c r="P45" s="235"/>
      <c r="Q45" s="235"/>
      <c r="R45" s="235"/>
      <c r="S45" s="235"/>
      <c r="T45" s="235"/>
      <c r="U45" s="235"/>
      <c r="V45" s="235"/>
      <c r="W45" s="235"/>
      <c r="X45" s="235"/>
      <c r="Y45" s="235"/>
      <c r="Z45" s="235"/>
    </row>
    <row r="46" spans="2:27" x14ac:dyDescent="0.25">
      <c r="B46" s="290"/>
      <c r="C46" s="290"/>
      <c r="D46" s="290"/>
      <c r="E46" s="290"/>
      <c r="F46" s="290"/>
      <c r="G46" s="235"/>
      <c r="H46" s="235"/>
      <c r="I46" s="235"/>
      <c r="J46" s="235"/>
      <c r="K46" s="235"/>
      <c r="L46" s="235"/>
      <c r="M46" s="235"/>
      <c r="N46" s="235"/>
      <c r="O46" s="235"/>
      <c r="P46" s="235"/>
      <c r="Q46" s="235"/>
      <c r="R46" s="235"/>
      <c r="S46" s="235"/>
      <c r="T46" s="235"/>
      <c r="U46" s="235"/>
      <c r="V46" s="235"/>
      <c r="W46" s="235"/>
      <c r="X46" s="235"/>
      <c r="Y46" s="235"/>
      <c r="Z46" s="235"/>
    </row>
    <row r="47" spans="2:27" x14ac:dyDescent="0.25">
      <c r="B47" s="290"/>
      <c r="C47" s="290"/>
      <c r="D47" s="290"/>
      <c r="E47" s="290"/>
      <c r="F47" s="290"/>
      <c r="G47" s="235"/>
      <c r="H47" s="235"/>
      <c r="I47" s="235"/>
      <c r="J47" s="235"/>
      <c r="K47" s="235"/>
      <c r="L47" s="235"/>
      <c r="M47" s="235"/>
      <c r="N47" s="235"/>
      <c r="O47" s="235"/>
      <c r="P47" s="235"/>
      <c r="Q47" s="235"/>
      <c r="R47" s="235"/>
      <c r="S47" s="235"/>
      <c r="T47" s="235"/>
      <c r="U47" s="235"/>
      <c r="V47" s="235"/>
      <c r="W47" s="235"/>
      <c r="X47" s="235"/>
      <c r="Y47" s="235"/>
      <c r="Z47" s="235"/>
    </row>
    <row r="48" spans="2:27" x14ac:dyDescent="0.25">
      <c r="B48" s="290"/>
      <c r="C48" s="290"/>
      <c r="D48" s="290"/>
      <c r="E48" s="290"/>
      <c r="F48" s="290"/>
      <c r="G48" s="235"/>
      <c r="H48" s="235"/>
      <c r="I48" s="235"/>
      <c r="J48" s="235"/>
      <c r="K48" s="235"/>
      <c r="L48" s="235"/>
      <c r="M48" s="235"/>
      <c r="N48" s="235"/>
      <c r="O48" s="235"/>
      <c r="P48" s="235"/>
      <c r="Q48" s="235"/>
      <c r="R48" s="235"/>
      <c r="S48" s="235"/>
      <c r="T48" s="235"/>
      <c r="U48" s="235"/>
      <c r="V48" s="235"/>
      <c r="W48" s="235"/>
      <c r="X48" s="235"/>
      <c r="Y48" s="235"/>
      <c r="Z48" s="235"/>
    </row>
    <row r="49" spans="2:27" s="235" customFormat="1" x14ac:dyDescent="0.25">
      <c r="B49" s="290"/>
      <c r="C49" s="290"/>
      <c r="D49" s="290"/>
      <c r="E49" s="290"/>
      <c r="F49" s="290"/>
      <c r="AA49" s="299"/>
    </row>
    <row r="50" spans="2:27" s="235" customFormat="1" x14ac:dyDescent="0.25">
      <c r="AA50" s="299"/>
    </row>
    <row r="51" spans="2:27" s="235" customFormat="1" x14ac:dyDescent="0.25">
      <c r="AA51" s="299"/>
    </row>
    <row r="52" spans="2:27" s="235" customFormat="1" x14ac:dyDescent="0.25">
      <c r="AA52" s="299"/>
    </row>
    <row r="53" spans="2:27" s="235" customFormat="1" x14ac:dyDescent="0.25">
      <c r="AA53" s="299"/>
    </row>
    <row r="54" spans="2:27" s="235" customFormat="1" x14ac:dyDescent="0.25">
      <c r="AA54" s="299"/>
    </row>
    <row r="55" spans="2:27" s="235" customFormat="1" x14ac:dyDescent="0.25">
      <c r="AA55" s="299"/>
    </row>
    <row r="56" spans="2:27" s="235" customFormat="1" x14ac:dyDescent="0.25">
      <c r="AA56" s="299"/>
    </row>
    <row r="57" spans="2:27" s="235" customFormat="1" x14ac:dyDescent="0.25">
      <c r="AA57" s="299"/>
    </row>
    <row r="58" spans="2:27" s="235" customFormat="1" x14ac:dyDescent="0.25">
      <c r="AA58" s="299"/>
    </row>
    <row r="59" spans="2:27" s="235" customFormat="1" x14ac:dyDescent="0.25">
      <c r="AA59" s="299"/>
    </row>
    <row r="60" spans="2:27" s="235" customFormat="1" x14ac:dyDescent="0.25">
      <c r="AA60" s="299"/>
    </row>
    <row r="61" spans="2:27" s="235" customFormat="1" x14ac:dyDescent="0.25">
      <c r="AA61" s="299"/>
    </row>
    <row r="62" spans="2:27" s="235" customFormat="1" x14ac:dyDescent="0.25">
      <c r="AA62" s="299"/>
    </row>
    <row r="63" spans="2:27" s="235" customFormat="1" x14ac:dyDescent="0.25">
      <c r="AA63" s="299"/>
    </row>
    <row r="64" spans="2:27" s="235" customFormat="1" x14ac:dyDescent="0.25">
      <c r="AA64" s="299"/>
    </row>
    <row r="65" spans="27:27" s="235" customFormat="1" x14ac:dyDescent="0.25">
      <c r="AA65" s="299"/>
    </row>
    <row r="66" spans="27:27" s="235" customFormat="1" x14ac:dyDescent="0.25">
      <c r="AA66" s="299"/>
    </row>
    <row r="67" spans="27:27" s="235" customFormat="1" x14ac:dyDescent="0.25">
      <c r="AA67" s="299"/>
    </row>
    <row r="68" spans="27:27" s="235" customFormat="1" x14ac:dyDescent="0.25">
      <c r="AA68" s="299"/>
    </row>
    <row r="69" spans="27:27" s="235" customFormat="1" x14ac:dyDescent="0.25">
      <c r="AA69" s="299"/>
    </row>
    <row r="70" spans="27:27" s="235" customFormat="1" x14ac:dyDescent="0.25">
      <c r="AA70" s="299"/>
    </row>
    <row r="71" spans="27:27" s="235" customFormat="1" x14ac:dyDescent="0.25">
      <c r="AA71" s="299"/>
    </row>
    <row r="72" spans="27:27" s="235" customFormat="1" x14ac:dyDescent="0.25">
      <c r="AA72" s="299"/>
    </row>
    <row r="73" spans="27:27" s="235" customFormat="1" x14ac:dyDescent="0.25">
      <c r="AA73" s="299"/>
    </row>
    <row r="74" spans="27:27" s="235" customFormat="1" x14ac:dyDescent="0.25">
      <c r="AA74" s="299"/>
    </row>
  </sheetData>
  <mergeCells count="7">
    <mergeCell ref="B38:E38"/>
    <mergeCell ref="B32:E32"/>
    <mergeCell ref="S2:Y2"/>
    <mergeCell ref="D2:Q2"/>
    <mergeCell ref="D3:I3"/>
    <mergeCell ref="J3:O3"/>
    <mergeCell ref="S3:T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E6A48-DDF8-470A-9D33-836AFF4E1FF1}">
  <dimension ref="B1:P27"/>
  <sheetViews>
    <sheetView workbookViewId="0"/>
  </sheetViews>
  <sheetFormatPr defaultRowHeight="14.5" x14ac:dyDescent="0.35"/>
  <cols>
    <col min="2" max="2" width="48.26953125" customWidth="1"/>
    <col min="3" max="15" width="15.7265625" customWidth="1"/>
    <col min="16" max="16" width="137.1796875" customWidth="1"/>
  </cols>
  <sheetData>
    <row r="1" spans="2:16" ht="15" thickBot="1" x14ac:dyDescent="0.4"/>
    <row r="2" spans="2:16" ht="15" thickBot="1" x14ac:dyDescent="0.4">
      <c r="B2" s="1264"/>
      <c r="C2" s="1499" t="s">
        <v>63</v>
      </c>
      <c r="D2" s="1497"/>
      <c r="E2" s="1498"/>
      <c r="F2" s="1499" t="s">
        <v>64</v>
      </c>
      <c r="G2" s="1498"/>
      <c r="H2" s="1499" t="s">
        <v>65</v>
      </c>
      <c r="I2" s="1498"/>
      <c r="J2" s="1499" t="s">
        <v>66</v>
      </c>
      <c r="K2" s="1498"/>
      <c r="L2" s="1499" t="s">
        <v>785</v>
      </c>
      <c r="M2" s="1498"/>
      <c r="N2" s="1499" t="s">
        <v>68</v>
      </c>
      <c r="O2" s="1498"/>
    </row>
    <row r="3" spans="2:16" s="1270" customFormat="1" ht="42" customHeight="1" thickBot="1" x14ac:dyDescent="0.4">
      <c r="B3" s="442" t="s">
        <v>140</v>
      </c>
      <c r="C3" s="443" t="s">
        <v>71</v>
      </c>
      <c r="D3" s="443" t="s">
        <v>72</v>
      </c>
      <c r="E3" s="444" t="s">
        <v>786</v>
      </c>
      <c r="F3" s="443" t="s">
        <v>71</v>
      </c>
      <c r="G3" s="444" t="s">
        <v>75</v>
      </c>
      <c r="H3" s="443" t="s">
        <v>71</v>
      </c>
      <c r="I3" s="444" t="s">
        <v>75</v>
      </c>
      <c r="J3" s="443" t="s">
        <v>71</v>
      </c>
      <c r="K3" s="444" t="s">
        <v>75</v>
      </c>
      <c r="L3" s="443" t="s">
        <v>71</v>
      </c>
      <c r="M3" s="444" t="s">
        <v>75</v>
      </c>
      <c r="N3" s="443" t="s">
        <v>71</v>
      </c>
      <c r="O3" s="444" t="s">
        <v>75</v>
      </c>
      <c r="P3" s="444" t="s">
        <v>787</v>
      </c>
    </row>
    <row r="4" spans="2:16" ht="15" thickBot="1" x14ac:dyDescent="0.4">
      <c r="B4" s="1277" t="s">
        <v>788</v>
      </c>
      <c r="C4" s="1286">
        <f>Dashboard!C$19</f>
        <v>5.25</v>
      </c>
      <c r="D4" s="1284">
        <f>Dashboard!D$19</f>
        <v>17.5</v>
      </c>
      <c r="E4" s="1289">
        <f>Dashboard!E$19</f>
        <v>17.5</v>
      </c>
      <c r="F4" s="1290">
        <f>Dashboard!F$19</f>
        <v>1</v>
      </c>
      <c r="G4" s="1291">
        <f>Dashboard!G$19</f>
        <v>2.5</v>
      </c>
      <c r="H4" s="1284">
        <f>Dashboard!H$19</f>
        <v>14.700000000000001</v>
      </c>
      <c r="I4" s="1289">
        <f>Dashboard!I$19</f>
        <v>14.700000000000001</v>
      </c>
      <c r="J4" s="1286">
        <f>Dashboard!J$19</f>
        <v>2.2999999999999998</v>
      </c>
      <c r="K4" s="1289">
        <f>Dashboard!K$19</f>
        <v>8</v>
      </c>
      <c r="L4" s="1286">
        <f>Dashboard!L$19</f>
        <v>5.0999999999999996</v>
      </c>
      <c r="M4" s="1289">
        <f>Dashboard!M$19</f>
        <v>17</v>
      </c>
      <c r="N4" s="1286">
        <f>Dashboard!N$19</f>
        <v>4.6000000000000005</v>
      </c>
      <c r="O4" s="1289">
        <f>Dashboard!O$19</f>
        <v>7</v>
      </c>
    </row>
    <row r="5" spans="2:16" ht="29" x14ac:dyDescent="0.35">
      <c r="B5" s="399" t="s">
        <v>789</v>
      </c>
      <c r="C5" s="1278">
        <f>Dashboard!C12*0.015</f>
        <v>2.625</v>
      </c>
      <c r="D5">
        <f>Dashboard!D12*0.015</f>
        <v>2.625</v>
      </c>
      <c r="E5">
        <f>Dashboard!E12*0.015</f>
        <v>2.625</v>
      </c>
      <c r="F5" s="1280">
        <f>Dashboard!F12*0.015</f>
        <v>0.39</v>
      </c>
      <c r="G5" s="1274">
        <f>Dashboard!G12*0.015</f>
        <v>0.39</v>
      </c>
      <c r="H5" s="1280">
        <f>Dashboard!H12*0.015</f>
        <v>2.2050000000000001</v>
      </c>
      <c r="I5" s="1274">
        <f>Dashboard!I12*0.015</f>
        <v>2.2050000000000001</v>
      </c>
      <c r="J5" s="1280">
        <f>Dashboard!J12*0.015</f>
        <v>1.26</v>
      </c>
      <c r="K5" s="1274">
        <f>Dashboard!K12*0.015</f>
        <v>1.26</v>
      </c>
      <c r="L5" s="1280">
        <f>Dashboard!L12*0.015</f>
        <v>2.5499999999999998</v>
      </c>
      <c r="M5" s="1274">
        <f>Dashboard!M12*0.015</f>
        <v>2.5499999999999998</v>
      </c>
      <c r="N5" s="1280">
        <f>Dashboard!N12*0.015</f>
        <v>1.38</v>
      </c>
      <c r="O5" s="1274">
        <f>Dashboard!O12*0.015</f>
        <v>1.38</v>
      </c>
      <c r="P5" s="1270" t="s">
        <v>790</v>
      </c>
    </row>
    <row r="6" spans="2:16" x14ac:dyDescent="0.35">
      <c r="B6" s="399" t="s">
        <v>791</v>
      </c>
      <c r="C6" s="1278"/>
      <c r="F6" s="1278"/>
      <c r="G6" s="1275"/>
      <c r="H6" s="1278"/>
      <c r="I6" s="1275">
        <f>(I4-I5-I8)/2</f>
        <v>3.4975000000000005</v>
      </c>
      <c r="J6" s="1278"/>
      <c r="K6" s="1275">
        <f>(K4-K5-K8)/2</f>
        <v>2.85</v>
      </c>
      <c r="L6" s="1278"/>
      <c r="M6" s="1275">
        <f>(M4-M5-M8)/2</f>
        <v>5.9499999999999993</v>
      </c>
      <c r="N6" s="1278"/>
      <c r="O6" s="1275"/>
      <c r="P6" t="s">
        <v>792</v>
      </c>
    </row>
    <row r="7" spans="2:16" x14ac:dyDescent="0.35">
      <c r="B7" s="399" t="s">
        <v>793</v>
      </c>
      <c r="C7" s="1278"/>
      <c r="F7" s="1278"/>
      <c r="G7" s="1275"/>
      <c r="H7" s="1278"/>
      <c r="I7" s="1275">
        <f>(I4-I5-I8)/2</f>
        <v>3.4975000000000005</v>
      </c>
      <c r="J7" s="1278"/>
      <c r="K7" s="1275">
        <f>(K4-K5-K8)/2</f>
        <v>2.85</v>
      </c>
      <c r="L7" s="1278"/>
      <c r="M7" s="1275">
        <f>(M4-M5-M8)/2</f>
        <v>5.9499999999999993</v>
      </c>
      <c r="N7" s="1278"/>
      <c r="O7" s="1275"/>
    </row>
    <row r="8" spans="2:16" x14ac:dyDescent="0.35">
      <c r="B8" s="399" t="s">
        <v>794</v>
      </c>
      <c r="C8" s="1287">
        <f>C4-C5</f>
        <v>2.625</v>
      </c>
      <c r="D8" s="1285">
        <f>C8</f>
        <v>2.625</v>
      </c>
      <c r="E8" s="1285">
        <f>D8</f>
        <v>2.625</v>
      </c>
      <c r="F8" s="1287">
        <f>F4-F5</f>
        <v>0.61</v>
      </c>
      <c r="G8" s="1288">
        <f>F8</f>
        <v>0.61</v>
      </c>
      <c r="H8" s="1278">
        <v>5.5</v>
      </c>
      <c r="I8" s="1275">
        <v>5.5</v>
      </c>
      <c r="J8" s="1287">
        <f>J4-J5</f>
        <v>1.0399999999999998</v>
      </c>
      <c r="K8" s="1288">
        <f>J8</f>
        <v>1.0399999999999998</v>
      </c>
      <c r="L8" s="1287">
        <f>L4-L5</f>
        <v>2.5499999999999998</v>
      </c>
      <c r="M8" s="1288">
        <f>L8</f>
        <v>2.5499999999999998</v>
      </c>
      <c r="N8" s="1287">
        <f>N4-N5</f>
        <v>3.2200000000000006</v>
      </c>
      <c r="O8" s="1288">
        <f>N8</f>
        <v>3.2200000000000006</v>
      </c>
    </row>
    <row r="9" spans="2:16" ht="15" thickBot="1" x14ac:dyDescent="0.4">
      <c r="B9" s="1276" t="s">
        <v>795</v>
      </c>
      <c r="C9" s="1293"/>
      <c r="D9" s="1285">
        <f>D4-D5-D8</f>
        <v>12.25</v>
      </c>
      <c r="E9" s="1285">
        <f>E4-E5-E8</f>
        <v>12.25</v>
      </c>
      <c r="F9" s="1278"/>
      <c r="G9" s="1288">
        <f>G4-G5-G8</f>
        <v>1.5</v>
      </c>
      <c r="H9" s="1287">
        <f t="shared" ref="H9" si="0">H4-H5</f>
        <v>12.495000000000001</v>
      </c>
      <c r="I9" s="1275"/>
      <c r="J9" s="1278"/>
      <c r="K9" s="1275"/>
      <c r="L9" s="1278"/>
      <c r="M9" s="1275"/>
      <c r="N9" s="1278"/>
      <c r="O9" s="1288">
        <f>O4-O5-O8</f>
        <v>2.3999999999999995</v>
      </c>
    </row>
    <row r="10" spans="2:16" ht="15" thickBot="1" x14ac:dyDescent="0.4">
      <c r="B10" s="1292" t="s">
        <v>796</v>
      </c>
      <c r="C10" s="1294">
        <f>C6*$C$17+C7*$C$18+C8*$C$19</f>
        <v>18.375</v>
      </c>
      <c r="D10" s="1295">
        <f t="shared" ref="D10:N10" si="1">D6*$C$17+D7*$C$18+D8*$C$19</f>
        <v>18.375</v>
      </c>
      <c r="E10" s="1296">
        <f t="shared" si="1"/>
        <v>18.375</v>
      </c>
      <c r="F10" s="1294">
        <f t="shared" si="1"/>
        <v>4.2699999999999996</v>
      </c>
      <c r="G10" s="1296">
        <f t="shared" si="1"/>
        <v>4.2699999999999996</v>
      </c>
      <c r="H10" s="1294">
        <f t="shared" si="1"/>
        <v>38.5</v>
      </c>
      <c r="I10" s="1296">
        <f t="shared" si="1"/>
        <v>151.74905000000001</v>
      </c>
      <c r="J10" s="1294">
        <f t="shared" si="1"/>
        <v>7.2799999999999985</v>
      </c>
      <c r="K10" s="1296">
        <f t="shared" si="1"/>
        <v>99.563000000000002</v>
      </c>
      <c r="L10" s="1294">
        <f t="shared" si="1"/>
        <v>17.849999999999998</v>
      </c>
      <c r="M10" s="1296">
        <f t="shared" si="1"/>
        <v>210.51099999999997</v>
      </c>
      <c r="N10" s="1294">
        <f t="shared" si="1"/>
        <v>22.540000000000006</v>
      </c>
      <c r="O10" s="1296">
        <f>O6*$C$17+O7*$C$18+O8*$C$19+Dashboard!O18*C20</f>
        <v>28.320000000000007</v>
      </c>
    </row>
    <row r="11" spans="2:16" ht="15" thickBot="1" x14ac:dyDescent="0.4">
      <c r="B11" s="1292" t="s">
        <v>797</v>
      </c>
      <c r="C11" s="1294">
        <f>C5*$C$16+C9*$C$23</f>
        <v>5.2237499999999999</v>
      </c>
      <c r="D11" s="1295">
        <f t="shared" ref="D11:N11" si="2">D5*$C$16+D9*$C$23</f>
        <v>24.701250000000002</v>
      </c>
      <c r="E11" s="1296">
        <f t="shared" si="2"/>
        <v>24.701250000000002</v>
      </c>
      <c r="F11" s="1294">
        <f t="shared" si="2"/>
        <v>0.77610000000000001</v>
      </c>
      <c r="G11" s="1296">
        <f t="shared" si="2"/>
        <v>3.1611000000000002</v>
      </c>
      <c r="H11" s="1294">
        <f t="shared" si="2"/>
        <v>24.255000000000003</v>
      </c>
      <c r="I11" s="1296">
        <f t="shared" si="2"/>
        <v>4.38795</v>
      </c>
      <c r="J11" s="1294">
        <f t="shared" si="2"/>
        <v>2.5074000000000001</v>
      </c>
      <c r="K11" s="1296">
        <f t="shared" si="2"/>
        <v>2.5074000000000001</v>
      </c>
      <c r="L11" s="1294">
        <f t="shared" si="2"/>
        <v>5.0744999999999996</v>
      </c>
      <c r="M11" s="1296">
        <f t="shared" si="2"/>
        <v>5.0744999999999996</v>
      </c>
      <c r="N11" s="1294">
        <f t="shared" si="2"/>
        <v>2.7462</v>
      </c>
      <c r="O11" s="1296">
        <f>O5*$C$16+O9*$C$27</f>
        <v>6.5621999999999989</v>
      </c>
    </row>
    <row r="12" spans="2:16" ht="15" thickBot="1" x14ac:dyDescent="0.4">
      <c r="B12" s="1276" t="s">
        <v>798</v>
      </c>
      <c r="C12" s="1293">
        <f>Dashboard!C14*C22</f>
        <v>9.4499999999999993</v>
      </c>
      <c r="D12" s="1285">
        <f>Dashboard!D14*$C$24+Dashboard!D17*$C$26</f>
        <v>302.5154</v>
      </c>
      <c r="E12" s="1285">
        <f>Dashboard!E14*$C$24+Dashboard!E17*$C$26</f>
        <v>358.92999999999995</v>
      </c>
      <c r="F12" s="1278">
        <v>0</v>
      </c>
      <c r="G12" s="1288">
        <f>Dashboard!G17*C26+Dashboard!G14*C24</f>
        <v>44.66</v>
      </c>
      <c r="H12" s="1287">
        <f>Dashboard!H14*C22</f>
        <v>31.751999999999999</v>
      </c>
      <c r="I12" s="1275">
        <f>Dashboard!I14*C24+Dashboard!I17*C26</f>
        <v>389.47999999999996</v>
      </c>
      <c r="J12" s="1278">
        <f>Dashboard!J14*C22</f>
        <v>24.494400000000002</v>
      </c>
      <c r="K12" s="1275">
        <f>Dashboard!K14*C24</f>
        <v>256.88</v>
      </c>
      <c r="L12" s="1278">
        <f>Dashboard!L14*C22+Dashboard!L15*C23</f>
        <v>101.84700000000001</v>
      </c>
      <c r="M12" s="1275">
        <f>SUM(Dashboard!M14:M15)*C23</f>
        <v>200.02199999999999</v>
      </c>
      <c r="N12" s="1278"/>
      <c r="O12" s="1288">
        <f>Dashboard!O14*C23+Dashboard!O17*C26</f>
        <v>111.05713435714284</v>
      </c>
    </row>
    <row r="13" spans="2:16" ht="15" thickBot="1" x14ac:dyDescent="0.4">
      <c r="B13" s="1297" t="s">
        <v>799</v>
      </c>
      <c r="C13" s="1298">
        <f t="shared" ref="C13:O13" si="3">SUM(C10:C12)</f>
        <v>33.048749999999998</v>
      </c>
      <c r="D13" s="1299">
        <f t="shared" si="3"/>
        <v>345.59165000000002</v>
      </c>
      <c r="E13" s="1300">
        <f t="shared" si="3"/>
        <v>402.00624999999997</v>
      </c>
      <c r="F13" s="1298">
        <f t="shared" si="3"/>
        <v>5.0460999999999991</v>
      </c>
      <c r="G13" s="1300">
        <f t="shared" si="3"/>
        <v>52.091099999999997</v>
      </c>
      <c r="H13" s="1298">
        <f t="shared" si="3"/>
        <v>94.507000000000005</v>
      </c>
      <c r="I13" s="1300">
        <f t="shared" si="3"/>
        <v>545.61699999999996</v>
      </c>
      <c r="J13" s="1298">
        <f t="shared" si="3"/>
        <v>34.281800000000004</v>
      </c>
      <c r="K13" s="1300">
        <f t="shared" si="3"/>
        <v>358.9504</v>
      </c>
      <c r="L13" s="1298">
        <f t="shared" si="3"/>
        <v>124.7715</v>
      </c>
      <c r="M13" s="1300">
        <f t="shared" si="3"/>
        <v>415.60749999999996</v>
      </c>
      <c r="N13" s="1298">
        <f t="shared" si="3"/>
        <v>25.286200000000008</v>
      </c>
      <c r="O13" s="1300">
        <f t="shared" si="3"/>
        <v>145.93933435714285</v>
      </c>
    </row>
    <row r="14" spans="2:16" ht="15" thickBot="1" x14ac:dyDescent="0.4"/>
    <row r="15" spans="2:16" ht="27.75" customHeight="1" thickBot="1" x14ac:dyDescent="0.4">
      <c r="B15" s="442" t="s">
        <v>140</v>
      </c>
      <c r="C15" s="443" t="s">
        <v>800</v>
      </c>
      <c r="D15" s="443" t="s">
        <v>801</v>
      </c>
      <c r="E15" s="443" t="s">
        <v>802</v>
      </c>
    </row>
    <row r="16" spans="2:16" ht="16" x14ac:dyDescent="0.45">
      <c r="B16" s="399" t="s">
        <v>789</v>
      </c>
      <c r="C16" s="1280">
        <v>1.99</v>
      </c>
      <c r="D16" s="1273"/>
      <c r="E16" s="1281" t="s">
        <v>803</v>
      </c>
    </row>
    <row r="17" spans="2:5" ht="16" x14ac:dyDescent="0.45">
      <c r="B17" s="399" t="s">
        <v>791</v>
      </c>
      <c r="C17" s="1278">
        <v>17.88</v>
      </c>
      <c r="D17" t="s">
        <v>804</v>
      </c>
      <c r="E17" s="1283" t="s">
        <v>805</v>
      </c>
    </row>
    <row r="18" spans="2:5" ht="16" x14ac:dyDescent="0.45">
      <c r="B18" s="399" t="s">
        <v>793</v>
      </c>
      <c r="C18" s="1278">
        <v>14.5</v>
      </c>
      <c r="E18" s="1282" t="s">
        <v>803</v>
      </c>
    </row>
    <row r="19" spans="2:5" ht="16" x14ac:dyDescent="0.45">
      <c r="B19" s="399" t="s">
        <v>794</v>
      </c>
      <c r="C19" s="1278">
        <v>7</v>
      </c>
      <c r="E19" s="1282" t="s">
        <v>803</v>
      </c>
    </row>
    <row r="20" spans="2:5" ht="31.5" x14ac:dyDescent="0.45">
      <c r="B20" s="952" t="s">
        <v>806</v>
      </c>
      <c r="C20" s="1278">
        <v>2.89</v>
      </c>
      <c r="E20" s="1282" t="s">
        <v>803</v>
      </c>
    </row>
    <row r="21" spans="2:5" ht="16" x14ac:dyDescent="0.45">
      <c r="B21" s="399" t="s">
        <v>807</v>
      </c>
      <c r="C21" s="1278">
        <v>5.99</v>
      </c>
      <c r="E21" s="1282" t="s">
        <v>803</v>
      </c>
    </row>
    <row r="22" spans="2:5" ht="16" x14ac:dyDescent="0.45">
      <c r="B22" s="399" t="s">
        <v>808</v>
      </c>
      <c r="C22" s="1278">
        <v>0.36</v>
      </c>
      <c r="E22" s="1282" t="s">
        <v>803</v>
      </c>
    </row>
    <row r="23" spans="2:5" ht="16" x14ac:dyDescent="0.45">
      <c r="B23" s="399" t="s">
        <v>809</v>
      </c>
      <c r="C23" s="1278">
        <v>1.59</v>
      </c>
      <c r="E23" s="1282" t="s">
        <v>803</v>
      </c>
    </row>
    <row r="24" spans="2:5" ht="16" x14ac:dyDescent="0.45">
      <c r="B24" s="399" t="s">
        <v>810</v>
      </c>
      <c r="C24" s="1278">
        <v>3.38</v>
      </c>
      <c r="E24" s="1282"/>
    </row>
    <row r="25" spans="2:5" ht="16" x14ac:dyDescent="0.45">
      <c r="B25" s="399" t="s">
        <v>811</v>
      </c>
      <c r="C25" s="1278">
        <v>0.67500000000000004</v>
      </c>
      <c r="D25" t="s">
        <v>812</v>
      </c>
      <c r="E25" s="1282" t="s">
        <v>813</v>
      </c>
    </row>
    <row r="26" spans="2:5" ht="16" x14ac:dyDescent="0.45">
      <c r="B26" s="399" t="s">
        <v>814</v>
      </c>
      <c r="C26" s="1278">
        <v>1.2</v>
      </c>
      <c r="D26" t="s">
        <v>815</v>
      </c>
      <c r="E26" s="1282" t="s">
        <v>816</v>
      </c>
    </row>
    <row r="27" spans="2:5" ht="15" thickBot="1" x14ac:dyDescent="0.4">
      <c r="B27" s="1276" t="s">
        <v>795</v>
      </c>
      <c r="C27" s="1279">
        <v>1.59</v>
      </c>
      <c r="D27" s="1162" t="s">
        <v>817</v>
      </c>
      <c r="E27" s="1163"/>
    </row>
  </sheetData>
  <mergeCells count="6">
    <mergeCell ref="C2:E2"/>
    <mergeCell ref="F2:G2"/>
    <mergeCell ref="H2:I2"/>
    <mergeCell ref="N2:O2"/>
    <mergeCell ref="L2:M2"/>
    <mergeCell ref="J2:K2"/>
  </mergeCells>
  <hyperlinks>
    <hyperlink ref="E25" r:id="rId1" xr:uid="{B8E64B8F-0747-4D45-AE1B-9AEEF5F568BB}"/>
    <hyperlink ref="E26" r:id="rId2" xr:uid="{8A9931A6-0CCC-4A3E-92A7-590D0E91DE0A}"/>
    <hyperlink ref="E16" r:id="rId3" xr:uid="{AF1DA1FA-F76B-4BED-9A78-DC92E57F5B0C}"/>
    <hyperlink ref="E18:E21" r:id="rId4" display="http://publications.naturalengland.org.uk/publication/5419124441481216" xr:uid="{E903172F-3684-49F9-AFD6-3B62AF19C2A7}"/>
    <hyperlink ref="E22" r:id="rId5" xr:uid="{5E8FB1CC-0ED6-45AB-BBDF-AB223EE12286}"/>
    <hyperlink ref="E23" r:id="rId6" xr:uid="{7B556A3F-20CC-4E6B-BA6C-A89C5C1B4FC6}"/>
    <hyperlink ref="E17" r:id="rId7" xr:uid="{E2BF911F-C0F6-4ECE-96C0-98B112542ABA}"/>
    <hyperlink ref="E19" r:id="rId8" xr:uid="{52400091-ABC3-461C-A851-A25B38924167}"/>
  </hyperlinks>
  <pageMargins left="0.7" right="0.7" top="0.75" bottom="0.75" header="0.3" footer="0.3"/>
  <pageSetup paperSize="9" orientation="portrait" horizontalDpi="300" verticalDpi="300"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AA5C-CA2E-4DCF-8CE5-347ED9C204E5}">
  <dimension ref="A1:AL131"/>
  <sheetViews>
    <sheetView workbookViewId="0"/>
  </sheetViews>
  <sheetFormatPr defaultColWidth="8.81640625" defaultRowHeight="10.5" x14ac:dyDescent="0.25"/>
  <cols>
    <col min="1" max="1" width="2.81640625" style="235" customWidth="1"/>
    <col min="2" max="2" width="39.26953125" style="2" customWidth="1"/>
    <col min="3" max="3" width="13.81640625" style="2" customWidth="1"/>
    <col min="4" max="4" width="14.81640625" style="2" customWidth="1"/>
    <col min="5" max="5" width="14.1796875" style="2" customWidth="1"/>
    <col min="6" max="6" width="14.81640625" style="2" customWidth="1"/>
    <col min="7" max="7" width="15" style="2" customWidth="1"/>
    <col min="8" max="14" width="12.81640625" style="2" customWidth="1"/>
    <col min="15" max="15" width="8.81640625" style="235"/>
    <col min="16" max="16" width="8.81640625" style="299"/>
    <col min="17" max="38" width="8.81640625" style="235"/>
    <col min="39" max="16384" width="8.81640625" style="2"/>
  </cols>
  <sheetData>
    <row r="1" spans="2:16" s="235" customFormat="1" ht="11" thickBot="1" x14ac:dyDescent="0.3">
      <c r="P1" s="299"/>
    </row>
    <row r="2" spans="2:16" ht="20.5" customHeight="1" x14ac:dyDescent="0.25">
      <c r="B2" s="618"/>
      <c r="C2" s="617" t="s">
        <v>818</v>
      </c>
      <c r="D2" s="617" t="s">
        <v>819</v>
      </c>
      <c r="E2" s="617" t="s">
        <v>820</v>
      </c>
      <c r="F2" s="617" t="s">
        <v>821</v>
      </c>
      <c r="G2" s="617" t="s">
        <v>822</v>
      </c>
      <c r="H2" s="616" t="s">
        <v>823</v>
      </c>
      <c r="I2" s="1168"/>
      <c r="J2" s="1168"/>
      <c r="K2" s="1168"/>
      <c r="L2" s="1168"/>
      <c r="M2" s="1168"/>
      <c r="N2" s="1168"/>
      <c r="P2" s="348" t="s">
        <v>69</v>
      </c>
    </row>
    <row r="3" spans="2:16" x14ac:dyDescent="0.25">
      <c r="B3" s="619" t="s">
        <v>824</v>
      </c>
      <c r="C3" s="940">
        <v>18</v>
      </c>
      <c r="D3" s="940">
        <v>18</v>
      </c>
      <c r="E3" s="949">
        <v>25.45</v>
      </c>
      <c r="F3" s="949">
        <v>51.56</v>
      </c>
      <c r="G3" s="949">
        <v>57.89</v>
      </c>
      <c r="H3" s="949">
        <v>22.25</v>
      </c>
      <c r="I3" s="1169"/>
      <c r="J3" s="1169"/>
      <c r="K3" s="1169"/>
      <c r="L3" s="1169"/>
      <c r="M3" s="1169"/>
      <c r="N3" s="1169"/>
      <c r="P3" s="299" t="s">
        <v>825</v>
      </c>
    </row>
    <row r="4" spans="2:16" x14ac:dyDescent="0.25">
      <c r="B4" s="619" t="s">
        <v>826</v>
      </c>
      <c r="C4" s="940">
        <v>167</v>
      </c>
      <c r="D4" s="940">
        <v>167</v>
      </c>
      <c r="E4" s="949">
        <v>150.21</v>
      </c>
      <c r="F4" s="949">
        <v>253.11</v>
      </c>
      <c r="G4" s="949">
        <v>78.11</v>
      </c>
      <c r="H4" s="949">
        <v>521.88</v>
      </c>
      <c r="I4" s="1169"/>
      <c r="J4" s="1169"/>
      <c r="K4" s="1169"/>
      <c r="L4" s="1169"/>
      <c r="M4" s="1169"/>
      <c r="N4" s="1169"/>
    </row>
    <row r="5" spans="2:16" x14ac:dyDescent="0.25">
      <c r="B5" s="619" t="s">
        <v>827</v>
      </c>
      <c r="C5" s="940">
        <v>211</v>
      </c>
      <c r="D5" s="940">
        <v>211</v>
      </c>
      <c r="E5" s="949">
        <v>231.34</v>
      </c>
      <c r="F5" s="949">
        <v>224.11</v>
      </c>
      <c r="G5" s="949">
        <v>161.44</v>
      </c>
      <c r="H5" s="949">
        <v>238.38</v>
      </c>
      <c r="I5" s="1169"/>
      <c r="J5" s="1169"/>
      <c r="K5" s="1169"/>
      <c r="L5" s="1169"/>
      <c r="M5" s="1169"/>
      <c r="N5" s="1169"/>
    </row>
    <row r="6" spans="2:16" x14ac:dyDescent="0.25">
      <c r="B6" s="619"/>
      <c r="C6" s="940"/>
      <c r="D6" s="940"/>
      <c r="E6" s="949"/>
      <c r="F6" s="949"/>
      <c r="G6" s="949"/>
      <c r="H6" s="949"/>
      <c r="I6" s="1169"/>
      <c r="J6" s="1169"/>
      <c r="K6" s="1169"/>
      <c r="L6" s="1169"/>
      <c r="M6" s="1169"/>
      <c r="N6" s="1169"/>
    </row>
    <row r="7" spans="2:16" x14ac:dyDescent="0.25">
      <c r="B7" s="619" t="s">
        <v>828</v>
      </c>
      <c r="C7" s="940">
        <f>C3*3.4</f>
        <v>61.199999999999996</v>
      </c>
      <c r="D7" s="940">
        <f t="shared" ref="D7:H7" si="0">D3*3.4</f>
        <v>61.199999999999996</v>
      </c>
      <c r="E7" s="940">
        <f t="shared" si="0"/>
        <v>86.53</v>
      </c>
      <c r="F7" s="940">
        <f t="shared" si="0"/>
        <v>175.304</v>
      </c>
      <c r="G7" s="940">
        <f t="shared" si="0"/>
        <v>196.82599999999999</v>
      </c>
      <c r="H7" s="940">
        <f t="shared" si="0"/>
        <v>75.649999999999991</v>
      </c>
      <c r="I7" s="1169"/>
      <c r="J7" s="1169"/>
      <c r="K7" s="1169"/>
      <c r="L7" s="1169"/>
      <c r="M7" s="1169"/>
      <c r="N7" s="1169"/>
      <c r="P7" s="299" t="s">
        <v>829</v>
      </c>
    </row>
    <row r="8" spans="2:16" x14ac:dyDescent="0.25">
      <c r="B8" s="619"/>
      <c r="C8" s="940"/>
      <c r="D8" s="949"/>
      <c r="E8" s="949"/>
      <c r="F8" s="949"/>
      <c r="G8" s="949"/>
      <c r="H8" s="949"/>
      <c r="I8" s="1169"/>
      <c r="J8" s="1169"/>
      <c r="K8" s="1169"/>
      <c r="L8" s="1169"/>
      <c r="M8" s="1169"/>
      <c r="N8" s="1169"/>
    </row>
    <row r="9" spans="2:16" x14ac:dyDescent="0.25">
      <c r="B9" s="619" t="s">
        <v>830</v>
      </c>
      <c r="C9" s="940">
        <v>698</v>
      </c>
      <c r="D9" s="949">
        <f>C9</f>
        <v>698</v>
      </c>
      <c r="E9" s="949">
        <v>1888</v>
      </c>
      <c r="F9" s="949">
        <v>805.56</v>
      </c>
      <c r="G9" s="949">
        <v>385.33</v>
      </c>
      <c r="H9" s="949">
        <v>891.5</v>
      </c>
      <c r="I9" s="1169"/>
      <c r="J9" s="1169"/>
      <c r="K9" s="1169"/>
      <c r="L9" s="1169"/>
      <c r="M9" s="1169"/>
      <c r="N9" s="1169"/>
    </row>
    <row r="10" spans="2:16" x14ac:dyDescent="0.25">
      <c r="B10" s="619"/>
      <c r="C10" s="940"/>
      <c r="D10" s="949"/>
      <c r="E10" s="949"/>
      <c r="F10" s="949"/>
      <c r="G10" s="949"/>
      <c r="H10" s="949"/>
      <c r="I10" s="1169"/>
      <c r="J10" s="1169"/>
      <c r="K10" s="1169"/>
      <c r="L10" s="1169"/>
      <c r="M10" s="1169"/>
      <c r="N10" s="1169"/>
    </row>
    <row r="11" spans="2:16" x14ac:dyDescent="0.25">
      <c r="B11" s="619" t="s">
        <v>831</v>
      </c>
      <c r="C11" s="1034">
        <f>'Cropping allocation'!C27*1000</f>
        <v>3332925.1428571423</v>
      </c>
      <c r="D11" s="1034">
        <f>'Cropping allocation'!C93*1000</f>
        <v>1845976.6435342855</v>
      </c>
      <c r="E11" s="1034"/>
      <c r="F11" s="1034"/>
      <c r="G11" s="1034"/>
      <c r="H11" s="1034"/>
      <c r="I11" s="1170"/>
      <c r="J11" s="1170"/>
      <c r="K11" s="1170"/>
      <c r="L11" s="1170"/>
      <c r="M11" s="1170"/>
      <c r="N11" s="1170"/>
    </row>
    <row r="12" spans="2:16" x14ac:dyDescent="0.25">
      <c r="B12" s="619" t="s">
        <v>832</v>
      </c>
      <c r="C12" s="1033">
        <v>2.7E-2</v>
      </c>
      <c r="D12" s="1033">
        <v>2.7E-2</v>
      </c>
      <c r="E12" s="1033">
        <v>2.7E-2</v>
      </c>
      <c r="F12" s="1033">
        <v>2.7E-2</v>
      </c>
      <c r="G12" s="1033">
        <v>2.7E-2</v>
      </c>
      <c r="H12" s="1033">
        <v>2.7E-2</v>
      </c>
      <c r="I12" s="1171"/>
      <c r="J12" s="1171"/>
      <c r="K12" s="1171"/>
      <c r="L12" s="1171"/>
      <c r="M12" s="1171"/>
      <c r="N12" s="1171"/>
    </row>
    <row r="13" spans="2:16" x14ac:dyDescent="0.25">
      <c r="B13" s="619" t="s">
        <v>833</v>
      </c>
      <c r="C13" s="940"/>
      <c r="D13" s="949"/>
      <c r="E13" s="949"/>
      <c r="F13" s="949"/>
      <c r="G13" s="949"/>
      <c r="H13" s="949"/>
      <c r="I13" s="1169"/>
      <c r="J13" s="1169"/>
      <c r="K13" s="1169"/>
      <c r="L13" s="1169"/>
      <c r="M13" s="1169"/>
      <c r="N13" s="1169"/>
    </row>
    <row r="14" spans="2:16" x14ac:dyDescent="0.25">
      <c r="B14" s="619" t="s">
        <v>834</v>
      </c>
      <c r="C14" s="940"/>
      <c r="D14" s="949"/>
      <c r="E14" s="949"/>
      <c r="F14" s="949"/>
      <c r="G14" s="949"/>
      <c r="H14" s="949"/>
      <c r="I14" s="1169"/>
      <c r="J14" s="1169"/>
      <c r="K14" s="1169"/>
      <c r="L14" s="1169"/>
      <c r="M14" s="1169"/>
      <c r="N14" s="1169"/>
    </row>
    <row r="15" spans="2:16" x14ac:dyDescent="0.25">
      <c r="B15" s="619"/>
      <c r="C15" s="940"/>
      <c r="D15" s="949"/>
      <c r="E15" s="949"/>
      <c r="F15" s="949"/>
      <c r="G15" s="949"/>
      <c r="H15" s="949"/>
      <c r="I15" s="1169"/>
      <c r="J15" s="1169"/>
      <c r="K15" s="1169"/>
      <c r="L15" s="1169"/>
      <c r="M15" s="1169"/>
      <c r="N15" s="1169"/>
    </row>
    <row r="16" spans="2:16" x14ac:dyDescent="0.25">
      <c r="B16" s="619" t="s">
        <v>835</v>
      </c>
      <c r="C16" s="949">
        <f>(C$3+C$5)/$D$57*7</f>
        <v>750.81967213114763</v>
      </c>
      <c r="D16" s="949">
        <f t="shared" ref="D16:H16" si="1">(D$3+D$5)/$D$57*7</f>
        <v>750.81967213114763</v>
      </c>
      <c r="E16" s="949">
        <f t="shared" si="1"/>
        <v>841.93442622950829</v>
      </c>
      <c r="F16" s="949">
        <f t="shared" si="1"/>
        <v>903.83606557377072</v>
      </c>
      <c r="G16" s="949">
        <f t="shared" si="1"/>
        <v>719.11475409836066</v>
      </c>
      <c r="H16" s="949">
        <f t="shared" si="1"/>
        <v>854.52459016393448</v>
      </c>
      <c r="I16" s="1169"/>
      <c r="J16" s="1169"/>
      <c r="K16" s="1169"/>
      <c r="L16" s="1169"/>
      <c r="M16" s="1169"/>
      <c r="N16" s="1169"/>
    </row>
    <row r="17" spans="2:16" x14ac:dyDescent="0.25">
      <c r="B17" s="619" t="s">
        <v>836</v>
      </c>
      <c r="C17" s="949">
        <f>(C$3+C$5)/$D$57*2</f>
        <v>214.51990632318504</v>
      </c>
      <c r="D17" s="949">
        <f t="shared" ref="D17:H17" si="2">(D$3+D$5)/$D$57*2</f>
        <v>214.51990632318504</v>
      </c>
      <c r="E17" s="949">
        <f t="shared" si="2"/>
        <v>240.55269320843095</v>
      </c>
      <c r="F17" s="949">
        <f t="shared" si="2"/>
        <v>258.2388758782202</v>
      </c>
      <c r="G17" s="949">
        <f t="shared" si="2"/>
        <v>205.46135831381733</v>
      </c>
      <c r="H17" s="949">
        <f t="shared" si="2"/>
        <v>244.14988290398128</v>
      </c>
      <c r="I17" s="1169"/>
      <c r="J17" s="1169"/>
      <c r="K17" s="1169"/>
      <c r="L17" s="1169"/>
      <c r="M17" s="1169"/>
      <c r="N17" s="1169"/>
    </row>
    <row r="18" spans="2:16" x14ac:dyDescent="0.25">
      <c r="B18" s="619"/>
      <c r="C18" s="949"/>
      <c r="D18" s="949"/>
      <c r="E18" s="949"/>
      <c r="F18" s="949"/>
      <c r="G18" s="949"/>
      <c r="H18" s="949"/>
      <c r="I18" s="1169"/>
      <c r="J18" s="1169"/>
      <c r="K18" s="1169"/>
      <c r="L18" s="1169"/>
      <c r="M18" s="1169"/>
      <c r="N18" s="1169"/>
    </row>
    <row r="19" spans="2:16" x14ac:dyDescent="0.25">
      <c r="B19" s="619" t="s">
        <v>837</v>
      </c>
      <c r="C19" s="949">
        <f>(C$3+(0.5*C$5))/$D$57*7</f>
        <v>404.91803278688531</v>
      </c>
      <c r="D19" s="949">
        <f t="shared" ref="D19:H19" si="3">(D$3+(0.5*D$5))/$D$57*7</f>
        <v>404.91803278688531</v>
      </c>
      <c r="E19" s="949">
        <f t="shared" si="3"/>
        <v>462.68852459016398</v>
      </c>
      <c r="F19" s="949">
        <f t="shared" si="3"/>
        <v>536.44262295081967</v>
      </c>
      <c r="G19" s="949">
        <f t="shared" si="3"/>
        <v>454.45901639344271</v>
      </c>
      <c r="H19" s="949">
        <f t="shared" si="3"/>
        <v>463.73770491803282</v>
      </c>
      <c r="I19" s="1169"/>
      <c r="J19" s="1169"/>
      <c r="K19" s="1169"/>
      <c r="L19" s="1169"/>
      <c r="M19" s="1169"/>
      <c r="N19" s="1169"/>
    </row>
    <row r="20" spans="2:16" x14ac:dyDescent="0.25">
      <c r="B20" s="619" t="s">
        <v>838</v>
      </c>
      <c r="C20" s="949">
        <f>(C$3+(0.5*C$5))/$D$57*2</f>
        <v>115.69086651053865</v>
      </c>
      <c r="D20" s="949">
        <f t="shared" ref="D20:H20" si="4">(D$3+(0.5*D$5))/$D$57*2</f>
        <v>115.69086651053865</v>
      </c>
      <c r="E20" s="949">
        <f t="shared" si="4"/>
        <v>132.19672131147541</v>
      </c>
      <c r="F20" s="949">
        <f t="shared" si="4"/>
        <v>153.26932084309135</v>
      </c>
      <c r="G20" s="949">
        <f t="shared" si="4"/>
        <v>129.84543325526934</v>
      </c>
      <c r="H20" s="949">
        <f t="shared" si="4"/>
        <v>132.49648711943794</v>
      </c>
      <c r="I20" s="1169"/>
      <c r="J20" s="1169"/>
      <c r="K20" s="1169"/>
      <c r="L20" s="1169"/>
      <c r="M20" s="1169"/>
      <c r="N20" s="1169"/>
    </row>
    <row r="21" spans="2:16" ht="11" thickBot="1" x14ac:dyDescent="0.3">
      <c r="B21" s="620"/>
      <c r="C21" s="941"/>
      <c r="D21" s="941"/>
      <c r="E21" s="941"/>
      <c r="F21" s="941"/>
      <c r="G21" s="941"/>
      <c r="H21" s="941"/>
      <c r="I21" s="1169"/>
      <c r="J21" s="1169"/>
      <c r="K21" s="1169"/>
      <c r="L21" s="1169"/>
      <c r="M21" s="1169"/>
      <c r="N21" s="1169"/>
    </row>
    <row r="22" spans="2:16" s="235" customFormat="1" x14ac:dyDescent="0.25">
      <c r="P22" s="299"/>
    </row>
    <row r="23" spans="2:16" s="235" customFormat="1" ht="11" thickBot="1" x14ac:dyDescent="0.3">
      <c r="P23" s="299"/>
    </row>
    <row r="24" spans="2:16" s="235" customFormat="1" x14ac:dyDescent="0.25">
      <c r="B24" s="1217"/>
      <c r="C24" s="1510" t="s">
        <v>818</v>
      </c>
      <c r="D24" s="1511"/>
      <c r="E24" s="1508" t="s">
        <v>819</v>
      </c>
      <c r="F24" s="1509"/>
      <c r="G24" s="1508" t="s">
        <v>820</v>
      </c>
      <c r="H24" s="1509"/>
      <c r="I24" s="1508" t="s">
        <v>821</v>
      </c>
      <c r="J24" s="1509"/>
      <c r="K24" s="1508" t="s">
        <v>839</v>
      </c>
      <c r="L24" s="1509"/>
      <c r="M24" s="1508" t="s">
        <v>823</v>
      </c>
      <c r="N24" s="1509"/>
      <c r="P24" s="299"/>
    </row>
    <row r="25" spans="2:16" s="235" customFormat="1" x14ac:dyDescent="0.25">
      <c r="B25" s="951"/>
      <c r="C25" s="1172" t="s">
        <v>71</v>
      </c>
      <c r="D25" s="1173" t="s">
        <v>840</v>
      </c>
      <c r="E25" s="1172" t="s">
        <v>71</v>
      </c>
      <c r="F25" s="1173" t="s">
        <v>840</v>
      </c>
      <c r="G25" s="1172" t="s">
        <v>71</v>
      </c>
      <c r="H25" s="1173" t="s">
        <v>840</v>
      </c>
      <c r="I25" s="1172" t="s">
        <v>71</v>
      </c>
      <c r="J25" s="1173" t="s">
        <v>840</v>
      </c>
      <c r="K25" s="1172" t="s">
        <v>71</v>
      </c>
      <c r="L25" s="1173" t="s">
        <v>840</v>
      </c>
      <c r="M25" s="1172" t="s">
        <v>71</v>
      </c>
      <c r="N25" s="1173" t="s">
        <v>840</v>
      </c>
      <c r="P25" s="299"/>
    </row>
    <row r="26" spans="2:16" s="235" customFormat="1" x14ac:dyDescent="0.25">
      <c r="B26" s="951" t="s">
        <v>841</v>
      </c>
      <c r="C26" s="1212">
        <f>'Fixed Costs + Agri-enviro'!L39</f>
        <v>32</v>
      </c>
      <c r="D26" s="1213">
        <f>'Fixed Costs + Agri-enviro'!N39</f>
        <v>70.697674418604649</v>
      </c>
      <c r="E26" s="1212">
        <f>'Fixed Costs + Agri-enviro'!L40</f>
        <v>22</v>
      </c>
      <c r="F26" s="1213">
        <f>'Fixed Costs + Agri-enviro'!N40</f>
        <v>62</v>
      </c>
      <c r="G26" s="1212">
        <f>'Fixed Costs + Agri-enviro'!L41</f>
        <v>34</v>
      </c>
      <c r="H26" s="1213">
        <f>'Fixed Costs + Agri-enviro'!N41</f>
        <v>74</v>
      </c>
      <c r="I26" s="1212">
        <f>'Fixed Costs + Agri-enviro'!L43</f>
        <v>50.380368098159508</v>
      </c>
      <c r="J26" s="1213">
        <f>'Fixed Costs + Agri-enviro'!N43</f>
        <v>137.99839957321953</v>
      </c>
      <c r="K26" s="1212">
        <f>'Fixed Costs + Agri-enviro'!L42</f>
        <v>77.028924459421503</v>
      </c>
      <c r="L26" s="1213">
        <f>'Fixed Costs + Agri-enviro'!N42</f>
        <v>108.87742207245155</v>
      </c>
      <c r="M26" s="1212">
        <f>'Fixed Costs + Agri-enviro'!L44</f>
        <v>49</v>
      </c>
      <c r="N26" s="1213">
        <f>'Fixed Costs + Agri-enviro'!N44</f>
        <v>118</v>
      </c>
      <c r="P26" s="299"/>
    </row>
    <row r="27" spans="2:16" s="235" customFormat="1" ht="11" thickBot="1" x14ac:dyDescent="0.3">
      <c r="B27" s="1216" t="s">
        <v>842</v>
      </c>
      <c r="C27" s="1214">
        <f>'Fixed Costs + Agri-enviro'!C39</f>
        <v>698</v>
      </c>
      <c r="D27" s="1215">
        <f>'Fixed Costs + Agri-enviro'!E39</f>
        <v>837.90413943355122</v>
      </c>
      <c r="E27" s="1214"/>
      <c r="F27" s="1215"/>
      <c r="G27" s="1214">
        <f>'Fixed Costs + Agri-enviro'!C41</f>
        <v>1865</v>
      </c>
      <c r="H27" s="1215">
        <f>'Fixed Costs + Agri-enviro'!E41</f>
        <v>1591.6331845238096</v>
      </c>
      <c r="I27" s="1214">
        <f>'Fixed Costs + Agri-enviro'!C43</f>
        <v>807.10429447852766</v>
      </c>
      <c r="J27" s="1215">
        <f>'Fixed Costs + Agri-enviro'!E43</f>
        <v>790.58089947345547</v>
      </c>
      <c r="K27" s="1214">
        <f>'Fixed Costs + Agri-enviro'!C42</f>
        <v>293.14799213704015</v>
      </c>
      <c r="L27" s="1215">
        <f>'Fixed Costs + Agri-enviro'!E42</f>
        <v>272.2088498415373</v>
      </c>
      <c r="M27" s="1214">
        <f>'Fixed Costs + Agri-enviro'!C44</f>
        <v>720</v>
      </c>
      <c r="N27" s="1215">
        <f>'Fixed Costs + Agri-enviro'!E44</f>
        <v>753</v>
      </c>
      <c r="P27" s="299"/>
    </row>
    <row r="28" spans="2:16" s="235" customFormat="1" x14ac:dyDescent="0.25">
      <c r="P28" s="299"/>
    </row>
    <row r="29" spans="2:16" s="235" customFormat="1" x14ac:dyDescent="0.25">
      <c r="F29" s="235" t="s">
        <v>843</v>
      </c>
      <c r="P29" s="299"/>
    </row>
    <row r="30" spans="2:16" s="235" customFormat="1" x14ac:dyDescent="0.25">
      <c r="P30" s="299"/>
    </row>
    <row r="31" spans="2:16" s="235" customFormat="1" x14ac:dyDescent="0.25">
      <c r="P31" s="299"/>
    </row>
    <row r="32" spans="2:16" s="235" customFormat="1" x14ac:dyDescent="0.25">
      <c r="P32" s="299"/>
    </row>
    <row r="33" spans="3:16" s="235" customFormat="1" x14ac:dyDescent="0.25">
      <c r="P33" s="299"/>
    </row>
    <row r="34" spans="3:16" s="235" customFormat="1" x14ac:dyDescent="0.25">
      <c r="P34" s="299"/>
    </row>
    <row r="35" spans="3:16" s="235" customFormat="1" x14ac:dyDescent="0.25">
      <c r="P35" s="299"/>
    </row>
    <row r="36" spans="3:16" s="235" customFormat="1" x14ac:dyDescent="0.25">
      <c r="P36" s="299"/>
    </row>
    <row r="37" spans="3:16" s="235" customFormat="1" x14ac:dyDescent="0.25">
      <c r="P37" s="299"/>
    </row>
    <row r="38" spans="3:16" s="235" customFormat="1" x14ac:dyDescent="0.25">
      <c r="P38" s="299"/>
    </row>
    <row r="39" spans="3:16" s="235" customFormat="1" x14ac:dyDescent="0.25">
      <c r="P39" s="299"/>
    </row>
    <row r="40" spans="3:16" s="235" customFormat="1" x14ac:dyDescent="0.25">
      <c r="P40" s="299"/>
    </row>
    <row r="41" spans="3:16" s="235" customFormat="1" x14ac:dyDescent="0.25">
      <c r="P41" s="299"/>
    </row>
    <row r="42" spans="3:16" s="235" customFormat="1" x14ac:dyDescent="0.25">
      <c r="P42" s="299"/>
    </row>
    <row r="43" spans="3:16" s="235" customFormat="1" x14ac:dyDescent="0.25">
      <c r="P43" s="299"/>
    </row>
    <row r="44" spans="3:16" s="235" customFormat="1" x14ac:dyDescent="0.25">
      <c r="P44" s="299"/>
    </row>
    <row r="45" spans="3:16" s="235" customFormat="1" x14ac:dyDescent="0.25">
      <c r="P45" s="299"/>
    </row>
    <row r="46" spans="3:16" s="235" customFormat="1" x14ac:dyDescent="0.25">
      <c r="C46" s="1029"/>
      <c r="D46" s="1029"/>
      <c r="E46" s="1029"/>
      <c r="F46" s="1029"/>
      <c r="G46" s="1029"/>
      <c r="H46" s="1029"/>
      <c r="I46" s="1029"/>
      <c r="J46" s="1029"/>
      <c r="K46" s="1029"/>
      <c r="L46" s="1029"/>
      <c r="M46" s="1029"/>
      <c r="N46" s="1029"/>
      <c r="P46" s="299"/>
    </row>
    <row r="47" spans="3:16" s="235" customFormat="1" x14ac:dyDescent="0.25">
      <c r="C47" s="1030"/>
      <c r="P47" s="299"/>
    </row>
    <row r="48" spans="3:16" s="235" customFormat="1" x14ac:dyDescent="0.25">
      <c r="C48" s="1030"/>
      <c r="P48" s="299"/>
    </row>
    <row r="49" spans="2:16" s="235" customFormat="1" x14ac:dyDescent="0.25">
      <c r="P49" s="299"/>
    </row>
    <row r="50" spans="2:16" s="235" customFormat="1" x14ac:dyDescent="0.25">
      <c r="P50" s="299"/>
    </row>
    <row r="51" spans="2:16" s="235" customFormat="1" x14ac:dyDescent="0.25">
      <c r="P51" s="299"/>
    </row>
    <row r="52" spans="2:16" s="235" customFormat="1" x14ac:dyDescent="0.25">
      <c r="P52" s="299"/>
    </row>
    <row r="53" spans="2:16" s="235" customFormat="1" x14ac:dyDescent="0.25">
      <c r="P53" s="299"/>
    </row>
    <row r="54" spans="2:16" s="235" customFormat="1" x14ac:dyDescent="0.25">
      <c r="P54" s="299"/>
    </row>
    <row r="55" spans="2:16" s="235" customFormat="1" x14ac:dyDescent="0.25">
      <c r="D55" s="235">
        <f>0.973*2</f>
        <v>1.946</v>
      </c>
      <c r="F55" s="235">
        <f>100-2.7</f>
        <v>97.3</v>
      </c>
      <c r="P55" s="299"/>
    </row>
    <row r="56" spans="2:16" s="235" customFormat="1" x14ac:dyDescent="0.25">
      <c r="B56" s="235" t="s">
        <v>844</v>
      </c>
      <c r="D56" s="235">
        <f>0.027*7</f>
        <v>0.189</v>
      </c>
      <c r="P56" s="299"/>
    </row>
    <row r="57" spans="2:16" s="235" customFormat="1" x14ac:dyDescent="0.25">
      <c r="B57" s="235" t="s">
        <v>845</v>
      </c>
      <c r="D57" s="235">
        <f>SUM(D55:D56)</f>
        <v>2.1349999999999998</v>
      </c>
      <c r="P57" s="299"/>
    </row>
    <row r="58" spans="2:16" s="235" customFormat="1" x14ac:dyDescent="0.25">
      <c r="B58" s="235" t="s">
        <v>846</v>
      </c>
      <c r="P58" s="299"/>
    </row>
    <row r="59" spans="2:16" s="235" customFormat="1" x14ac:dyDescent="0.25">
      <c r="B59" s="235">
        <f>236/D57</f>
        <v>110.53864168618269</v>
      </c>
      <c r="P59" s="299"/>
    </row>
    <row r="60" spans="2:16" s="235" customFormat="1" x14ac:dyDescent="0.25">
      <c r="B60" s="1028">
        <f>7*B59</f>
        <v>773.77049180327879</v>
      </c>
      <c r="C60" s="1028" t="s">
        <v>847</v>
      </c>
      <c r="P60" s="299"/>
    </row>
    <row r="61" spans="2:16" s="235" customFormat="1" x14ac:dyDescent="0.25">
      <c r="B61" s="1028">
        <f>2*B59</f>
        <v>221.07728337236537</v>
      </c>
      <c r="C61" s="1028" t="s">
        <v>848</v>
      </c>
      <c r="P61" s="299"/>
    </row>
    <row r="62" spans="2:16" s="235" customFormat="1" x14ac:dyDescent="0.25">
      <c r="E62" s="1030">
        <f>C72</f>
        <v>3500000000</v>
      </c>
      <c r="P62" s="299"/>
    </row>
    <row r="63" spans="2:16" s="235" customFormat="1" x14ac:dyDescent="0.25">
      <c r="E63" s="235">
        <v>485000</v>
      </c>
      <c r="F63" s="235">
        <v>2.7</v>
      </c>
      <c r="P63" s="299"/>
    </row>
    <row r="64" spans="2:16" s="235" customFormat="1" x14ac:dyDescent="0.25">
      <c r="B64" s="235" t="s">
        <v>849</v>
      </c>
      <c r="C64" s="235">
        <f>3333000</f>
        <v>3333000</v>
      </c>
      <c r="E64" s="235">
        <f>E63/2.7*100</f>
        <v>17962962.962962959</v>
      </c>
      <c r="P64" s="299"/>
    </row>
    <row r="65" spans="2:16" s="235" customFormat="1" x14ac:dyDescent="0.25">
      <c r="B65" s="235" t="s">
        <v>850</v>
      </c>
      <c r="C65" s="1031">
        <f>C3+C5</f>
        <v>229</v>
      </c>
      <c r="E65" s="235" t="s">
        <v>851</v>
      </c>
      <c r="P65" s="299"/>
    </row>
    <row r="66" spans="2:16" s="235" customFormat="1" x14ac:dyDescent="0.25">
      <c r="B66" s="235" t="s">
        <v>852</v>
      </c>
      <c r="C66" s="1031">
        <f>C64*C65</f>
        <v>763257000</v>
      </c>
      <c r="E66" s="1030">
        <f>C72/F68</f>
        <v>89.011128745885017</v>
      </c>
      <c r="F66" s="235">
        <f>E63*7</f>
        <v>3395000</v>
      </c>
      <c r="P66" s="299"/>
    </row>
    <row r="67" spans="2:16" s="235" customFormat="1" x14ac:dyDescent="0.25">
      <c r="E67" s="1030">
        <f>7*E66</f>
        <v>623.07790122119513</v>
      </c>
      <c r="F67" s="235">
        <f>E64*2</f>
        <v>35925925.925925918</v>
      </c>
      <c r="H67" s="235">
        <f>E67/E68</f>
        <v>3.5</v>
      </c>
      <c r="P67" s="299"/>
    </row>
    <row r="68" spans="2:16" s="235" customFormat="1" x14ac:dyDescent="0.25">
      <c r="B68" s="235" t="s">
        <v>853</v>
      </c>
      <c r="C68" s="235">
        <f>0.972*C64</f>
        <v>3239676</v>
      </c>
      <c r="E68" s="1030">
        <f>2*E66</f>
        <v>178.02225749177003</v>
      </c>
      <c r="F68" s="235">
        <f>SUM(F66:F67)</f>
        <v>39320925.925925918</v>
      </c>
      <c r="P68" s="299"/>
    </row>
    <row r="69" spans="2:16" s="235" customFormat="1" x14ac:dyDescent="0.25">
      <c r="B69" s="235" t="s">
        <v>854</v>
      </c>
      <c r="C69" s="235">
        <f>0.028*C64</f>
        <v>93324</v>
      </c>
      <c r="P69" s="299"/>
    </row>
    <row r="70" spans="2:16" s="235" customFormat="1" x14ac:dyDescent="0.25">
      <c r="B70" s="235" t="s">
        <v>855</v>
      </c>
      <c r="C70" s="1030">
        <f>C68*C47+C69*C48</f>
        <v>0</v>
      </c>
      <c r="E70" s="235">
        <f>E67*E63</f>
        <v>302192782.09227961</v>
      </c>
      <c r="P70" s="299"/>
    </row>
    <row r="71" spans="2:16" s="235" customFormat="1" x14ac:dyDescent="0.25">
      <c r="E71" s="235">
        <f>E68*E64</f>
        <v>3197807217.9077201</v>
      </c>
      <c r="P71" s="299"/>
    </row>
    <row r="72" spans="2:16" s="235" customFormat="1" x14ac:dyDescent="0.25">
      <c r="B72" s="235" t="s">
        <v>856</v>
      </c>
      <c r="C72" s="1030">
        <v>3500000000</v>
      </c>
      <c r="E72" s="235">
        <f>SUM(E70:E71)</f>
        <v>3499999999.9999995</v>
      </c>
      <c r="P72" s="299"/>
    </row>
    <row r="73" spans="2:16" s="235" customFormat="1" x14ac:dyDescent="0.25">
      <c r="P73" s="299"/>
    </row>
    <row r="74" spans="2:16" s="235" customFormat="1" x14ac:dyDescent="0.25">
      <c r="P74" s="299"/>
    </row>
    <row r="75" spans="2:16" s="235" customFormat="1" x14ac:dyDescent="0.25">
      <c r="P75" s="299"/>
    </row>
    <row r="76" spans="2:16" s="235" customFormat="1" x14ac:dyDescent="0.25">
      <c r="P76" s="299"/>
    </row>
    <row r="77" spans="2:16" s="235" customFormat="1" x14ac:dyDescent="0.25">
      <c r="P77" s="299"/>
    </row>
    <row r="78" spans="2:16" s="235" customFormat="1" x14ac:dyDescent="0.25">
      <c r="P78" s="299"/>
    </row>
    <row r="79" spans="2:16" s="235" customFormat="1" x14ac:dyDescent="0.25">
      <c r="P79" s="299"/>
    </row>
    <row r="80" spans="2:16" s="235" customFormat="1" x14ac:dyDescent="0.25">
      <c r="P80" s="299"/>
    </row>
    <row r="81" spans="16:16" s="235" customFormat="1" x14ac:dyDescent="0.25">
      <c r="P81" s="299"/>
    </row>
    <row r="82" spans="16:16" s="235" customFormat="1" x14ac:dyDescent="0.25">
      <c r="P82" s="299"/>
    </row>
    <row r="83" spans="16:16" s="235" customFormat="1" x14ac:dyDescent="0.25">
      <c r="P83" s="299"/>
    </row>
    <row r="84" spans="16:16" s="235" customFormat="1" x14ac:dyDescent="0.25">
      <c r="P84" s="299"/>
    </row>
    <row r="85" spans="16:16" s="235" customFormat="1" x14ac:dyDescent="0.25">
      <c r="P85" s="299"/>
    </row>
    <row r="86" spans="16:16" s="235" customFormat="1" x14ac:dyDescent="0.25">
      <c r="P86" s="299"/>
    </row>
    <row r="87" spans="16:16" s="235" customFormat="1" x14ac:dyDescent="0.25">
      <c r="P87" s="299"/>
    </row>
    <row r="88" spans="16:16" s="235" customFormat="1" x14ac:dyDescent="0.25">
      <c r="P88" s="299"/>
    </row>
    <row r="89" spans="16:16" s="235" customFormat="1" x14ac:dyDescent="0.25">
      <c r="P89" s="299"/>
    </row>
    <row r="90" spans="16:16" s="235" customFormat="1" x14ac:dyDescent="0.25">
      <c r="P90" s="299"/>
    </row>
    <row r="91" spans="16:16" s="235" customFormat="1" x14ac:dyDescent="0.25">
      <c r="P91" s="299"/>
    </row>
    <row r="92" spans="16:16" s="235" customFormat="1" x14ac:dyDescent="0.25">
      <c r="P92" s="299"/>
    </row>
    <row r="93" spans="16:16" s="235" customFormat="1" x14ac:dyDescent="0.25">
      <c r="P93" s="299"/>
    </row>
    <row r="94" spans="16:16" s="235" customFormat="1" x14ac:dyDescent="0.25">
      <c r="P94" s="299"/>
    </row>
    <row r="95" spans="16:16" s="235" customFormat="1" x14ac:dyDescent="0.25">
      <c r="P95" s="299"/>
    </row>
    <row r="96" spans="16:16" s="235" customFormat="1" x14ac:dyDescent="0.25">
      <c r="P96" s="299"/>
    </row>
    <row r="97" spans="16:16" s="235" customFormat="1" x14ac:dyDescent="0.25">
      <c r="P97" s="299"/>
    </row>
    <row r="98" spans="16:16" s="235" customFormat="1" x14ac:dyDescent="0.25">
      <c r="P98" s="299"/>
    </row>
    <row r="99" spans="16:16" s="235" customFormat="1" x14ac:dyDescent="0.25">
      <c r="P99" s="299"/>
    </row>
    <row r="100" spans="16:16" s="235" customFormat="1" x14ac:dyDescent="0.25">
      <c r="P100" s="299"/>
    </row>
    <row r="101" spans="16:16" s="235" customFormat="1" x14ac:dyDescent="0.25">
      <c r="P101" s="299"/>
    </row>
    <row r="102" spans="16:16" s="235" customFormat="1" x14ac:dyDescent="0.25">
      <c r="P102" s="299"/>
    </row>
    <row r="103" spans="16:16" s="235" customFormat="1" x14ac:dyDescent="0.25">
      <c r="P103" s="299"/>
    </row>
    <row r="104" spans="16:16" s="235" customFormat="1" x14ac:dyDescent="0.25">
      <c r="P104" s="299"/>
    </row>
    <row r="105" spans="16:16" s="235" customFormat="1" x14ac:dyDescent="0.25">
      <c r="P105" s="299"/>
    </row>
    <row r="106" spans="16:16" s="235" customFormat="1" x14ac:dyDescent="0.25">
      <c r="P106" s="299"/>
    </row>
    <row r="107" spans="16:16" s="235" customFormat="1" x14ac:dyDescent="0.25">
      <c r="P107" s="299"/>
    </row>
    <row r="108" spans="16:16" s="235" customFormat="1" x14ac:dyDescent="0.25">
      <c r="P108" s="299"/>
    </row>
    <row r="109" spans="16:16" s="235" customFormat="1" x14ac:dyDescent="0.25">
      <c r="P109" s="299"/>
    </row>
    <row r="110" spans="16:16" s="235" customFormat="1" x14ac:dyDescent="0.25">
      <c r="P110" s="299"/>
    </row>
    <row r="111" spans="16:16" s="235" customFormat="1" x14ac:dyDescent="0.25">
      <c r="P111" s="299"/>
    </row>
    <row r="112" spans="16:16" s="235" customFormat="1" x14ac:dyDescent="0.25">
      <c r="P112" s="299"/>
    </row>
    <row r="113" spans="16:16" s="235" customFormat="1" x14ac:dyDescent="0.25">
      <c r="P113" s="299"/>
    </row>
    <row r="114" spans="16:16" s="235" customFormat="1" x14ac:dyDescent="0.25">
      <c r="P114" s="299"/>
    </row>
    <row r="115" spans="16:16" s="235" customFormat="1" x14ac:dyDescent="0.25">
      <c r="P115" s="299"/>
    </row>
    <row r="116" spans="16:16" s="235" customFormat="1" x14ac:dyDescent="0.25">
      <c r="P116" s="299"/>
    </row>
    <row r="117" spans="16:16" s="235" customFormat="1" x14ac:dyDescent="0.25">
      <c r="P117" s="299"/>
    </row>
    <row r="118" spans="16:16" s="235" customFormat="1" x14ac:dyDescent="0.25">
      <c r="P118" s="299"/>
    </row>
    <row r="119" spans="16:16" s="235" customFormat="1" x14ac:dyDescent="0.25">
      <c r="P119" s="299"/>
    </row>
    <row r="120" spans="16:16" s="235" customFormat="1" x14ac:dyDescent="0.25">
      <c r="P120" s="299"/>
    </row>
    <row r="121" spans="16:16" s="235" customFormat="1" x14ac:dyDescent="0.25">
      <c r="P121" s="299"/>
    </row>
    <row r="122" spans="16:16" s="235" customFormat="1" x14ac:dyDescent="0.25">
      <c r="P122" s="299"/>
    </row>
    <row r="123" spans="16:16" s="235" customFormat="1" x14ac:dyDescent="0.25">
      <c r="P123" s="299"/>
    </row>
    <row r="124" spans="16:16" s="235" customFormat="1" x14ac:dyDescent="0.25">
      <c r="P124" s="299"/>
    </row>
    <row r="125" spans="16:16" s="235" customFormat="1" x14ac:dyDescent="0.25">
      <c r="P125" s="299"/>
    </row>
    <row r="126" spans="16:16" s="235" customFormat="1" x14ac:dyDescent="0.25">
      <c r="P126" s="299"/>
    </row>
    <row r="127" spans="16:16" s="235" customFormat="1" x14ac:dyDescent="0.25">
      <c r="P127" s="299"/>
    </row>
    <row r="128" spans="16:16" s="235" customFormat="1" x14ac:dyDescent="0.25">
      <c r="P128" s="299"/>
    </row>
    <row r="129" spans="16:16" s="235" customFormat="1" x14ac:dyDescent="0.25">
      <c r="P129" s="299"/>
    </row>
    <row r="130" spans="16:16" s="235" customFormat="1" x14ac:dyDescent="0.25">
      <c r="P130" s="299"/>
    </row>
    <row r="131" spans="16:16" s="235" customFormat="1" x14ac:dyDescent="0.25">
      <c r="P131" s="299"/>
    </row>
  </sheetData>
  <mergeCells count="6">
    <mergeCell ref="M24:N24"/>
    <mergeCell ref="C24:D24"/>
    <mergeCell ref="E24:F24"/>
    <mergeCell ref="G24:H24"/>
    <mergeCell ref="I24:J24"/>
    <mergeCell ref="K24:L2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1042-8326-4797-874B-2E863A377148}">
  <dimension ref="A1:AB44"/>
  <sheetViews>
    <sheetView workbookViewId="0"/>
  </sheetViews>
  <sheetFormatPr defaultColWidth="8.81640625" defaultRowHeight="14" x14ac:dyDescent="0.3"/>
  <cols>
    <col min="1" max="1" width="16.81640625" style="1175" bestFit="1" customWidth="1"/>
    <col min="2" max="5" width="11.1796875" style="1175" bestFit="1" customWidth="1"/>
    <col min="6" max="6" width="13.81640625" style="1175" bestFit="1" customWidth="1"/>
    <col min="7" max="7" width="23.81640625" style="1175" customWidth="1"/>
    <col min="8" max="9" width="8.81640625" style="1175"/>
    <col min="10" max="10" width="18.1796875" style="1175" customWidth="1"/>
    <col min="11" max="14" width="12.453125" style="1175" bestFit="1" customWidth="1"/>
    <col min="15" max="15" width="13.81640625" style="1175" bestFit="1" customWidth="1"/>
    <col min="16" max="16384" width="8.81640625" style="1175"/>
  </cols>
  <sheetData>
    <row r="1" spans="1:23" x14ac:dyDescent="0.3">
      <c r="A1" s="1174" t="s">
        <v>842</v>
      </c>
      <c r="B1" s="1174"/>
      <c r="C1" s="1174"/>
      <c r="D1" s="1174"/>
      <c r="E1" s="1174"/>
      <c r="F1" s="1174"/>
      <c r="G1" s="1174"/>
      <c r="H1" s="1174"/>
      <c r="I1" s="1174"/>
      <c r="J1" s="1174" t="s">
        <v>857</v>
      </c>
    </row>
    <row r="2" spans="1:23" ht="14.5" thickBot="1" x14ac:dyDescent="0.35"/>
    <row r="3" spans="1:23" x14ac:dyDescent="0.3">
      <c r="A3" s="1176"/>
      <c r="B3" s="1512" t="s">
        <v>71</v>
      </c>
      <c r="C3" s="1513"/>
      <c r="D3" s="1512" t="s">
        <v>840</v>
      </c>
      <c r="E3" s="1513"/>
      <c r="F3" s="1177" t="s">
        <v>858</v>
      </c>
      <c r="G3" s="1174" t="s">
        <v>859</v>
      </c>
      <c r="J3" s="1176"/>
      <c r="K3" s="1512" t="s">
        <v>71</v>
      </c>
      <c r="L3" s="1513"/>
      <c r="M3" s="1514" t="s">
        <v>840</v>
      </c>
      <c r="N3" s="1513"/>
      <c r="O3" s="1178" t="s">
        <v>858</v>
      </c>
      <c r="P3" s="1174" t="s">
        <v>859</v>
      </c>
    </row>
    <row r="4" spans="1:23" ht="14.5" thickBot="1" x14ac:dyDescent="0.35">
      <c r="A4" s="1179"/>
      <c r="B4" s="1180" t="s">
        <v>860</v>
      </c>
      <c r="C4" s="1181" t="s">
        <v>861</v>
      </c>
      <c r="D4" s="1180" t="s">
        <v>860</v>
      </c>
      <c r="E4" s="1181" t="s">
        <v>861</v>
      </c>
      <c r="F4" s="1182"/>
      <c r="J4" s="1179"/>
      <c r="K4" s="1180" t="s">
        <v>860</v>
      </c>
      <c r="L4" s="1181" t="s">
        <v>861</v>
      </c>
      <c r="M4" s="1183" t="s">
        <v>860</v>
      </c>
      <c r="N4" s="1181" t="s">
        <v>861</v>
      </c>
      <c r="O4" s="1179"/>
    </row>
    <row r="5" spans="1:23" x14ac:dyDescent="0.3">
      <c r="A5" s="1184" t="s">
        <v>121</v>
      </c>
      <c r="B5" s="1185" t="s">
        <v>862</v>
      </c>
      <c r="C5" s="1186" t="s">
        <v>863</v>
      </c>
      <c r="D5" s="1185" t="s">
        <v>864</v>
      </c>
      <c r="E5" s="1186" t="s">
        <v>865</v>
      </c>
      <c r="F5" s="1187" t="s">
        <v>866</v>
      </c>
      <c r="G5" s="1188" t="s">
        <v>867</v>
      </c>
      <c r="J5" s="1184" t="s">
        <v>121</v>
      </c>
      <c r="K5" s="1189" t="s">
        <v>868</v>
      </c>
      <c r="L5" s="1190"/>
      <c r="M5" s="1189" t="s">
        <v>868</v>
      </c>
      <c r="N5" s="1190"/>
      <c r="O5" s="1191" t="s">
        <v>866</v>
      </c>
      <c r="P5" s="1188" t="s">
        <v>867</v>
      </c>
    </row>
    <row r="6" spans="1:23" x14ac:dyDescent="0.3">
      <c r="A6" s="1184" t="s">
        <v>66</v>
      </c>
      <c r="B6" s="1192">
        <v>65779</v>
      </c>
      <c r="C6" s="1193">
        <v>62299</v>
      </c>
      <c r="D6" s="1192">
        <v>54935</v>
      </c>
      <c r="E6" s="1193">
        <v>53505</v>
      </c>
      <c r="F6" s="1191" t="s">
        <v>869</v>
      </c>
      <c r="G6" s="1175" t="s">
        <v>870</v>
      </c>
      <c r="J6" s="1184" t="s">
        <v>66</v>
      </c>
      <c r="K6" s="1192">
        <v>4106</v>
      </c>
      <c r="L6" s="1193">
        <v>4101</v>
      </c>
      <c r="M6" s="1194">
        <v>9593</v>
      </c>
      <c r="N6" s="1193">
        <v>9991</v>
      </c>
      <c r="O6" s="1191" t="s">
        <v>869</v>
      </c>
      <c r="P6" s="1175" t="s">
        <v>871</v>
      </c>
      <c r="W6" s="1175" t="s">
        <v>872</v>
      </c>
    </row>
    <row r="7" spans="1:23" x14ac:dyDescent="0.3">
      <c r="A7" s="1184" t="s">
        <v>67</v>
      </c>
      <c r="B7" s="1195">
        <v>52195</v>
      </c>
      <c r="C7" s="1196"/>
      <c r="D7" s="1195">
        <v>62659</v>
      </c>
      <c r="E7" s="1196"/>
      <c r="F7" s="1184" t="s">
        <v>873</v>
      </c>
      <c r="J7" s="1184" t="s">
        <v>67</v>
      </c>
      <c r="K7" s="1195">
        <v>13715</v>
      </c>
      <c r="L7" s="1196"/>
      <c r="M7" s="1197">
        <v>18558</v>
      </c>
      <c r="N7" s="1196"/>
      <c r="O7" s="1191" t="s">
        <v>873</v>
      </c>
    </row>
    <row r="8" spans="1:23" x14ac:dyDescent="0.3">
      <c r="A8" s="1184" t="s">
        <v>63</v>
      </c>
      <c r="B8" s="1195" t="s">
        <v>874</v>
      </c>
      <c r="C8" s="1196"/>
      <c r="D8" s="1195"/>
      <c r="E8" s="1196"/>
      <c r="F8" s="1191">
        <v>199</v>
      </c>
      <c r="J8" s="1184" t="s">
        <v>63</v>
      </c>
      <c r="K8" s="1195" t="s">
        <v>875</v>
      </c>
      <c r="L8" s="1196"/>
      <c r="M8" s="1189" t="s">
        <v>868</v>
      </c>
      <c r="N8" s="1196"/>
      <c r="O8" s="1191">
        <v>199</v>
      </c>
      <c r="P8" s="1175" t="s">
        <v>876</v>
      </c>
    </row>
    <row r="9" spans="1:23" ht="14.5" thickBot="1" x14ac:dyDescent="0.35">
      <c r="A9" s="1179" t="s">
        <v>877</v>
      </c>
      <c r="B9" s="1198" t="s">
        <v>878</v>
      </c>
      <c r="C9" s="1199"/>
      <c r="D9" s="1198"/>
      <c r="E9" s="1199"/>
      <c r="F9" s="1200">
        <v>245</v>
      </c>
      <c r="J9" s="1179" t="s">
        <v>877</v>
      </c>
      <c r="K9" s="1198" t="s">
        <v>879</v>
      </c>
      <c r="L9" s="1199"/>
      <c r="M9" s="1201" t="s">
        <v>868</v>
      </c>
      <c r="N9" s="1199"/>
      <c r="O9" s="1200">
        <v>245</v>
      </c>
      <c r="P9" s="1175" t="s">
        <v>876</v>
      </c>
    </row>
    <row r="12" spans="1:23" x14ac:dyDescent="0.3">
      <c r="A12" s="1175" t="s">
        <v>880</v>
      </c>
    </row>
    <row r="13" spans="1:23" ht="14.5" thickBot="1" x14ac:dyDescent="0.35"/>
    <row r="14" spans="1:23" x14ac:dyDescent="0.3">
      <c r="A14" s="1176"/>
      <c r="B14" s="1512" t="s">
        <v>71</v>
      </c>
      <c r="C14" s="1513"/>
      <c r="D14" s="1512" t="s">
        <v>840</v>
      </c>
      <c r="E14" s="1513"/>
      <c r="F14" s="1177" t="s">
        <v>858</v>
      </c>
      <c r="G14" s="1174" t="s">
        <v>881</v>
      </c>
      <c r="J14" s="1176"/>
      <c r="K14" s="1512" t="s">
        <v>71</v>
      </c>
      <c r="L14" s="1513"/>
      <c r="M14" s="1514" t="s">
        <v>840</v>
      </c>
      <c r="N14" s="1513"/>
      <c r="O14" s="1178" t="s">
        <v>858</v>
      </c>
      <c r="P14" s="1174" t="s">
        <v>882</v>
      </c>
    </row>
    <row r="15" spans="1:23" ht="14.5" thickBot="1" x14ac:dyDescent="0.35">
      <c r="A15" s="1179"/>
      <c r="B15" s="1180" t="s">
        <v>860</v>
      </c>
      <c r="C15" s="1181" t="s">
        <v>861</v>
      </c>
      <c r="D15" s="1180" t="s">
        <v>860</v>
      </c>
      <c r="E15" s="1181" t="s">
        <v>861</v>
      </c>
      <c r="F15" s="1182"/>
      <c r="J15" s="1179"/>
      <c r="K15" s="1180" t="s">
        <v>860</v>
      </c>
      <c r="L15" s="1181" t="s">
        <v>861</v>
      </c>
      <c r="M15" s="1183" t="s">
        <v>860</v>
      </c>
      <c r="N15" s="1181" t="s">
        <v>861</v>
      </c>
      <c r="O15" s="1179"/>
    </row>
    <row r="16" spans="1:23" x14ac:dyDescent="0.3">
      <c r="A16" s="1184" t="s">
        <v>121</v>
      </c>
      <c r="B16" s="1185">
        <v>1789</v>
      </c>
      <c r="C16" s="1186">
        <v>1865</v>
      </c>
      <c r="D16" s="1185">
        <v>1366</v>
      </c>
      <c r="E16" s="1186">
        <v>1358</v>
      </c>
      <c r="F16" s="1187">
        <f>(150+165)/2</f>
        <v>157.5</v>
      </c>
      <c r="G16" s="1202">
        <f>E16/C16</f>
        <v>0.72815013404825735</v>
      </c>
      <c r="J16" s="1184" t="s">
        <v>121</v>
      </c>
      <c r="K16" s="1189" t="s">
        <v>868</v>
      </c>
      <c r="L16" s="1190"/>
      <c r="M16" s="1203" t="s">
        <v>868</v>
      </c>
      <c r="N16" s="1190"/>
      <c r="O16" s="1187">
        <f>(150+165)/2</f>
        <v>157.5</v>
      </c>
    </row>
    <row r="17" spans="1:28" x14ac:dyDescent="0.3">
      <c r="A17" s="1184" t="s">
        <v>66</v>
      </c>
      <c r="B17" s="1185">
        <f>B6/F17</f>
        <v>807.10429447852766</v>
      </c>
      <c r="C17" s="1186">
        <f>C6/F17</f>
        <v>764.40490797546011</v>
      </c>
      <c r="D17" s="1185">
        <f>D6/F17</f>
        <v>674.04907975460128</v>
      </c>
      <c r="E17" s="1186">
        <f>E6/F17</f>
        <v>656.50306748466255</v>
      </c>
      <c r="F17" s="1191">
        <f>(86+77)/2</f>
        <v>81.5</v>
      </c>
      <c r="G17" s="1204">
        <f>E17/C17</f>
        <v>0.85884203598773656</v>
      </c>
      <c r="J17" s="1184" t="s">
        <v>66</v>
      </c>
      <c r="K17" s="1185">
        <f>K6/O17</f>
        <v>50.380368098159508</v>
      </c>
      <c r="L17" s="1186">
        <f>L6/O17</f>
        <v>50.319018404907979</v>
      </c>
      <c r="M17" s="1205">
        <f>M6/O17</f>
        <v>117.70552147239263</v>
      </c>
      <c r="N17" s="1186">
        <f>N6/O17</f>
        <v>122.58895705521472</v>
      </c>
      <c r="O17" s="1191">
        <f>(86+77)/2</f>
        <v>81.5</v>
      </c>
      <c r="P17" s="1206">
        <f>N17/L17</f>
        <v>2.4362350646183857</v>
      </c>
    </row>
    <row r="18" spans="1:28" x14ac:dyDescent="0.3">
      <c r="A18" s="1184" t="s">
        <v>67</v>
      </c>
      <c r="B18" s="1185">
        <f>B7/F18</f>
        <v>293.14799213704015</v>
      </c>
      <c r="C18" s="1186"/>
      <c r="D18" s="1185">
        <f>D7/F18</f>
        <v>351.91800056163999</v>
      </c>
      <c r="E18" s="1186"/>
      <c r="F18" s="1191">
        <f>(169.9+186.2)/2</f>
        <v>178.05</v>
      </c>
      <c r="G18" s="1206">
        <f>D18/B18</f>
        <v>1.2004789730817129</v>
      </c>
      <c r="J18" s="1184" t="s">
        <v>67</v>
      </c>
      <c r="K18" s="1185">
        <f>K7/O18</f>
        <v>77.028924459421503</v>
      </c>
      <c r="L18" s="1186"/>
      <c r="M18" s="1205">
        <f>M7/O18</f>
        <v>104.22914911541702</v>
      </c>
      <c r="N18" s="1186"/>
      <c r="O18" s="1191">
        <f>(169.9+186.2)/2</f>
        <v>178.05</v>
      </c>
      <c r="P18" s="1206">
        <f>M18/K18</f>
        <v>1.35311702515494</v>
      </c>
    </row>
    <row r="19" spans="1:28" x14ac:dyDescent="0.3">
      <c r="A19" s="1184" t="s">
        <v>63</v>
      </c>
      <c r="B19" s="1185">
        <v>698</v>
      </c>
      <c r="C19" s="1186"/>
      <c r="D19" s="1185"/>
      <c r="E19" s="1186"/>
      <c r="F19" s="1191">
        <v>199</v>
      </c>
      <c r="G19" s="1175">
        <v>1</v>
      </c>
      <c r="J19" s="1184" t="s">
        <v>63</v>
      </c>
      <c r="K19" s="1185">
        <v>26</v>
      </c>
      <c r="L19" s="1186"/>
      <c r="M19" s="1205" t="s">
        <v>868</v>
      </c>
      <c r="N19" s="1186"/>
      <c r="O19" s="1191">
        <v>199</v>
      </c>
      <c r="P19" s="1175">
        <v>1</v>
      </c>
    </row>
    <row r="20" spans="1:28" ht="14.5" thickBot="1" x14ac:dyDescent="0.35">
      <c r="A20" s="1179" t="s">
        <v>877</v>
      </c>
      <c r="B20" s="1207">
        <v>862</v>
      </c>
      <c r="C20" s="1208"/>
      <c r="D20" s="1207"/>
      <c r="E20" s="1208"/>
      <c r="F20" s="1200">
        <v>245</v>
      </c>
      <c r="G20" s="1175">
        <v>1</v>
      </c>
      <c r="J20" s="1179" t="s">
        <v>877</v>
      </c>
      <c r="K20" s="1207">
        <v>32</v>
      </c>
      <c r="L20" s="1208"/>
      <c r="M20" s="1201" t="s">
        <v>868</v>
      </c>
      <c r="N20" s="1208"/>
      <c r="O20" s="1200">
        <v>245</v>
      </c>
      <c r="P20" s="1175">
        <v>1</v>
      </c>
    </row>
    <row r="24" spans="1:28" ht="14.5" x14ac:dyDescent="0.35">
      <c r="A24"/>
    </row>
    <row r="25" spans="1:28" x14ac:dyDescent="0.3">
      <c r="A25" s="1174"/>
      <c r="B25" s="1174"/>
      <c r="C25" s="1174" t="s">
        <v>71</v>
      </c>
      <c r="D25" s="1174"/>
      <c r="E25" s="1174" t="s">
        <v>840</v>
      </c>
      <c r="F25" s="1174"/>
      <c r="G25" s="1174"/>
      <c r="J25" s="1174"/>
      <c r="K25" s="1174"/>
      <c r="L25" s="1174" t="s">
        <v>71</v>
      </c>
      <c r="M25" s="1174"/>
      <c r="N25" s="1174" t="s">
        <v>840</v>
      </c>
      <c r="O25" s="1174"/>
      <c r="P25" s="1174"/>
    </row>
    <row r="26" spans="1:28" ht="14.5" x14ac:dyDescent="0.35">
      <c r="A26" s="1174"/>
      <c r="B26" s="1174"/>
      <c r="C26" s="1174" t="s">
        <v>883</v>
      </c>
      <c r="D26" s="1174"/>
      <c r="E26" s="1174" t="s">
        <v>883</v>
      </c>
      <c r="F26" s="1174"/>
      <c r="G26" s="1174" t="s">
        <v>882</v>
      </c>
      <c r="J26" s="1174"/>
      <c r="K26" s="1174"/>
      <c r="L26" s="1174" t="s">
        <v>883</v>
      </c>
      <c r="M26" s="1174"/>
      <c r="N26" s="1174" t="s">
        <v>883</v>
      </c>
      <c r="O26" s="1174"/>
      <c r="P26" s="1174" t="s">
        <v>882</v>
      </c>
      <c r="R26" s="1175" t="s">
        <v>859</v>
      </c>
      <c r="AB26" t="s">
        <v>884</v>
      </c>
    </row>
    <row r="27" spans="1:28" ht="14.5" x14ac:dyDescent="0.35">
      <c r="A27" s="1175" t="s">
        <v>885</v>
      </c>
      <c r="C27" s="1209">
        <v>918</v>
      </c>
      <c r="D27" s="1209"/>
      <c r="E27" s="1209">
        <v>1102</v>
      </c>
      <c r="G27" s="1206">
        <f>E27/C27</f>
        <v>1.2004357298474946</v>
      </c>
      <c r="J27" s="1175" t="s">
        <v>885</v>
      </c>
      <c r="L27" s="1209">
        <v>43</v>
      </c>
      <c r="M27" s="1209"/>
      <c r="N27" s="1209">
        <v>95</v>
      </c>
      <c r="P27" s="1206">
        <f>N27/L27</f>
        <v>2.2093023255813953</v>
      </c>
      <c r="R27" s="1175" t="s">
        <v>886</v>
      </c>
      <c r="S27" s="1210" t="s">
        <v>887</v>
      </c>
    </row>
    <row r="28" spans="1:28" ht="14.5" x14ac:dyDescent="0.35">
      <c r="A28" s="1175" t="s">
        <v>64</v>
      </c>
      <c r="C28" s="1209">
        <v>7687</v>
      </c>
      <c r="D28" s="1209"/>
      <c r="E28" s="1209">
        <v>2377</v>
      </c>
      <c r="G28" s="1206">
        <f t="shared" ref="G28:G32" si="0">E28/C28</f>
        <v>0.30922336412124368</v>
      </c>
      <c r="J28" s="1175" t="s">
        <v>64</v>
      </c>
      <c r="L28" s="1209">
        <v>22</v>
      </c>
      <c r="M28" s="1209"/>
      <c r="N28" s="1209">
        <v>62</v>
      </c>
      <c r="P28" s="1206">
        <f t="shared" ref="P28:P32" si="1">N28/L28</f>
        <v>2.8181818181818183</v>
      </c>
      <c r="R28" s="1175" t="s">
        <v>888</v>
      </c>
      <c r="S28" s="1210" t="s">
        <v>887</v>
      </c>
    </row>
    <row r="29" spans="1:28" ht="14.5" x14ac:dyDescent="0.35">
      <c r="A29" s="1175" t="s">
        <v>121</v>
      </c>
      <c r="C29" s="1209">
        <v>1344</v>
      </c>
      <c r="D29" s="1209"/>
      <c r="E29" s="1209">
        <v>1147</v>
      </c>
      <c r="G29" s="1206">
        <f t="shared" si="0"/>
        <v>0.85342261904761907</v>
      </c>
      <c r="J29" s="1175" t="s">
        <v>121</v>
      </c>
      <c r="L29" s="1209">
        <v>34</v>
      </c>
      <c r="M29" s="1209"/>
      <c r="N29" s="1209">
        <v>74</v>
      </c>
      <c r="P29" s="1206">
        <f t="shared" si="1"/>
        <v>2.1764705882352939</v>
      </c>
      <c r="R29" s="1175" t="s">
        <v>889</v>
      </c>
      <c r="S29" s="1210" t="s">
        <v>887</v>
      </c>
    </row>
    <row r="30" spans="1:28" ht="14.5" x14ac:dyDescent="0.35">
      <c r="A30" s="1175" t="s">
        <v>67</v>
      </c>
      <c r="C30" s="1209">
        <v>518</v>
      </c>
      <c r="D30" s="1209"/>
      <c r="E30" s="1209">
        <v>481</v>
      </c>
      <c r="G30" s="1206">
        <f t="shared" si="0"/>
        <v>0.9285714285714286</v>
      </c>
      <c r="J30" s="1175" t="s">
        <v>67</v>
      </c>
      <c r="L30" s="1209">
        <v>104</v>
      </c>
      <c r="M30" s="1209"/>
      <c r="N30" s="1209">
        <v>147</v>
      </c>
      <c r="P30" s="1206">
        <f t="shared" si="1"/>
        <v>1.4134615384615385</v>
      </c>
      <c r="R30" s="1175" t="s">
        <v>890</v>
      </c>
      <c r="S30" s="1210" t="s">
        <v>887</v>
      </c>
    </row>
    <row r="31" spans="1:28" ht="14.5" x14ac:dyDescent="0.35">
      <c r="A31" s="1175" t="s">
        <v>66</v>
      </c>
      <c r="C31" s="1209">
        <v>635</v>
      </c>
      <c r="D31" s="1209"/>
      <c r="E31" s="1209">
        <v>622</v>
      </c>
      <c r="G31" s="1206">
        <f t="shared" si="0"/>
        <v>0.97952755905511812</v>
      </c>
      <c r="J31" s="1175" t="s">
        <v>66</v>
      </c>
      <c r="L31" s="1209">
        <v>46</v>
      </c>
      <c r="M31" s="1209"/>
      <c r="N31" s="1209">
        <v>126</v>
      </c>
      <c r="P31" s="1206">
        <f t="shared" si="1"/>
        <v>2.7391304347826089</v>
      </c>
      <c r="R31" s="1175" t="s">
        <v>891</v>
      </c>
      <c r="S31" s="1210" t="s">
        <v>887</v>
      </c>
    </row>
    <row r="32" spans="1:28" ht="14.5" x14ac:dyDescent="0.35">
      <c r="A32" s="1175" t="s">
        <v>68</v>
      </c>
      <c r="C32" s="1209">
        <v>720</v>
      </c>
      <c r="D32" s="1209"/>
      <c r="E32" s="1209">
        <v>753</v>
      </c>
      <c r="G32" s="1206">
        <f t="shared" si="0"/>
        <v>1.0458333333333334</v>
      </c>
      <c r="J32" s="1175" t="s">
        <v>68</v>
      </c>
      <c r="L32" s="1209">
        <v>49</v>
      </c>
      <c r="M32" s="1209"/>
      <c r="N32" s="1209">
        <v>118</v>
      </c>
      <c r="P32" s="1206">
        <f t="shared" si="1"/>
        <v>2.4081632653061225</v>
      </c>
      <c r="R32" s="1175" t="s">
        <v>892</v>
      </c>
      <c r="S32" s="1210" t="s">
        <v>887</v>
      </c>
    </row>
    <row r="35" spans="1:18" x14ac:dyDescent="0.3">
      <c r="A35" s="1175" t="s">
        <v>893</v>
      </c>
    </row>
    <row r="37" spans="1:18" x14ac:dyDescent="0.3">
      <c r="A37" s="1174"/>
      <c r="B37" s="1174"/>
      <c r="C37" s="1174" t="s">
        <v>71</v>
      </c>
      <c r="D37" s="1174"/>
      <c r="E37" s="1174" t="s">
        <v>840</v>
      </c>
      <c r="F37" s="1174"/>
      <c r="G37" s="1174"/>
      <c r="L37" s="1174" t="s">
        <v>71</v>
      </c>
      <c r="M37" s="1174"/>
      <c r="N37" s="1174" t="s">
        <v>840</v>
      </c>
    </row>
    <row r="38" spans="1:18" x14ac:dyDescent="0.3">
      <c r="A38" s="1174"/>
      <c r="B38" s="1174"/>
      <c r="C38" s="1174"/>
      <c r="D38" s="1174"/>
      <c r="E38" s="1174"/>
      <c r="F38" s="1174"/>
      <c r="G38" s="1174"/>
      <c r="L38" s="1174"/>
      <c r="M38" s="1174"/>
      <c r="N38" s="1174"/>
    </row>
    <row r="39" spans="1:18" x14ac:dyDescent="0.3">
      <c r="A39" s="1175" t="s">
        <v>885</v>
      </c>
      <c r="C39" s="1209">
        <f>B19</f>
        <v>698</v>
      </c>
      <c r="D39" s="1209"/>
      <c r="E39" s="1209">
        <f>C39*G27</f>
        <v>837.90413943355122</v>
      </c>
      <c r="G39" s="1206"/>
      <c r="J39" s="1175" t="s">
        <v>885</v>
      </c>
      <c r="L39" s="1209">
        <f>K20</f>
        <v>32</v>
      </c>
      <c r="M39" s="1209"/>
      <c r="N39" s="1209">
        <f>L39*P27</f>
        <v>70.697674418604649</v>
      </c>
    </row>
    <row r="40" spans="1:18" x14ac:dyDescent="0.3">
      <c r="A40" s="1175" t="s">
        <v>64</v>
      </c>
      <c r="C40" s="1211">
        <v>7687</v>
      </c>
      <c r="D40" s="1209"/>
      <c r="E40" s="1211">
        <v>2377</v>
      </c>
      <c r="G40" s="1175" t="s">
        <v>894</v>
      </c>
      <c r="J40" s="1175" t="s">
        <v>64</v>
      </c>
      <c r="L40" s="1211">
        <v>22</v>
      </c>
      <c r="M40" s="1209"/>
      <c r="N40" s="1211">
        <v>62</v>
      </c>
      <c r="R40" s="1175" t="s">
        <v>894</v>
      </c>
    </row>
    <row r="41" spans="1:18" x14ac:dyDescent="0.3">
      <c r="A41" s="1175" t="s">
        <v>121</v>
      </c>
      <c r="C41" s="1209">
        <f>C16</f>
        <v>1865</v>
      </c>
      <c r="D41" s="1209"/>
      <c r="E41" s="1209">
        <f>C41*G29</f>
        <v>1591.6331845238096</v>
      </c>
      <c r="G41" s="1206"/>
      <c r="J41" s="1175" t="s">
        <v>121</v>
      </c>
      <c r="L41" s="1211">
        <v>34</v>
      </c>
      <c r="M41" s="1209"/>
      <c r="N41" s="1211">
        <v>74</v>
      </c>
      <c r="R41" s="1175" t="s">
        <v>894</v>
      </c>
    </row>
    <row r="42" spans="1:18" x14ac:dyDescent="0.3">
      <c r="A42" s="1175" t="s">
        <v>67</v>
      </c>
      <c r="C42" s="1209">
        <f>B18</f>
        <v>293.14799213704015</v>
      </c>
      <c r="D42" s="1209"/>
      <c r="E42" s="1209">
        <f>C42*G30</f>
        <v>272.2088498415373</v>
      </c>
      <c r="G42" s="1206"/>
      <c r="J42" s="1175" t="s">
        <v>67</v>
      </c>
      <c r="L42" s="1209">
        <f>K18</f>
        <v>77.028924459421503</v>
      </c>
      <c r="M42" s="1209"/>
      <c r="N42" s="1209">
        <f>L42*P30</f>
        <v>108.87742207245155</v>
      </c>
    </row>
    <row r="43" spans="1:18" x14ac:dyDescent="0.3">
      <c r="A43" s="1175" t="s">
        <v>66</v>
      </c>
      <c r="C43" s="1209">
        <f>B17</f>
        <v>807.10429447852766</v>
      </c>
      <c r="D43" s="1209"/>
      <c r="E43" s="1209">
        <f>C43*G31</f>
        <v>790.58089947345547</v>
      </c>
      <c r="G43" s="1206"/>
      <c r="J43" s="1175" t="s">
        <v>66</v>
      </c>
      <c r="L43" s="1209">
        <f>K17</f>
        <v>50.380368098159508</v>
      </c>
      <c r="M43" s="1209"/>
      <c r="N43" s="1209">
        <f>L43*P31</f>
        <v>137.99839957321953</v>
      </c>
    </row>
    <row r="44" spans="1:18" x14ac:dyDescent="0.3">
      <c r="A44" s="1175" t="s">
        <v>68</v>
      </c>
      <c r="C44" s="1211">
        <v>720</v>
      </c>
      <c r="D44" s="1209"/>
      <c r="E44" s="1211">
        <v>753</v>
      </c>
      <c r="G44" s="1175" t="s">
        <v>894</v>
      </c>
      <c r="J44" s="1175" t="s">
        <v>68</v>
      </c>
      <c r="L44" s="1211">
        <v>49</v>
      </c>
      <c r="M44" s="1209"/>
      <c r="N44" s="1211">
        <v>118</v>
      </c>
      <c r="R44" s="1175" t="s">
        <v>894</v>
      </c>
    </row>
  </sheetData>
  <mergeCells count="8">
    <mergeCell ref="B3:C3"/>
    <mergeCell ref="D3:E3"/>
    <mergeCell ref="K3:L3"/>
    <mergeCell ref="M3:N3"/>
    <mergeCell ref="B14:C14"/>
    <mergeCell ref="D14:E14"/>
    <mergeCell ref="K14:L14"/>
    <mergeCell ref="M14:N14"/>
  </mergeCells>
  <hyperlinks>
    <hyperlink ref="G5" r:id="rId1" xr:uid="{3A8A0FBB-7D0C-489A-9F08-6E336A22E15D}"/>
    <hyperlink ref="P5" r:id="rId2" xr:uid="{71EDE161-7870-4C3E-9609-2A772CF121BD}"/>
    <hyperlink ref="S27" r:id="rId3" xr:uid="{2E5AD599-7F73-4295-BE7B-0F224A3B2B74}"/>
    <hyperlink ref="S28:S32" r:id="rId4" display="https://orgprints.org/id/eprint/29475/1/organic_farm_incomes_E%2BW_2013-14_Final.pdf" xr:uid="{9414A70B-0965-48F4-9AA8-6F00264D68D4}"/>
  </hyperlinks>
  <pageMargins left="0.7" right="0.7" top="0.75" bottom="0.75" header="0.3" footer="0.3"/>
  <pageSetup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C925-80C7-4703-AD3C-5A70C8060DE1}">
  <dimension ref="B2:L103"/>
  <sheetViews>
    <sheetView workbookViewId="0">
      <selection activeCell="H19" sqref="H19"/>
    </sheetView>
  </sheetViews>
  <sheetFormatPr defaultRowHeight="14.5" x14ac:dyDescent="0.35"/>
  <cols>
    <col min="2" max="3" width="28.453125" customWidth="1"/>
    <col min="4" max="5" width="49.81640625" customWidth="1"/>
    <col min="6" max="7" width="31.81640625" customWidth="1"/>
    <col min="8" max="9" width="41.453125" customWidth="1"/>
    <col min="10" max="11" width="30.26953125" customWidth="1"/>
    <col min="12" max="12" width="14" customWidth="1"/>
  </cols>
  <sheetData>
    <row r="2" spans="2:12" x14ac:dyDescent="0.35">
      <c r="B2" s="1235" t="s">
        <v>53</v>
      </c>
      <c r="C2" s="1235" t="s">
        <v>52</v>
      </c>
      <c r="D2" s="1235" t="s">
        <v>55</v>
      </c>
      <c r="E2" s="1235" t="s">
        <v>52</v>
      </c>
      <c r="F2" s="1235" t="s">
        <v>57</v>
      </c>
      <c r="G2" s="1235" t="s">
        <v>52</v>
      </c>
      <c r="H2" s="1235" t="s">
        <v>59</v>
      </c>
      <c r="I2" s="1235" t="s">
        <v>52</v>
      </c>
      <c r="J2" s="1301" t="s">
        <v>61</v>
      </c>
      <c r="K2" s="1235" t="s">
        <v>52</v>
      </c>
      <c r="L2" s="1235" t="s">
        <v>895</v>
      </c>
    </row>
    <row r="3" spans="2:12" x14ac:dyDescent="0.35">
      <c r="B3" s="1032" t="s">
        <v>54</v>
      </c>
      <c r="C3" s="1032" t="s">
        <v>896</v>
      </c>
      <c r="D3" s="1032" t="s">
        <v>56</v>
      </c>
      <c r="E3" s="1032" t="s">
        <v>897</v>
      </c>
      <c r="F3" s="1032" t="s">
        <v>58</v>
      </c>
      <c r="G3" s="1032" t="s">
        <v>898</v>
      </c>
      <c r="H3" s="1032" t="s">
        <v>60</v>
      </c>
      <c r="I3" s="1032" t="s">
        <v>899</v>
      </c>
      <c r="J3" s="1302" t="s">
        <v>900</v>
      </c>
      <c r="K3" s="1032" t="s">
        <v>901</v>
      </c>
      <c r="L3" s="1303">
        <v>0</v>
      </c>
    </row>
    <row r="4" spans="2:12" x14ac:dyDescent="0.35">
      <c r="B4" s="1032" t="s">
        <v>902</v>
      </c>
      <c r="C4" s="1032" t="s">
        <v>903</v>
      </c>
      <c r="D4" s="1032" t="s">
        <v>904</v>
      </c>
      <c r="E4" s="1032" t="s">
        <v>905</v>
      </c>
      <c r="F4" s="1032" t="s">
        <v>906</v>
      </c>
      <c r="G4" s="1032" t="s">
        <v>907</v>
      </c>
      <c r="H4" s="1237" t="str">
        <f>"+50%"</f>
        <v>+50%</v>
      </c>
      <c r="I4" s="1032" t="s">
        <v>908</v>
      </c>
      <c r="J4" s="1302" t="s">
        <v>62</v>
      </c>
      <c r="K4" s="1032" t="s">
        <v>909</v>
      </c>
      <c r="L4" s="1303">
        <v>1</v>
      </c>
    </row>
    <row r="5" spans="2:12" x14ac:dyDescent="0.35">
      <c r="B5" s="1032" t="s">
        <v>910</v>
      </c>
      <c r="C5" s="1032" t="s">
        <v>911</v>
      </c>
      <c r="D5" s="1032" t="s">
        <v>51</v>
      </c>
      <c r="E5" s="1032" t="s">
        <v>912</v>
      </c>
      <c r="F5" s="1032" t="s">
        <v>913</v>
      </c>
      <c r="G5" s="1032" t="s">
        <v>914</v>
      </c>
      <c r="H5" s="1237" t="str">
        <f>"+100%"</f>
        <v>+100%</v>
      </c>
      <c r="I5" s="1032" t="s">
        <v>915</v>
      </c>
      <c r="J5" s="1302" t="s">
        <v>916</v>
      </c>
      <c r="K5" s="1032" t="s">
        <v>917</v>
      </c>
      <c r="L5" s="1303">
        <v>2</v>
      </c>
    </row>
    <row r="6" spans="2:12" x14ac:dyDescent="0.35">
      <c r="B6" s="1032" t="s">
        <v>51</v>
      </c>
      <c r="C6" s="1032" t="s">
        <v>918</v>
      </c>
      <c r="F6" s="1032" t="s">
        <v>51</v>
      </c>
      <c r="G6" s="1032" t="s">
        <v>919</v>
      </c>
      <c r="H6" s="1032" t="s">
        <v>51</v>
      </c>
      <c r="I6" s="1032" t="s">
        <v>920</v>
      </c>
      <c r="J6" s="1302"/>
      <c r="K6" s="1032"/>
      <c r="L6" s="1303">
        <v>3</v>
      </c>
    </row>
    <row r="7" spans="2:12" x14ac:dyDescent="0.35">
      <c r="L7" s="1303">
        <v>4</v>
      </c>
    </row>
    <row r="8" spans="2:12" x14ac:dyDescent="0.35">
      <c r="L8" s="1303">
        <v>5</v>
      </c>
    </row>
    <row r="9" spans="2:12" x14ac:dyDescent="0.35">
      <c r="L9" s="1303">
        <v>6</v>
      </c>
    </row>
    <row r="10" spans="2:12" x14ac:dyDescent="0.35">
      <c r="L10" s="1303">
        <v>7</v>
      </c>
    </row>
    <row r="11" spans="2:12" x14ac:dyDescent="0.35">
      <c r="L11" s="1303">
        <v>8</v>
      </c>
    </row>
    <row r="12" spans="2:12" x14ac:dyDescent="0.35">
      <c r="L12" s="1303">
        <v>9</v>
      </c>
    </row>
    <row r="13" spans="2:12" x14ac:dyDescent="0.35">
      <c r="L13" s="1303">
        <v>10</v>
      </c>
    </row>
    <row r="14" spans="2:12" x14ac:dyDescent="0.35">
      <c r="L14" s="1303">
        <v>11</v>
      </c>
    </row>
    <row r="15" spans="2:12" x14ac:dyDescent="0.35">
      <c r="L15" s="1303">
        <v>12</v>
      </c>
    </row>
    <row r="16" spans="2:12" x14ac:dyDescent="0.35">
      <c r="L16" s="1303">
        <v>13</v>
      </c>
    </row>
    <row r="17" spans="12:12" x14ac:dyDescent="0.35">
      <c r="L17" s="1303">
        <v>14</v>
      </c>
    </row>
    <row r="18" spans="12:12" x14ac:dyDescent="0.35">
      <c r="L18" s="1303">
        <v>15</v>
      </c>
    </row>
    <row r="19" spans="12:12" x14ac:dyDescent="0.35">
      <c r="L19" s="1303">
        <v>16</v>
      </c>
    </row>
    <row r="20" spans="12:12" x14ac:dyDescent="0.35">
      <c r="L20" s="1303">
        <v>17</v>
      </c>
    </row>
    <row r="21" spans="12:12" x14ac:dyDescent="0.35">
      <c r="L21" s="1303">
        <v>18</v>
      </c>
    </row>
    <row r="22" spans="12:12" x14ac:dyDescent="0.35">
      <c r="L22" s="1303">
        <v>19</v>
      </c>
    </row>
    <row r="23" spans="12:12" x14ac:dyDescent="0.35">
      <c r="L23" s="1303">
        <v>20</v>
      </c>
    </row>
    <row r="24" spans="12:12" x14ac:dyDescent="0.35">
      <c r="L24" s="1303">
        <v>21</v>
      </c>
    </row>
    <row r="25" spans="12:12" x14ac:dyDescent="0.35">
      <c r="L25" s="1303">
        <v>22</v>
      </c>
    </row>
    <row r="26" spans="12:12" x14ac:dyDescent="0.35">
      <c r="L26" s="1303">
        <v>23</v>
      </c>
    </row>
    <row r="27" spans="12:12" x14ac:dyDescent="0.35">
      <c r="L27" s="1303">
        <v>24</v>
      </c>
    </row>
    <row r="28" spans="12:12" x14ac:dyDescent="0.35">
      <c r="L28" s="1303">
        <v>25</v>
      </c>
    </row>
    <row r="29" spans="12:12" x14ac:dyDescent="0.35">
      <c r="L29" s="1303">
        <v>26</v>
      </c>
    </row>
    <row r="30" spans="12:12" x14ac:dyDescent="0.35">
      <c r="L30" s="1303">
        <v>27</v>
      </c>
    </row>
    <row r="31" spans="12:12" x14ac:dyDescent="0.35">
      <c r="L31" s="1303">
        <v>28</v>
      </c>
    </row>
    <row r="32" spans="12:12" x14ac:dyDescent="0.35">
      <c r="L32" s="1303">
        <v>29</v>
      </c>
    </row>
    <row r="33" spans="12:12" x14ac:dyDescent="0.35">
      <c r="L33" s="1303">
        <v>30</v>
      </c>
    </row>
    <row r="34" spans="12:12" x14ac:dyDescent="0.35">
      <c r="L34" s="1303">
        <v>31</v>
      </c>
    </row>
    <row r="35" spans="12:12" x14ac:dyDescent="0.35">
      <c r="L35" s="1303">
        <v>32</v>
      </c>
    </row>
    <row r="36" spans="12:12" x14ac:dyDescent="0.35">
      <c r="L36" s="1303">
        <v>33</v>
      </c>
    </row>
    <row r="37" spans="12:12" x14ac:dyDescent="0.35">
      <c r="L37" s="1303">
        <v>34</v>
      </c>
    </row>
    <row r="38" spans="12:12" x14ac:dyDescent="0.35">
      <c r="L38" s="1303">
        <v>35</v>
      </c>
    </row>
    <row r="39" spans="12:12" x14ac:dyDescent="0.35">
      <c r="L39" s="1303">
        <v>36</v>
      </c>
    </row>
    <row r="40" spans="12:12" x14ac:dyDescent="0.35">
      <c r="L40" s="1303">
        <v>37</v>
      </c>
    </row>
    <row r="41" spans="12:12" x14ac:dyDescent="0.35">
      <c r="L41" s="1303">
        <v>38</v>
      </c>
    </row>
    <row r="42" spans="12:12" x14ac:dyDescent="0.35">
      <c r="L42" s="1303">
        <v>39</v>
      </c>
    </row>
    <row r="43" spans="12:12" x14ac:dyDescent="0.35">
      <c r="L43" s="1303">
        <v>40</v>
      </c>
    </row>
    <row r="44" spans="12:12" x14ac:dyDescent="0.35">
      <c r="L44" s="1303">
        <v>41</v>
      </c>
    </row>
    <row r="45" spans="12:12" x14ac:dyDescent="0.35">
      <c r="L45" s="1303">
        <v>42</v>
      </c>
    </row>
    <row r="46" spans="12:12" x14ac:dyDescent="0.35">
      <c r="L46" s="1303">
        <v>43</v>
      </c>
    </row>
    <row r="47" spans="12:12" x14ac:dyDescent="0.35">
      <c r="L47" s="1303">
        <v>44</v>
      </c>
    </row>
    <row r="48" spans="12:12" x14ac:dyDescent="0.35">
      <c r="L48" s="1303">
        <v>45</v>
      </c>
    </row>
    <row r="49" spans="12:12" x14ac:dyDescent="0.35">
      <c r="L49" s="1303">
        <v>46</v>
      </c>
    </row>
    <row r="50" spans="12:12" x14ac:dyDescent="0.35">
      <c r="L50" s="1303">
        <v>47</v>
      </c>
    </row>
    <row r="51" spans="12:12" x14ac:dyDescent="0.35">
      <c r="L51" s="1303">
        <v>48</v>
      </c>
    </row>
    <row r="52" spans="12:12" x14ac:dyDescent="0.35">
      <c r="L52" s="1303">
        <v>49</v>
      </c>
    </row>
    <row r="53" spans="12:12" x14ac:dyDescent="0.35">
      <c r="L53" s="1303">
        <v>50</v>
      </c>
    </row>
    <row r="54" spans="12:12" x14ac:dyDescent="0.35">
      <c r="L54" s="1303">
        <v>51</v>
      </c>
    </row>
    <row r="55" spans="12:12" x14ac:dyDescent="0.35">
      <c r="L55" s="1303">
        <v>52</v>
      </c>
    </row>
    <row r="56" spans="12:12" x14ac:dyDescent="0.35">
      <c r="L56" s="1303">
        <v>53</v>
      </c>
    </row>
    <row r="57" spans="12:12" x14ac:dyDescent="0.35">
      <c r="L57" s="1303">
        <v>54</v>
      </c>
    </row>
    <row r="58" spans="12:12" x14ac:dyDescent="0.35">
      <c r="L58" s="1303">
        <v>55</v>
      </c>
    </row>
    <row r="59" spans="12:12" x14ac:dyDescent="0.35">
      <c r="L59" s="1303">
        <v>56</v>
      </c>
    </row>
    <row r="60" spans="12:12" x14ac:dyDescent="0.35">
      <c r="L60" s="1303">
        <v>57</v>
      </c>
    </row>
    <row r="61" spans="12:12" x14ac:dyDescent="0.35">
      <c r="L61" s="1303">
        <v>58</v>
      </c>
    </row>
    <row r="62" spans="12:12" x14ac:dyDescent="0.35">
      <c r="L62" s="1303">
        <v>59</v>
      </c>
    </row>
    <row r="63" spans="12:12" x14ac:dyDescent="0.35">
      <c r="L63" s="1303">
        <v>60</v>
      </c>
    </row>
    <row r="64" spans="12:12" x14ac:dyDescent="0.35">
      <c r="L64" s="1303">
        <v>61</v>
      </c>
    </row>
    <row r="65" spans="12:12" x14ac:dyDescent="0.35">
      <c r="L65" s="1303">
        <v>62</v>
      </c>
    </row>
    <row r="66" spans="12:12" x14ac:dyDescent="0.35">
      <c r="L66" s="1303">
        <v>63</v>
      </c>
    </row>
    <row r="67" spans="12:12" x14ac:dyDescent="0.35">
      <c r="L67" s="1303">
        <v>64</v>
      </c>
    </row>
    <row r="68" spans="12:12" x14ac:dyDescent="0.35">
      <c r="L68" s="1303">
        <v>65</v>
      </c>
    </row>
    <row r="69" spans="12:12" x14ac:dyDescent="0.35">
      <c r="L69" s="1303">
        <v>66</v>
      </c>
    </row>
    <row r="70" spans="12:12" x14ac:dyDescent="0.35">
      <c r="L70" s="1303">
        <v>67</v>
      </c>
    </row>
    <row r="71" spans="12:12" x14ac:dyDescent="0.35">
      <c r="L71" s="1303">
        <v>68</v>
      </c>
    </row>
    <row r="72" spans="12:12" x14ac:dyDescent="0.35">
      <c r="L72" s="1303">
        <v>69</v>
      </c>
    </row>
    <row r="73" spans="12:12" x14ac:dyDescent="0.35">
      <c r="L73" s="1303">
        <v>70</v>
      </c>
    </row>
    <row r="74" spans="12:12" x14ac:dyDescent="0.35">
      <c r="L74" s="1303">
        <v>71</v>
      </c>
    </row>
    <row r="75" spans="12:12" x14ac:dyDescent="0.35">
      <c r="L75" s="1303">
        <v>72</v>
      </c>
    </row>
    <row r="76" spans="12:12" x14ac:dyDescent="0.35">
      <c r="L76" s="1303">
        <v>73</v>
      </c>
    </row>
    <row r="77" spans="12:12" x14ac:dyDescent="0.35">
      <c r="L77" s="1303">
        <v>74</v>
      </c>
    </row>
    <row r="78" spans="12:12" x14ac:dyDescent="0.35">
      <c r="L78" s="1303">
        <v>75</v>
      </c>
    </row>
    <row r="79" spans="12:12" x14ac:dyDescent="0.35">
      <c r="L79" s="1303">
        <v>76</v>
      </c>
    </row>
    <row r="80" spans="12:12" x14ac:dyDescent="0.35">
      <c r="L80" s="1303">
        <v>77</v>
      </c>
    </row>
    <row r="81" spans="12:12" x14ac:dyDescent="0.35">
      <c r="L81" s="1303">
        <v>78</v>
      </c>
    </row>
    <row r="82" spans="12:12" x14ac:dyDescent="0.35">
      <c r="L82" s="1303">
        <v>79</v>
      </c>
    </row>
    <row r="83" spans="12:12" x14ac:dyDescent="0.35">
      <c r="L83" s="1303">
        <v>80</v>
      </c>
    </row>
    <row r="84" spans="12:12" x14ac:dyDescent="0.35">
      <c r="L84" s="1303">
        <v>81</v>
      </c>
    </row>
    <row r="85" spans="12:12" x14ac:dyDescent="0.35">
      <c r="L85" s="1303">
        <v>82</v>
      </c>
    </row>
    <row r="86" spans="12:12" x14ac:dyDescent="0.35">
      <c r="L86" s="1303">
        <v>83</v>
      </c>
    </row>
    <row r="87" spans="12:12" x14ac:dyDescent="0.35">
      <c r="L87" s="1303">
        <v>84</v>
      </c>
    </row>
    <row r="88" spans="12:12" x14ac:dyDescent="0.35">
      <c r="L88" s="1303">
        <v>85</v>
      </c>
    </row>
    <row r="89" spans="12:12" x14ac:dyDescent="0.35">
      <c r="L89" s="1303">
        <v>86</v>
      </c>
    </row>
    <row r="90" spans="12:12" x14ac:dyDescent="0.35">
      <c r="L90" s="1303">
        <v>87</v>
      </c>
    </row>
    <row r="91" spans="12:12" x14ac:dyDescent="0.35">
      <c r="L91" s="1303">
        <v>88</v>
      </c>
    </row>
    <row r="92" spans="12:12" x14ac:dyDescent="0.35">
      <c r="L92" s="1303">
        <v>89</v>
      </c>
    </row>
    <row r="93" spans="12:12" x14ac:dyDescent="0.35">
      <c r="L93" s="1303">
        <v>90</v>
      </c>
    </row>
    <row r="94" spans="12:12" x14ac:dyDescent="0.35">
      <c r="L94" s="1303">
        <v>91</v>
      </c>
    </row>
    <row r="95" spans="12:12" x14ac:dyDescent="0.35">
      <c r="L95" s="1303">
        <v>92</v>
      </c>
    </row>
    <row r="96" spans="12:12" x14ac:dyDescent="0.35">
      <c r="L96" s="1303">
        <v>93</v>
      </c>
    </row>
    <row r="97" spans="12:12" x14ac:dyDescent="0.35">
      <c r="L97" s="1303">
        <v>94</v>
      </c>
    </row>
    <row r="98" spans="12:12" x14ac:dyDescent="0.35">
      <c r="L98" s="1303">
        <v>95</v>
      </c>
    </row>
    <row r="99" spans="12:12" x14ac:dyDescent="0.35">
      <c r="L99" s="1303">
        <v>96</v>
      </c>
    </row>
    <row r="100" spans="12:12" x14ac:dyDescent="0.35">
      <c r="L100" s="1303">
        <v>97</v>
      </c>
    </row>
    <row r="101" spans="12:12" x14ac:dyDescent="0.35">
      <c r="L101" s="1303">
        <v>98</v>
      </c>
    </row>
    <row r="102" spans="12:12" x14ac:dyDescent="0.35">
      <c r="L102" s="1303">
        <v>99</v>
      </c>
    </row>
    <row r="103" spans="12:12" x14ac:dyDescent="0.35">
      <c r="L103" s="1303">
        <v>100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FA42-F162-434B-B56D-B5786FEEDBCD}">
  <dimension ref="A2:E17"/>
  <sheetViews>
    <sheetView showGridLines="0" showRowColHeaders="0" tabSelected="1" workbookViewId="0"/>
  </sheetViews>
  <sheetFormatPr defaultRowHeight="14.5" x14ac:dyDescent="0.35"/>
  <cols>
    <col min="1" max="1" width="5.54296875" style="1270" customWidth="1"/>
    <col min="2" max="2" width="6.453125" style="1270" customWidth="1"/>
    <col min="3" max="3" width="29.81640625" style="1270" customWidth="1"/>
    <col min="4" max="4" width="145.1796875" style="1270" customWidth="1"/>
    <col min="5" max="5" width="7.1796875" style="1270" customWidth="1"/>
  </cols>
  <sheetData>
    <row r="2" spans="2:5" x14ac:dyDescent="0.35">
      <c r="B2" s="1402"/>
      <c r="C2" s="1402"/>
      <c r="D2" s="1402"/>
      <c r="E2" s="1402"/>
    </row>
    <row r="3" spans="2:5" ht="21" x14ac:dyDescent="0.35">
      <c r="B3" s="1402"/>
      <c r="C3" s="1404" t="s">
        <v>33</v>
      </c>
      <c r="D3" s="1402"/>
      <c r="E3" s="1402"/>
    </row>
    <row r="4" spans="2:5" x14ac:dyDescent="0.35">
      <c r="B4" s="1402"/>
      <c r="C4" s="1405" t="s">
        <v>13</v>
      </c>
      <c r="D4" s="1402"/>
      <c r="E4" s="1402"/>
    </row>
    <row r="5" spans="2:5" x14ac:dyDescent="0.35">
      <c r="B5" s="1402"/>
      <c r="C5" s="1432" t="s">
        <v>34</v>
      </c>
      <c r="D5" s="1432"/>
      <c r="E5" s="1402"/>
    </row>
    <row r="6" spans="2:5" ht="51.75" customHeight="1" x14ac:dyDescent="0.35">
      <c r="B6" s="1402"/>
      <c r="C6" s="1431" t="s">
        <v>35</v>
      </c>
      <c r="D6" s="1432"/>
      <c r="E6" s="1402"/>
    </row>
    <row r="7" spans="2:5" ht="36" customHeight="1" x14ac:dyDescent="0.35">
      <c r="B7" s="1402"/>
      <c r="C7" s="1431" t="s">
        <v>36</v>
      </c>
      <c r="D7" s="1431"/>
      <c r="E7" s="1402"/>
    </row>
    <row r="8" spans="2:5" ht="43.5" customHeight="1" x14ac:dyDescent="0.35">
      <c r="B8" s="1402"/>
      <c r="C8" s="1431" t="s">
        <v>37</v>
      </c>
      <c r="D8" s="1431"/>
      <c r="E8" s="1402"/>
    </row>
    <row r="9" spans="2:5" ht="21" customHeight="1" x14ac:dyDescent="0.35">
      <c r="B9" s="1402"/>
      <c r="C9" s="1431" t="s">
        <v>38</v>
      </c>
      <c r="D9" s="1431"/>
      <c r="E9" s="1402"/>
    </row>
    <row r="10" spans="2:5" ht="131.25" customHeight="1" x14ac:dyDescent="0.35">
      <c r="B10" s="1402"/>
      <c r="C10" s="1431" t="s">
        <v>39</v>
      </c>
      <c r="D10" s="1431"/>
      <c r="E10" s="1402"/>
    </row>
    <row r="11" spans="2:5" x14ac:dyDescent="0.35">
      <c r="B11" s="1402"/>
      <c r="C11" s="1405"/>
      <c r="D11" s="1402"/>
      <c r="E11" s="1402"/>
    </row>
    <row r="12" spans="2:5" x14ac:dyDescent="0.35">
      <c r="B12" s="1402"/>
      <c r="C12" s="1432" t="s">
        <v>40</v>
      </c>
      <c r="D12" s="1432"/>
      <c r="E12" s="1402"/>
    </row>
    <row r="13" spans="2:5" ht="25.5" customHeight="1" x14ac:dyDescent="0.35">
      <c r="B13" s="1402"/>
      <c r="C13" s="1431" t="s">
        <v>41</v>
      </c>
      <c r="D13" s="1431"/>
      <c r="E13" s="1402"/>
    </row>
    <row r="14" spans="2:5" ht="39" customHeight="1" x14ac:dyDescent="0.35">
      <c r="B14" s="1402"/>
      <c r="C14" s="1431" t="s">
        <v>42</v>
      </c>
      <c r="D14" s="1431"/>
      <c r="E14" s="1402"/>
    </row>
    <row r="15" spans="2:5" ht="54.75" customHeight="1" x14ac:dyDescent="0.35">
      <c r="B15" s="1402"/>
      <c r="C15" s="1431" t="s">
        <v>43</v>
      </c>
      <c r="D15" s="1431"/>
      <c r="E15" s="1402"/>
    </row>
    <row r="16" spans="2:5" ht="59.25" customHeight="1" x14ac:dyDescent="0.35">
      <c r="B16" s="1402"/>
      <c r="C16" s="1431" t="s">
        <v>44</v>
      </c>
      <c r="D16" s="1431"/>
      <c r="E16" s="1402"/>
    </row>
    <row r="17" spans="2:5" x14ac:dyDescent="0.35">
      <c r="B17" s="1402"/>
      <c r="C17" s="1402"/>
      <c r="D17" s="1402"/>
      <c r="E17" s="1402"/>
    </row>
  </sheetData>
  <sheetProtection algorithmName="SHA-512" hashValue="FPU9MF1OBLT8IcmB7PWXQwp2F9N+6IXI45EAGPxiC1k5ZonuCGkemryCud5pGazQpdh4mYCXymoA6HUaFlUZJg==" saltValue="7k1QbT63D2kf+61ErsVAzg==" spinCount="100000" sheet="1" objects="1" scenarios="1"/>
  <mergeCells count="11">
    <mergeCell ref="C15:D15"/>
    <mergeCell ref="C14:D14"/>
    <mergeCell ref="C16:D16"/>
    <mergeCell ref="C13:D13"/>
    <mergeCell ref="C5:D5"/>
    <mergeCell ref="C8:D8"/>
    <mergeCell ref="C9:D9"/>
    <mergeCell ref="C10:D10"/>
    <mergeCell ref="C12:D12"/>
    <mergeCell ref="C6:D6"/>
    <mergeCell ref="C7:D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4CE7-4B15-4945-A4B9-784354A9FBE1}">
  <dimension ref="A2:N98"/>
  <sheetViews>
    <sheetView workbookViewId="0"/>
  </sheetViews>
  <sheetFormatPr defaultRowHeight="14.5" x14ac:dyDescent="0.35"/>
  <cols>
    <col min="1" max="1" width="68.54296875" customWidth="1"/>
    <col min="2" max="2" width="16.1796875" customWidth="1"/>
    <col min="3" max="3" width="23.1796875" customWidth="1"/>
    <col min="4" max="4" width="18.453125" customWidth="1"/>
    <col min="5" max="5" width="16.54296875" customWidth="1"/>
    <col min="6" max="6" width="18.81640625" customWidth="1"/>
    <col min="7" max="7" width="19.54296875" customWidth="1"/>
    <col min="8" max="9" width="21" customWidth="1"/>
    <col min="10" max="11" width="19.1796875" customWidth="1"/>
    <col min="12" max="12" width="23.453125" customWidth="1"/>
    <col min="13" max="13" width="18.1796875" customWidth="1"/>
  </cols>
  <sheetData>
    <row r="2" spans="1:1" x14ac:dyDescent="0.35">
      <c r="A2" t="s">
        <v>921</v>
      </c>
    </row>
    <row r="37" spans="1:14" ht="15" thickBot="1" x14ac:dyDescent="0.4"/>
    <row r="38" spans="1:14" x14ac:dyDescent="0.35">
      <c r="A38" s="1515" t="s">
        <v>922</v>
      </c>
      <c r="B38" s="1519" t="s">
        <v>63</v>
      </c>
      <c r="C38" s="1519"/>
      <c r="D38" s="1519"/>
      <c r="E38" s="1519" t="s">
        <v>64</v>
      </c>
      <c r="F38" s="1519"/>
      <c r="G38" s="1519" t="s">
        <v>121</v>
      </c>
      <c r="H38" s="1519"/>
      <c r="I38" s="1519" t="s">
        <v>923</v>
      </c>
      <c r="J38" s="1519"/>
      <c r="K38" s="1519" t="s">
        <v>785</v>
      </c>
      <c r="L38" s="1520"/>
    </row>
    <row r="39" spans="1:14" x14ac:dyDescent="0.35">
      <c r="A39" s="1516"/>
      <c r="B39" s="1146" t="s">
        <v>196</v>
      </c>
      <c r="C39" s="1146" t="s">
        <v>924</v>
      </c>
      <c r="D39" s="1146" t="s">
        <v>925</v>
      </c>
      <c r="E39" s="1146" t="s">
        <v>196</v>
      </c>
      <c r="F39" s="1146" t="s">
        <v>74</v>
      </c>
      <c r="G39" s="1146" t="s">
        <v>196</v>
      </c>
      <c r="H39" s="1146" t="s">
        <v>74</v>
      </c>
      <c r="I39" s="1146" t="s">
        <v>196</v>
      </c>
      <c r="J39" s="1146" t="s">
        <v>74</v>
      </c>
      <c r="K39" s="1146" t="s">
        <v>196</v>
      </c>
      <c r="L39" s="1152" t="s">
        <v>74</v>
      </c>
    </row>
    <row r="40" spans="1:14" x14ac:dyDescent="0.35">
      <c r="A40" s="1147" t="s">
        <v>141</v>
      </c>
      <c r="B40" s="1141">
        <f>'Farm Typologies (org prem)'!C4</f>
        <v>175</v>
      </c>
      <c r="C40" s="1141">
        <f>'Farm Typologies (org prem)'!D4</f>
        <v>175</v>
      </c>
      <c r="D40" s="1141">
        <f>'Farm Typologies (org prem)'!E4</f>
        <v>175</v>
      </c>
      <c r="E40" s="1141">
        <f>'Farm Typologies (org prem)'!F4</f>
        <v>26</v>
      </c>
      <c r="F40" s="1141">
        <f>'Farm Typologies (org prem)'!G4</f>
        <v>26</v>
      </c>
      <c r="G40" s="1141">
        <f>'Farm Typologies (org prem)'!H4</f>
        <v>147</v>
      </c>
      <c r="H40" s="1141">
        <f>'Farm Typologies (org prem)'!I4</f>
        <v>147</v>
      </c>
      <c r="I40" s="1141">
        <f>'Farm Typologies (org prem)'!J4</f>
        <v>84</v>
      </c>
      <c r="J40" s="1141">
        <f>'Farm Typologies (org prem)'!K4</f>
        <v>84</v>
      </c>
      <c r="K40" s="1141">
        <f>'Farm Typologies (org prem)'!L4</f>
        <v>170</v>
      </c>
      <c r="L40" s="1148">
        <f>'Farm Typologies (org prem)'!M4</f>
        <v>170</v>
      </c>
    </row>
    <row r="41" spans="1:14" x14ac:dyDescent="0.35">
      <c r="A41" s="1147" t="s">
        <v>926</v>
      </c>
      <c r="B41" s="1141">
        <f>SUM('Farm Typologies (org prem)'!C6:C8)</f>
        <v>26.25</v>
      </c>
      <c r="C41" s="1141">
        <f>SUM('Farm Typologies (org prem)'!D6:D8)</f>
        <v>52.33</v>
      </c>
      <c r="D41" s="1141">
        <f>SUM('Farm Typologies (org prem)'!E6:E8)</f>
        <v>78.5</v>
      </c>
      <c r="E41" s="1141">
        <f>SUM('Farm Typologies (org prem)'!F6:F8)</f>
        <v>0</v>
      </c>
      <c r="F41" s="1141">
        <f>SUM('Farm Typologies (org prem)'!G6:G8)</f>
        <v>7</v>
      </c>
      <c r="G41" s="1141">
        <f>SUM('Farm Typologies (org prem)'!H6:H8)</f>
        <v>88.2</v>
      </c>
      <c r="H41" s="1141">
        <f>SUM('Farm Typologies (org prem)'!I6:I8)</f>
        <v>106</v>
      </c>
      <c r="I41" s="1141">
        <f>SUM('Farm Typologies (org prem)'!J6:J8)</f>
        <v>69.216000000000008</v>
      </c>
      <c r="J41" s="1141">
        <f>SUM('Farm Typologies (org prem)'!K6:K8)</f>
        <v>76</v>
      </c>
      <c r="K41" s="1141">
        <f>SUM('Farm Typologies (org prem)'!L6:L8)</f>
        <v>164.89999999999998</v>
      </c>
      <c r="L41" s="1148">
        <f>SUM('Farm Typologies (org prem)'!M6:M8)</f>
        <v>165.2</v>
      </c>
    </row>
    <row r="42" spans="1:14" x14ac:dyDescent="0.35">
      <c r="A42" s="1147" t="s">
        <v>79</v>
      </c>
      <c r="B42" s="1141">
        <v>26.25</v>
      </c>
      <c r="C42" s="1141">
        <v>52.33</v>
      </c>
      <c r="D42" s="1141">
        <v>78.5</v>
      </c>
      <c r="E42" s="1141">
        <v>0</v>
      </c>
      <c r="F42" s="1141">
        <v>7</v>
      </c>
      <c r="G42" s="1141">
        <v>88.2</v>
      </c>
      <c r="H42" s="1141">
        <v>106</v>
      </c>
      <c r="I42" s="1141">
        <v>68.040000000000006</v>
      </c>
      <c r="J42" s="1141">
        <v>76</v>
      </c>
      <c r="K42" s="1141">
        <v>95.2</v>
      </c>
      <c r="L42" s="1148">
        <v>34.5</v>
      </c>
      <c r="M42">
        <v>41.4</v>
      </c>
      <c r="N42">
        <v>36</v>
      </c>
    </row>
    <row r="43" spans="1:14" x14ac:dyDescent="0.35">
      <c r="A43" s="1147" t="s">
        <v>81</v>
      </c>
      <c r="B43" s="1141">
        <v>0</v>
      </c>
      <c r="C43" s="1141">
        <v>0</v>
      </c>
      <c r="D43" s="1141">
        <v>0</v>
      </c>
      <c r="E43" s="1141">
        <v>0</v>
      </c>
      <c r="F43" s="1141">
        <v>0</v>
      </c>
      <c r="G43" s="1141">
        <v>0</v>
      </c>
      <c r="H43" s="1141">
        <v>0</v>
      </c>
      <c r="I43" s="1141">
        <v>1.1759999999999999</v>
      </c>
      <c r="J43" s="1141">
        <v>0</v>
      </c>
      <c r="K43" s="1141">
        <v>42.5</v>
      </c>
      <c r="L43" s="1148">
        <v>103.5</v>
      </c>
      <c r="M43">
        <v>0</v>
      </c>
      <c r="N43">
        <v>0</v>
      </c>
    </row>
    <row r="44" spans="1:14" x14ac:dyDescent="0.35">
      <c r="A44" s="1147" t="s">
        <v>82</v>
      </c>
      <c r="B44" s="1141">
        <v>0</v>
      </c>
      <c r="C44" s="1141">
        <v>0</v>
      </c>
      <c r="D44" s="1141">
        <v>0</v>
      </c>
      <c r="E44" s="1141">
        <v>0</v>
      </c>
      <c r="F44" s="1141">
        <v>0</v>
      </c>
      <c r="G44" s="1141">
        <v>0</v>
      </c>
      <c r="H44" s="1141">
        <v>0</v>
      </c>
      <c r="I44" s="1141">
        <v>0</v>
      </c>
      <c r="J44" s="1141">
        <v>0</v>
      </c>
      <c r="K44" s="1141">
        <v>27.2</v>
      </c>
      <c r="L44" s="1148">
        <v>27.2</v>
      </c>
      <c r="M44">
        <v>0</v>
      </c>
      <c r="N44">
        <v>0</v>
      </c>
    </row>
    <row r="45" spans="1:14" x14ac:dyDescent="0.35">
      <c r="A45" s="1147" t="s">
        <v>927</v>
      </c>
      <c r="B45" s="1141">
        <f>'Farm Typologies (org prem)'!C9</f>
        <v>143.5</v>
      </c>
      <c r="C45" s="1141">
        <f>'Farm Typologies (org prem)'!D9</f>
        <v>104.7</v>
      </c>
      <c r="D45" s="1141">
        <f>'Farm Typologies (org prem)'!E9</f>
        <v>78</v>
      </c>
      <c r="E45" s="1141">
        <f>'Farm Typologies (org prem)'!F9</f>
        <v>25</v>
      </c>
      <c r="F45" s="1141">
        <f>'Farm Typologies (org prem)'!G9</f>
        <v>17.5</v>
      </c>
      <c r="G45" s="1141">
        <f>'Farm Typologies (org prem)'!H9</f>
        <v>44.1</v>
      </c>
      <c r="H45" s="1141">
        <f>'Farm Typologies (org prem)'!I9</f>
        <v>26</v>
      </c>
      <c r="I45" s="1141">
        <f>'Farm Typologies (org prem)'!J9</f>
        <v>12.6</v>
      </c>
      <c r="J45" s="1141">
        <f>'Farm Typologies (org prem)'!K9</f>
        <v>0</v>
      </c>
      <c r="K45" s="1141">
        <f>'Farm Typologies (org prem)'!L9</f>
        <v>0</v>
      </c>
      <c r="L45" s="1148">
        <f>'Farm Typologies (org prem)'!M9</f>
        <v>0</v>
      </c>
    </row>
    <row r="46" spans="1:14" x14ac:dyDescent="0.35">
      <c r="A46" s="1147" t="s">
        <v>928</v>
      </c>
      <c r="B46" s="1139">
        <f>'Farm Typologies (org prem)'!C43</f>
        <v>35475.258446773107</v>
      </c>
      <c r="C46" s="1139">
        <f>'Farm Typologies (org prem)'!D43</f>
        <v>35102.751530669746</v>
      </c>
      <c r="D46" s="1139">
        <f>'Farm Typologies (org prem)'!E43</f>
        <v>41032.965205494838</v>
      </c>
      <c r="E46" s="1139">
        <f>'Farm Typologies (org prem)'!F43</f>
        <v>11003.315156586563</v>
      </c>
      <c r="F46" s="1139">
        <f>'Farm Typologies (org prem)'!G43</f>
        <v>29046.146499999995</v>
      </c>
      <c r="G46" s="1139" t="e">
        <f>'Farm Typologies (org prem)'!H43</f>
        <v>#DIV/0!</v>
      </c>
      <c r="H46" s="1139" t="e">
        <f>'Farm Typologies (org prem)'!I43</f>
        <v>#DIV/0!</v>
      </c>
      <c r="I46" s="1139">
        <f>'Farm Typologies (org prem)'!J43</f>
        <v>-18821.590465700108</v>
      </c>
      <c r="J46" s="1139">
        <f>'Farm Typologies (org prem)'!K43</f>
        <v>8704.7024617391289</v>
      </c>
      <c r="K46" s="1139">
        <f>'Farm Typologies (org prem)'!L43</f>
        <v>1526.5158296705849</v>
      </c>
      <c r="L46" s="1149">
        <f>'Farm Typologies (org prem)'!M43</f>
        <v>13774.025549649123</v>
      </c>
    </row>
    <row r="47" spans="1:14" x14ac:dyDescent="0.35">
      <c r="A47" s="1147" t="s">
        <v>929</v>
      </c>
      <c r="B47" s="1139">
        <f>'Farm Typologies (org prem)'!C13</f>
        <v>178829.54851796073</v>
      </c>
      <c r="C47" s="1139">
        <f>'Farm Typologies (org prem)'!D13</f>
        <v>122858.96341666665</v>
      </c>
      <c r="D47" s="1139">
        <f>'Farm Typologies (org prem)'!E13</f>
        <v>96622.578333333324</v>
      </c>
      <c r="E47" s="1139">
        <f>'Farm Typologies (org prem)'!F13</f>
        <v>47879.782170199105</v>
      </c>
      <c r="F47" s="1139">
        <f>'Farm Typologies (org prem)'!G13</f>
        <v>77713.474999999991</v>
      </c>
      <c r="G47" s="1139">
        <f>'Farm Typologies (org prem)'!H13</f>
        <v>54957.37344698306</v>
      </c>
      <c r="H47" s="1139">
        <f>'Farm Typologies (org prem)'!I13</f>
        <v>22805.25</v>
      </c>
      <c r="I47" s="1139">
        <f>'Farm Typologies (org prem)'!J13</f>
        <v>15702.106699138016</v>
      </c>
      <c r="J47" s="1139">
        <f>'Farm Typologies (org prem)'!K13</f>
        <v>0</v>
      </c>
      <c r="K47" s="1139">
        <f>'Farm Typologies (org prem)'!L13</f>
        <v>0</v>
      </c>
      <c r="L47" s="1149">
        <f>'Farm Typologies (org prem)'!M13</f>
        <v>0</v>
      </c>
    </row>
    <row r="48" spans="1:14" x14ac:dyDescent="0.35">
      <c r="A48" s="1147" t="s">
        <v>930</v>
      </c>
      <c r="B48" s="1139">
        <f>'Farm Typologies (org prem)'!C15</f>
        <v>25118.247690155054</v>
      </c>
      <c r="C48" s="1139">
        <f>'Farm Typologies (org prem)'!D15</f>
        <v>0</v>
      </c>
      <c r="D48" s="1139">
        <f>'Farm Typologies (org prem)'!E15</f>
        <v>72834.811999999991</v>
      </c>
      <c r="E48" s="1139"/>
      <c r="F48" s="1139"/>
      <c r="G48" s="1139">
        <f>'Farm Typologies (org prem)'!H17</f>
        <v>323433.49887605116</v>
      </c>
      <c r="H48" s="1139">
        <f>'Farm Typologies (org prem)'!I17</f>
        <v>205398.85</v>
      </c>
      <c r="I48" s="1139">
        <f>'Farm Typologies (org prem)'!J15</f>
        <v>66231.79550940085</v>
      </c>
      <c r="J48" s="1139">
        <f>'Farm Typologies (org prem)'!K15</f>
        <v>70515.231999999989</v>
      </c>
      <c r="K48" s="1139">
        <f>'Farm Typologies (org prem)'!L14</f>
        <v>89122.835595310375</v>
      </c>
      <c r="L48" s="1149">
        <f>'Farm Typologies (org prem)'!M14</f>
        <v>66661.572833333325</v>
      </c>
    </row>
    <row r="49" spans="1:12" x14ac:dyDescent="0.35">
      <c r="A49" s="1147" t="s">
        <v>931</v>
      </c>
      <c r="B49" s="1139">
        <f>'Farm Typologies (org prem)'!C19</f>
        <v>69279.980121648681</v>
      </c>
      <c r="C49" s="1139">
        <f>'Farm Typologies (org prem)'!D19</f>
        <v>26060.711885996905</v>
      </c>
      <c r="D49" s="1139">
        <f>'Farm Typologies (org prem)'!E19</f>
        <v>24970.079190996352</v>
      </c>
      <c r="E49" s="1139">
        <f>'Farm Typologies (org prem)'!F19</f>
        <v>24682.467013612542</v>
      </c>
      <c r="F49" s="1139">
        <f>'Farm Typologies (org prem)'!G19</f>
        <v>37523.328499999996</v>
      </c>
      <c r="G49" s="1139">
        <f>'Farm Typologies (org prem)'!H19</f>
        <v>21290.920720311547</v>
      </c>
      <c r="H49" s="1139">
        <f>'Farm Typologies (org prem)'!I19</f>
        <v>5139.45549008125</v>
      </c>
      <c r="I49" s="1139">
        <f>'Farm Typologies (org prem)'!J19</f>
        <v>6083.1202058032986</v>
      </c>
      <c r="J49" s="1139">
        <f>'Farm Typologies (org prem)'!K19</f>
        <v>0</v>
      </c>
      <c r="K49" s="1139">
        <f>'Farm Typologies (org prem)'!L19</f>
        <v>0</v>
      </c>
      <c r="L49" s="1149">
        <f>'Farm Typologies (org prem)'!M19</f>
        <v>0</v>
      </c>
    </row>
    <row r="50" spans="1:12" x14ac:dyDescent="0.35">
      <c r="A50" s="1147" t="s">
        <v>932</v>
      </c>
      <c r="B50" s="1139">
        <f>'Farm Typologies (org prem)'!C20</f>
        <v>6625.2569168679393</v>
      </c>
      <c r="C50" s="1139"/>
      <c r="D50" s="1139">
        <f>'Farm Typologies (org prem)'!E20</f>
        <v>21694.345936842106</v>
      </c>
      <c r="E50" s="1139"/>
      <c r="F50" s="1139"/>
      <c r="G50" s="1139" t="e">
        <f>'Farm Typologies (org prem)'!H22</f>
        <v>#DIV/0!</v>
      </c>
      <c r="H50" s="1139" t="e">
        <f>'Farm Typologies (org prem)'!I22</f>
        <v>#DIV/0!</v>
      </c>
      <c r="I50" s="1139">
        <f>'Farm Typologies (org prem)'!J20</f>
        <v>26301.842305566115</v>
      </c>
      <c r="J50" s="1139">
        <f>'Farm Typologies (org prem)'!K20</f>
        <v>21003.443200000002</v>
      </c>
      <c r="K50" s="1139">
        <f>'Farm Typologies (org prem)'!L21</f>
        <v>41619.232974915161</v>
      </c>
      <c r="L50" s="1149">
        <f>'Farm Typologies (org prem)'!M21</f>
        <v>30000.569973684211</v>
      </c>
    </row>
    <row r="51" spans="1:12" x14ac:dyDescent="0.35">
      <c r="A51" s="1147" t="s">
        <v>933</v>
      </c>
      <c r="B51" s="1139">
        <f>'Farm Typologies (org prem)'!C24</f>
        <v>10492.300722826087</v>
      </c>
      <c r="C51" s="1139">
        <f>'Farm Typologies (org prem)'!D24</f>
        <v>0</v>
      </c>
      <c r="D51" s="1139">
        <f>'Farm Typologies (org prem)'!E24</f>
        <v>0</v>
      </c>
      <c r="E51" s="1139">
        <f>'Farm Typologies (org prem)'!F24</f>
        <v>0</v>
      </c>
      <c r="F51" s="1139">
        <f>'Farm Typologies (org prem)'!G24</f>
        <v>0</v>
      </c>
      <c r="G51" s="1139">
        <f>'Farm Typologies (org prem)'!H24</f>
        <v>41603.543739130437</v>
      </c>
      <c r="H51" s="1139">
        <f>'Farm Typologies (org prem)'!I24</f>
        <v>6212.7214434782609</v>
      </c>
      <c r="I51" s="1139">
        <f>'Farm Typologies (org prem)'!J24</f>
        <v>23859.770162869569</v>
      </c>
      <c r="J51" s="1139">
        <f>'Farm Typologies (org prem)'!K24</f>
        <v>3496.1343382608702</v>
      </c>
      <c r="K51" s="1139">
        <f>'Farm Typologies (org prem)'!L24</f>
        <v>17757.086790724639</v>
      </c>
      <c r="L51" s="1149">
        <f>'Farm Typologies (org prem)'!M24</f>
        <v>2201.71731</v>
      </c>
    </row>
    <row r="52" spans="1:12" x14ac:dyDescent="0.35">
      <c r="A52" s="1147" t="str">
        <f>'Farm Typologies (org prem)'!B30</f>
        <v>Agri-environment payments</v>
      </c>
      <c r="B52" s="1139">
        <f>'Farm Typologies (org prem)'!C30</f>
        <v>3150</v>
      </c>
      <c r="C52" s="1139">
        <f>'Farm Typologies (org prem)'!D30</f>
        <v>3465.0000000000005</v>
      </c>
      <c r="D52" s="1139">
        <f>'Farm Typologies (org prem)'!E30</f>
        <v>3465.0000000000005</v>
      </c>
      <c r="E52" s="1139">
        <f>'Farm Typologies (org prem)'!F30</f>
        <v>468</v>
      </c>
      <c r="F52" s="1139">
        <f>'Farm Typologies (org prem)'!G30</f>
        <v>468</v>
      </c>
      <c r="G52" s="1139">
        <f>'Farm Typologies (org prem)'!H30</f>
        <v>3741.15</v>
      </c>
      <c r="H52" s="1139">
        <f>'Farm Typologies (org prem)'!I30</f>
        <v>4115.2650000000003</v>
      </c>
      <c r="I52" s="1139">
        <f>'Farm Typologies (org prem)'!J30</f>
        <v>4331.04</v>
      </c>
      <c r="J52" s="1139">
        <f>'Farm Typologies (org prem)'!K30</f>
        <v>4764.1440000000002</v>
      </c>
      <c r="K52" s="1139">
        <f>'Farm Typologies (org prem)'!L30</f>
        <v>9841.2999999999993</v>
      </c>
      <c r="L52" s="1149">
        <f>'Farm Typologies (org prem)'!M30</f>
        <v>10825.43</v>
      </c>
    </row>
    <row r="53" spans="1:12" x14ac:dyDescent="0.35">
      <c r="A53" s="1147" t="str">
        <f>'Farm Typologies (org prem)'!B32</f>
        <v>Basic payment scheme</v>
      </c>
      <c r="B53" s="1139">
        <f>'Farm Typologies (org prem)'!C32</f>
        <v>36925</v>
      </c>
      <c r="C53" s="1139">
        <f>'Farm Typologies (org prem)'!D32</f>
        <v>36925</v>
      </c>
      <c r="D53" s="1139">
        <f>'Farm Typologies (org prem)'!E32</f>
        <v>36925</v>
      </c>
      <c r="E53" s="1139">
        <f>'Farm Typologies (org prem)'!F32</f>
        <v>5486</v>
      </c>
      <c r="F53" s="1139">
        <f>'Farm Typologies (org prem)'!G32</f>
        <v>5486</v>
      </c>
      <c r="G53" s="1139">
        <f>'Farm Typologies (org prem)'!H32</f>
        <v>34006.980000000003</v>
      </c>
      <c r="H53" s="1139">
        <f>'Farm Typologies (org prem)'!I32</f>
        <v>34006.980000000003</v>
      </c>
      <c r="I53" s="1139">
        <f>'Farm Typologies (org prem)'!J32</f>
        <v>18825.240000000002</v>
      </c>
      <c r="J53" s="1139">
        <f>'Farm Typologies (org prem)'!K32</f>
        <v>18825.240000000002</v>
      </c>
      <c r="K53" s="1139">
        <f>'Farm Typologies (org prem)'!L32</f>
        <v>27444.799999999999</v>
      </c>
      <c r="L53" s="1149">
        <f>'Farm Typologies (org prem)'!M32</f>
        <v>27444.799999999999</v>
      </c>
    </row>
    <row r="54" spans="1:12" x14ac:dyDescent="0.35">
      <c r="A54" s="1147" t="str">
        <f>'Farm Typologies (org prem)'!B39</f>
        <v>ELM variable costs</v>
      </c>
      <c r="B54" s="1139">
        <f>'Farm Typologies (org prem)'!C39</f>
        <v>0</v>
      </c>
      <c r="C54" s="1139">
        <f>'Farm Typologies (org prem)'!D39</f>
        <v>0</v>
      </c>
      <c r="D54" s="1139">
        <f>'Farm Typologies (org prem)'!E39</f>
        <v>0</v>
      </c>
      <c r="E54" s="1139">
        <f>'Farm Typologies (org prem)'!F39</f>
        <v>0</v>
      </c>
      <c r="F54" s="1139">
        <f>'Farm Typologies (org prem)'!G39</f>
        <v>0</v>
      </c>
      <c r="G54" s="1139">
        <f>'Farm Typologies (org prem)'!H39</f>
        <v>0</v>
      </c>
      <c r="H54" s="1139">
        <f>'Farm Typologies (org prem)'!I39</f>
        <v>0</v>
      </c>
      <c r="I54" s="1139">
        <f>'Farm Typologies (org prem)'!J39</f>
        <v>0</v>
      </c>
      <c r="J54" s="1139">
        <f>'Farm Typologies (org prem)'!K39</f>
        <v>0</v>
      </c>
      <c r="K54" s="1139">
        <f>'Farm Typologies (org prem)'!L39</f>
        <v>0</v>
      </c>
      <c r="L54" s="1149">
        <f>'Farm Typologies (org prem)'!M39</f>
        <v>0</v>
      </c>
    </row>
    <row r="55" spans="1:12" x14ac:dyDescent="0.35">
      <c r="A55" s="1150" t="s">
        <v>934</v>
      </c>
      <c r="B55" s="1139"/>
      <c r="C55" s="1139"/>
      <c r="D55" s="1139"/>
      <c r="E55" s="1139"/>
      <c r="F55" s="1139"/>
      <c r="G55" s="1139"/>
      <c r="H55" s="1139"/>
      <c r="I55" s="1139"/>
      <c r="J55" s="1139"/>
      <c r="K55" s="1139"/>
      <c r="L55" s="1149"/>
    </row>
    <row r="56" spans="1:12" x14ac:dyDescent="0.35">
      <c r="A56" s="1147" t="s">
        <v>935</v>
      </c>
      <c r="B56" s="1139">
        <f>'Cropping allocation - baseline'!F28</f>
        <v>1246.1989443760331</v>
      </c>
      <c r="C56" s="1139">
        <f>'Cropping allocation - baseline'!O28</f>
        <v>545.41652024018072</v>
      </c>
      <c r="D56" s="1139">
        <f>'Cropping allocation - baseline'!O28</f>
        <v>545.41652024018072</v>
      </c>
      <c r="E56" s="1139">
        <f>'Cropping allocation - baseline'!F94</f>
        <v>1915.1912868079642</v>
      </c>
      <c r="F56" s="1139">
        <f>'Cropping allocation - baseline'!O94</f>
        <v>2443.6216857142858</v>
      </c>
      <c r="G56" s="1139">
        <f>'Cropping allocation - baseline'!F28</f>
        <v>1246.1989443760331</v>
      </c>
      <c r="H56" s="1139">
        <f>'Cropping allocation - baseline'!O28</f>
        <v>545.41652024018072</v>
      </c>
      <c r="I56" s="1139">
        <f>'Cropping allocation - baseline'!F28</f>
        <v>1246.1989443760331</v>
      </c>
      <c r="J56" s="1139"/>
      <c r="K56" s="1139"/>
      <c r="L56" s="1149"/>
    </row>
    <row r="57" spans="1:12" x14ac:dyDescent="0.35">
      <c r="A57" s="1147" t="s">
        <v>936</v>
      </c>
      <c r="B57" s="1139">
        <f>'Livestock allocation - baseline'!G18</f>
        <v>956.88562629162107</v>
      </c>
      <c r="C57" s="1139"/>
      <c r="D57" s="1139">
        <f>'Livestock allocation - baseline'!AE18</f>
        <v>670.2581448333334</v>
      </c>
      <c r="E57" s="1139"/>
      <c r="F57" s="1139"/>
      <c r="G57" s="1139">
        <f>'Livestock allocation - baseline'!G45</f>
        <v>3667.0464725175866</v>
      </c>
      <c r="H57" s="1139">
        <f>'Livestock allocation - baseline'!AE45</f>
        <v>2236.3130887500001</v>
      </c>
      <c r="I57" s="1139">
        <f>'Livestock allocation - baseline'!G18</f>
        <v>956.88562629162107</v>
      </c>
      <c r="J57" s="1139">
        <f>'Livestock allocation - baseline'!AE18</f>
        <v>670.2581448333334</v>
      </c>
      <c r="K57" s="1139">
        <f>'Livestock allocation - baseline'!G32</f>
        <v>540.46595267016608</v>
      </c>
      <c r="L57" s="1149">
        <f>'Livestock allocation - baseline'!AE32</f>
        <v>332.83166666666665</v>
      </c>
    </row>
    <row r="58" spans="1:12" x14ac:dyDescent="0.35">
      <c r="A58" s="1147" t="s">
        <v>937</v>
      </c>
      <c r="B58" s="1139">
        <f>'Cropping allocation - baseline'!H28</f>
        <v>589.26894236633598</v>
      </c>
      <c r="C58" s="1139">
        <f>'Cropping allocation - baseline'!Q28</f>
        <v>130.93763800104165</v>
      </c>
      <c r="D58" s="1139">
        <f>'Cropping allocation - baseline'!Q28</f>
        <v>130.93763800104165</v>
      </c>
      <c r="E58" s="1139">
        <f>'Cropping allocation - baseline'!H94</f>
        <v>1111.5233204280764</v>
      </c>
      <c r="F58" s="1139">
        <f>'Cropping allocation - baseline'!Q94</f>
        <v>1972.8529999999998</v>
      </c>
      <c r="G58" s="1139">
        <f>'Cropping allocation - baseline'!H28</f>
        <v>589.26894236633598</v>
      </c>
      <c r="H58" s="1139">
        <f>'Cropping allocation - baseline'!Q28</f>
        <v>130.93763800104165</v>
      </c>
      <c r="I58" s="1139">
        <f>'Cropping allocation - baseline'!H28</f>
        <v>589.26894236633598</v>
      </c>
      <c r="J58" s="1139"/>
      <c r="K58" s="1139"/>
      <c r="L58" s="1149"/>
    </row>
    <row r="59" spans="1:12" x14ac:dyDescent="0.35">
      <c r="A59" s="1147" t="s">
        <v>938</v>
      </c>
      <c r="B59" s="1139"/>
      <c r="C59" s="1139"/>
      <c r="D59" s="1139"/>
      <c r="E59" s="1139"/>
      <c r="F59" s="1139"/>
      <c r="G59" s="1139"/>
      <c r="H59" s="1139"/>
      <c r="I59" s="1139"/>
      <c r="J59" s="1139"/>
      <c r="K59" s="1139"/>
      <c r="L59" s="1149"/>
    </row>
    <row r="60" spans="1:12" s="1145" customFormat="1" x14ac:dyDescent="0.35">
      <c r="A60" s="1151" t="s">
        <v>939</v>
      </c>
      <c r="B60" s="1146">
        <f t="shared" ref="B60:F60" si="0">B46-B47+(B56*B45)-B48+(B57*B41)+B49-(B58*B45)-SUM(B52:B54)</f>
        <v>-19879.85466114743</v>
      </c>
      <c r="C60" s="1146">
        <f>C46-C47+(C56*C45)-C48+(C57*C41)+C49-(C58*C45)-SUM(C52:C54)</f>
        <v>-58689.561029562137</v>
      </c>
      <c r="D60" s="1146">
        <f t="shared" si="0"/>
        <v>-58899.7287527726</v>
      </c>
      <c r="E60" s="1146">
        <f t="shared" si="0"/>
        <v>1943.6991594971951</v>
      </c>
      <c r="F60" s="1146">
        <f t="shared" si="0"/>
        <v>-8859.5479999999952</v>
      </c>
      <c r="G60" s="1146" t="e">
        <f t="shared" ref="G60:L60" si="1">G46-G47+(G56*G45)-G48+(G57*G41)+G49-(G58*G45)-SUM(G52:G54)</f>
        <v>#DIV/0!</v>
      </c>
      <c r="H60" s="1146" t="e">
        <f t="shared" si="1"/>
        <v>#DIV/0!</v>
      </c>
      <c r="I60" s="1146">
        <f t="shared" si="1"/>
        <v>-43319.538933712647</v>
      </c>
      <c r="J60" s="1146">
        <f t="shared" si="1"/>
        <v>-34460.294530927524</v>
      </c>
      <c r="K60" s="1146">
        <f t="shared" si="1"/>
        <v>-35759.584170329406</v>
      </c>
      <c r="L60" s="1152">
        <f t="shared" si="1"/>
        <v>-36173.985950350871</v>
      </c>
    </row>
    <row r="61" spans="1:12" x14ac:dyDescent="0.35">
      <c r="A61" s="1150" t="s">
        <v>940</v>
      </c>
      <c r="B61" s="1139"/>
      <c r="C61" s="1139"/>
      <c r="D61" s="1139"/>
      <c r="E61" s="1139"/>
      <c r="F61" s="1139"/>
      <c r="G61" s="1139"/>
      <c r="H61" s="1139"/>
      <c r="I61" s="1139"/>
      <c r="J61" s="1139"/>
      <c r="K61" s="1139"/>
      <c r="L61" s="1149"/>
    </row>
    <row r="62" spans="1:12" x14ac:dyDescent="0.35">
      <c r="A62" s="1147" t="s">
        <v>941</v>
      </c>
      <c r="B62" s="1139">
        <f>'FBS Data'!C17</f>
        <v>214.51990632318504</v>
      </c>
      <c r="C62" s="1139">
        <f>'FBS Data'!C16</f>
        <v>750.81967213114763</v>
      </c>
      <c r="D62" s="1139">
        <f>'FBS Data'!C16</f>
        <v>750.81967213114763</v>
      </c>
      <c r="E62" s="1139">
        <f>'FBS Data'!D17</f>
        <v>214.51990632318504</v>
      </c>
      <c r="F62" s="1139">
        <f>'FBS Data'!D16</f>
        <v>750.81967213114763</v>
      </c>
      <c r="G62" s="1139">
        <f>'FBS Data'!E17</f>
        <v>240.55269320843095</v>
      </c>
      <c r="H62" s="1139">
        <f>'FBS Data'!E16</f>
        <v>841.93442622950829</v>
      </c>
      <c r="I62" s="1139">
        <f>'FBS Data'!F17</f>
        <v>258.2388758782202</v>
      </c>
      <c r="J62" s="1139">
        <f>'FBS Data'!F16</f>
        <v>903.83606557377072</v>
      </c>
      <c r="K62" s="1139">
        <f>'FBS Data'!G17</f>
        <v>205.46135831381733</v>
      </c>
      <c r="L62" s="1149">
        <f>'FBS Data'!G16</f>
        <v>719.11475409836066</v>
      </c>
    </row>
    <row r="63" spans="1:12" s="1145" customFormat="1" x14ac:dyDescent="0.35">
      <c r="A63" s="1151" t="s">
        <v>942</v>
      </c>
      <c r="B63" s="1146">
        <f>B60+B62*B40</f>
        <v>17661.128945409953</v>
      </c>
      <c r="C63" s="1146">
        <f>C60+C62*C40</f>
        <v>72703.88159338868</v>
      </c>
      <c r="D63" s="1146">
        <f t="shared" ref="D63:L63" si="2">D60+D62*D40</f>
        <v>72493.713870178224</v>
      </c>
      <c r="E63" s="1146">
        <f t="shared" si="2"/>
        <v>7521.2167239000064</v>
      </c>
      <c r="F63" s="1146">
        <f t="shared" si="2"/>
        <v>10661.763475409844</v>
      </c>
      <c r="G63" s="1146" t="e">
        <f>G60+G62*G40</f>
        <v>#DIV/0!</v>
      </c>
      <c r="H63" s="1146" t="e">
        <f t="shared" si="2"/>
        <v>#DIV/0!</v>
      </c>
      <c r="I63" s="1146">
        <f t="shared" si="2"/>
        <v>-21627.473359942149</v>
      </c>
      <c r="J63" s="1146">
        <f t="shared" si="2"/>
        <v>41461.934977269222</v>
      </c>
      <c r="K63" s="1146">
        <f t="shared" si="2"/>
        <v>-831.15325698046217</v>
      </c>
      <c r="L63" s="1152">
        <f t="shared" si="2"/>
        <v>86075.522246370441</v>
      </c>
    </row>
    <row r="64" spans="1:12" x14ac:dyDescent="0.35">
      <c r="A64" s="1150" t="s">
        <v>943</v>
      </c>
      <c r="B64" s="1032"/>
      <c r="C64" s="1032"/>
      <c r="D64" s="1032"/>
      <c r="E64" s="1032"/>
      <c r="F64" s="1032"/>
      <c r="G64" s="1032"/>
      <c r="H64" s="1138"/>
      <c r="I64" s="1032"/>
      <c r="J64" s="1032"/>
      <c r="K64" s="1032"/>
      <c r="L64" s="1153"/>
    </row>
    <row r="65" spans="1:13" x14ac:dyDescent="0.35">
      <c r="A65" s="1147" t="s">
        <v>944</v>
      </c>
      <c r="B65" s="1138">
        <f>'Cropping allocation - price var'!F28</f>
        <v>1246.1989443760331</v>
      </c>
      <c r="C65" s="1138">
        <f>'Cropping allocation - price var'!N28</f>
        <v>490.85764166666667</v>
      </c>
      <c r="D65" s="1138">
        <f>'Cropping allocation - price var'!N28</f>
        <v>490.85764166666667</v>
      </c>
      <c r="E65" s="1138">
        <f>'Cropping allocation - price var'!F94</f>
        <v>1915.1912868079642</v>
      </c>
      <c r="F65" s="1138">
        <f>'Cropping allocation - price var'!N94</f>
        <v>1505.9999999999998</v>
      </c>
      <c r="G65" s="1138">
        <f>'Cropping allocation - price var'!F28</f>
        <v>1246.1989443760331</v>
      </c>
      <c r="H65" s="1138">
        <f>'Cropping allocation - price var'!N28</f>
        <v>490.85764166666667</v>
      </c>
      <c r="I65" s="1138">
        <f>'Cropping allocation - price var'!F28</f>
        <v>1246.1989443760331</v>
      </c>
      <c r="J65" s="1032"/>
      <c r="K65" s="1032"/>
      <c r="L65" s="1153"/>
    </row>
    <row r="66" spans="1:13" x14ac:dyDescent="0.35">
      <c r="A66" s="1147" t="s">
        <v>945</v>
      </c>
      <c r="B66" s="1032">
        <f>'Livestock allocation -price var'!G18</f>
        <v>956.88562629162107</v>
      </c>
      <c r="C66" s="1032"/>
      <c r="D66" s="1032">
        <f>'Livestock allocation -price var'!U18</f>
        <v>1210.2831759999999</v>
      </c>
      <c r="E66" s="1032"/>
      <c r="F66" s="1032"/>
      <c r="G66" s="1032">
        <f>'Livestock allocation -price var'!G45</f>
        <v>3667.0464725175866</v>
      </c>
      <c r="H66" s="1138">
        <f>'Livestock allocation -price var'!U45</f>
        <v>2212.8742399999996</v>
      </c>
      <c r="I66" s="1032">
        <f>'Livestock allocation -price var'!G18</f>
        <v>956.88562629162107</v>
      </c>
      <c r="J66" s="1032">
        <f>'Livestock allocation -price var'!U18</f>
        <v>1210.2831759999999</v>
      </c>
      <c r="K66" s="1032">
        <f>'Livestock allocation -price var'!G32</f>
        <v>540.46595267016608</v>
      </c>
      <c r="L66" s="1153">
        <f>'Livestock allocation -price var'!U32</f>
        <v>406.09869166666658</v>
      </c>
    </row>
    <row r="67" spans="1:13" x14ac:dyDescent="0.35">
      <c r="A67" s="1147" t="s">
        <v>946</v>
      </c>
      <c r="B67" s="1138">
        <f>'Cropping allocation - price var'!G28</f>
        <v>482.78731792089673</v>
      </c>
      <c r="C67" s="1138">
        <f>'Cropping allocation - price var'!O28</f>
        <v>135.76035000104167</v>
      </c>
      <c r="D67" s="1138">
        <f>'Cropping allocation - price var'!O28</f>
        <v>135.76035000104167</v>
      </c>
      <c r="E67" s="1138">
        <f>'Cropping allocation - price var'!G94</f>
        <v>987.29868054450162</v>
      </c>
      <c r="F67" s="1138">
        <f>'Cropping allocation - price var'!O94</f>
        <v>1519.8790000000001</v>
      </c>
      <c r="G67" s="1138">
        <f>'Cropping allocation - price var'!G28</f>
        <v>482.78731792089673</v>
      </c>
      <c r="H67" s="1138">
        <f>'Cropping allocation - price var'!O28</f>
        <v>135.76035000104167</v>
      </c>
      <c r="I67" s="1138">
        <f>'Cropping allocation - price var'!G28</f>
        <v>482.78731792089673</v>
      </c>
      <c r="J67" s="1032"/>
      <c r="K67" s="1032"/>
      <c r="L67" s="1153"/>
    </row>
    <row r="68" spans="1:13" s="1145" customFormat="1" x14ac:dyDescent="0.35">
      <c r="A68" s="1151" t="s">
        <v>947</v>
      </c>
      <c r="B68" s="1146">
        <f t="shared" ref="B68:J68" si="3">B46-B47+B65*B45-B48+B66*B41+B49-B67*B45-SUM(B52:B54)</f>
        <v>-4599.7415532268933</v>
      </c>
      <c r="C68" s="1146">
        <f t="shared" si="3"/>
        <v>-64906.813562609066</v>
      </c>
      <c r="D68" s="1146">
        <f t="shared" si="3"/>
        <v>-21139.527870923368</v>
      </c>
      <c r="E68" s="1146">
        <f t="shared" si="3"/>
        <v>5049.3151565865628</v>
      </c>
      <c r="F68" s="1146">
        <f t="shared" si="3"/>
        <v>-17340.882500000007</v>
      </c>
      <c r="G68" s="1146" t="e">
        <f t="shared" si="3"/>
        <v>#DIV/0!</v>
      </c>
      <c r="H68" s="1146" t="e">
        <f t="shared" si="3"/>
        <v>#DIV/0!</v>
      </c>
      <c r="I68" s="1146">
        <f t="shared" si="3"/>
        <v>-41977.870465700107</v>
      </c>
      <c r="J68" s="1146">
        <f t="shared" si="3"/>
        <v>6581.6078377391277</v>
      </c>
      <c r="K68" s="1146">
        <f>K46-K47+K65*K45-K48+K66*K41-SUM(K52:K54)</f>
        <v>-35759.584170329406</v>
      </c>
      <c r="L68" s="1152">
        <f>L46-L47+L65*L45-L48+L66*L41-SUM(L52:L54)</f>
        <v>-24070.273420350881</v>
      </c>
    </row>
    <row r="69" spans="1:13" x14ac:dyDescent="0.35">
      <c r="A69" s="1150" t="s">
        <v>948</v>
      </c>
      <c r="B69" s="1032"/>
      <c r="C69" s="1032"/>
      <c r="D69" s="1032"/>
      <c r="E69" s="1032"/>
      <c r="F69" s="1032"/>
      <c r="G69" s="1032"/>
      <c r="H69" s="1032"/>
      <c r="I69" s="1032"/>
      <c r="J69" s="1032"/>
      <c r="K69" s="1032"/>
      <c r="L69" s="1153"/>
    </row>
    <row r="70" spans="1:13" x14ac:dyDescent="0.35">
      <c r="A70" s="1147" t="s">
        <v>949</v>
      </c>
      <c r="B70" s="1138">
        <f>'Cropping allocation - N cost'!G28</f>
        <v>585.00967738851853</v>
      </c>
      <c r="C70" s="1138">
        <f>'Cropping allocation - N cost'!O28</f>
        <v>134.18900000104165</v>
      </c>
      <c r="D70" s="1138">
        <f>'Cropping allocation - N cost'!O28</f>
        <v>134.18900000104165</v>
      </c>
      <c r="E70" s="1138">
        <f>'Cropping allocation - N cost'!G94</f>
        <v>1106.5543348327337</v>
      </c>
      <c r="F70" s="1138">
        <f>'Cropping allocation - N cost'!O94</f>
        <v>1972.8529999999998</v>
      </c>
      <c r="G70" s="1138">
        <f>'Cropping allocation - N cost'!G28</f>
        <v>585.00967738851853</v>
      </c>
      <c r="H70" s="1138">
        <f>'Cropping allocation - N cost'!O28</f>
        <v>134.18900000104165</v>
      </c>
      <c r="I70" s="1138">
        <f>'Cropping allocation - N cost'!G28</f>
        <v>585.00967738851853</v>
      </c>
      <c r="J70" s="1032"/>
      <c r="K70" s="1032"/>
      <c r="L70" s="1153"/>
    </row>
    <row r="71" spans="1:13" x14ac:dyDescent="0.35">
      <c r="A71" s="1147" t="s">
        <v>950</v>
      </c>
      <c r="B71" s="1139">
        <f>B41*Forage!O30</f>
        <v>10492.300722826087</v>
      </c>
      <c r="C71" s="1032"/>
      <c r="D71" s="1032"/>
      <c r="E71" s="1032"/>
      <c r="F71" s="1032"/>
      <c r="G71" s="1139">
        <f>G41*Forage!I30</f>
        <v>41603.543739130437</v>
      </c>
      <c r="H71" s="1032">
        <f>(26*Forage!V30)+(80*Forage!T30)</f>
        <v>9658.5528869565242</v>
      </c>
      <c r="I71" s="1139">
        <f>I42*((Forage!G30*50%)+(Forage!O30*50%))</f>
        <v>23859.770162869569</v>
      </c>
      <c r="J71" s="1139">
        <f>J42*((Forage!T30*75%)+(Forage!S30*25%))</f>
        <v>5006.5142417391316</v>
      </c>
      <c r="K71" s="1139">
        <f>(K42*Forage!L30)+(K43*Forage!J30)+(K44*0)</f>
        <v>17757.086790724639</v>
      </c>
      <c r="L71" s="1153">
        <f>(L42*Forage!T30)+(L43*Forage!J30)+(L44*0)</f>
        <v>3115.8946200000005</v>
      </c>
    </row>
    <row r="72" spans="1:13" s="1145" customFormat="1" x14ac:dyDescent="0.35">
      <c r="A72" s="1151" t="s">
        <v>951</v>
      </c>
      <c r="B72" s="1146">
        <f>B60+B58*B45-(B70*B45)+B51-B71</f>
        <v>-19268.65013683062</v>
      </c>
      <c r="C72" s="1146">
        <f>C60+C58*C45-(C70*C45)+C51-C71</f>
        <v>-59029.978630962141</v>
      </c>
      <c r="D72" s="1146">
        <f t="shared" ref="D72:L72" si="4">D60+D58*D45-(D70*D45)+D51-D71</f>
        <v>-59153.3349887726</v>
      </c>
      <c r="E72" s="1146">
        <f t="shared" si="4"/>
        <v>2067.9237993807619</v>
      </c>
      <c r="F72" s="1146">
        <f t="shared" si="4"/>
        <v>-8859.5479999999952</v>
      </c>
      <c r="G72" s="1146" t="e">
        <f t="shared" si="4"/>
        <v>#DIV/0!</v>
      </c>
      <c r="H72" s="1146" t="e">
        <f t="shared" si="4"/>
        <v>#DIV/0!</v>
      </c>
      <c r="I72" s="1146">
        <f t="shared" si="4"/>
        <v>-43265.872194992146</v>
      </c>
      <c r="J72" s="1146">
        <f t="shared" si="4"/>
        <v>-35970.674434405788</v>
      </c>
      <c r="K72" s="1146">
        <f t="shared" si="4"/>
        <v>-35759.584170329406</v>
      </c>
      <c r="L72" s="1152">
        <f t="shared" si="4"/>
        <v>-37088.16326035087</v>
      </c>
    </row>
    <row r="73" spans="1:13" x14ac:dyDescent="0.35">
      <c r="A73" s="1150" t="s">
        <v>952</v>
      </c>
      <c r="B73" s="1032"/>
      <c r="C73" s="1032"/>
      <c r="D73" s="1032"/>
      <c r="E73" s="1032"/>
      <c r="F73" s="1032"/>
      <c r="G73" s="1032"/>
      <c r="H73" s="1032"/>
      <c r="I73" s="1032"/>
      <c r="J73" s="1032"/>
      <c r="K73" s="1032"/>
      <c r="L73" s="1153"/>
    </row>
    <row r="74" spans="1:13" s="1145" customFormat="1" x14ac:dyDescent="0.35">
      <c r="A74" s="1151" t="s">
        <v>953</v>
      </c>
      <c r="B74" s="1146">
        <f t="shared" ref="B74:L74" si="5">B72+B62*B40</f>
        <v>18272.333469726764</v>
      </c>
      <c r="C74" s="1146">
        <f t="shared" si="5"/>
        <v>72363.463991988683</v>
      </c>
      <c r="D74" s="1146">
        <f t="shared" si="5"/>
        <v>72240.107634178217</v>
      </c>
      <c r="E74" s="1146">
        <f t="shared" si="5"/>
        <v>7645.4413637835733</v>
      </c>
      <c r="F74" s="1146">
        <f t="shared" si="5"/>
        <v>10661.763475409844</v>
      </c>
      <c r="G74" s="1146" t="e">
        <f t="shared" si="5"/>
        <v>#DIV/0!</v>
      </c>
      <c r="H74" s="1146" t="e">
        <f t="shared" si="5"/>
        <v>#DIV/0!</v>
      </c>
      <c r="I74" s="1146">
        <f t="shared" si="5"/>
        <v>-21573.806621221647</v>
      </c>
      <c r="J74" s="1146">
        <f t="shared" si="5"/>
        <v>39951.555073790958</v>
      </c>
      <c r="K74" s="1146">
        <f t="shared" si="5"/>
        <v>-831.15325698046217</v>
      </c>
      <c r="L74" s="1152">
        <f t="shared" si="5"/>
        <v>85161.344936370442</v>
      </c>
    </row>
    <row r="75" spans="1:13" x14ac:dyDescent="0.35">
      <c r="A75" s="1150" t="s">
        <v>954</v>
      </c>
      <c r="B75" s="1032"/>
      <c r="C75" s="1032"/>
      <c r="D75" s="1032"/>
      <c r="E75" s="1032"/>
      <c r="F75" s="1032"/>
      <c r="G75" s="1032"/>
      <c r="H75" s="1032"/>
      <c r="I75" s="1032"/>
      <c r="J75" s="1032"/>
      <c r="K75" s="1032"/>
      <c r="L75" s="1153"/>
    </row>
    <row r="76" spans="1:13" x14ac:dyDescent="0.35">
      <c r="A76" s="1147" t="s">
        <v>955</v>
      </c>
      <c r="B76" s="1138">
        <f>'Cropping allocation - N and +£'!F28</f>
        <v>2520.3859515577442</v>
      </c>
      <c r="C76" s="1138">
        <f>'Cropping allocation - N and +£'!N28</f>
        <v>919.57404166666674</v>
      </c>
      <c r="D76" s="1138">
        <f>'Cropping allocation - N and +£'!N28</f>
        <v>919.57404166666674</v>
      </c>
      <c r="E76" s="1138">
        <f>'Cropping allocation - N and +£'!F94</f>
        <v>3412.3324327498362</v>
      </c>
      <c r="F76" s="1138">
        <f>'Cropping allocation - N and +£'!N94</f>
        <v>3113.2</v>
      </c>
      <c r="G76" s="1138">
        <f>'Cropping allocation - N and +£'!F28</f>
        <v>2520.3859515577442</v>
      </c>
      <c r="H76" s="1138">
        <f>'Cropping allocation - N and +£'!N28</f>
        <v>919.57404166666674</v>
      </c>
      <c r="I76" s="1138">
        <f>'Cropping allocation - N and +£'!F28</f>
        <v>2520.3859515577442</v>
      </c>
      <c r="J76" s="1032"/>
      <c r="K76" s="1032"/>
      <c r="L76" s="1153"/>
    </row>
    <row r="77" spans="1:13" x14ac:dyDescent="0.35">
      <c r="A77" s="1147" t="s">
        <v>956</v>
      </c>
      <c r="B77" s="1138">
        <f>'Livestock allocation - conc'!I18</f>
        <v>573.71391790792836</v>
      </c>
      <c r="C77" s="1138"/>
      <c r="D77" s="1138">
        <f>'Livestock allocation - conc'!W18</f>
        <v>355.79389473684211</v>
      </c>
      <c r="E77" s="1138"/>
      <c r="F77" s="1138"/>
      <c r="G77" s="1138" t="e">
        <f>'Livestock allocation - conc'!I45</f>
        <v>#DIV/0!</v>
      </c>
      <c r="H77" s="1138" t="e">
        <f>'Livestock allocation - conc'!W45</f>
        <v>#DIV/0!</v>
      </c>
      <c r="I77" s="1138">
        <f>'Livestock allocation - conc'!I18</f>
        <v>573.71391790792836</v>
      </c>
      <c r="J77" s="1032">
        <f>'Livestock allocation - conc'!W18</f>
        <v>355.79389473684211</v>
      </c>
      <c r="K77" s="1032">
        <f>'Livestock allocation - conc'!I32</f>
        <v>343.85802703675006</v>
      </c>
      <c r="L77" s="1153">
        <f>'Livestock allocation - conc'!W32</f>
        <v>243.01438815789473</v>
      </c>
    </row>
    <row r="78" spans="1:13" s="1145" customFormat="1" ht="15" thickBot="1" x14ac:dyDescent="0.4">
      <c r="A78" s="1154" t="s">
        <v>957</v>
      </c>
      <c r="B78" s="1155">
        <f t="shared" ref="B78" si="6">B74-B56*B45+B76*B45+B50-B77*B41</f>
        <v>192683.43557208715</v>
      </c>
      <c r="C78" s="1155">
        <f t="shared" ref="C78" si="7">C74-C56*C45+C76*C45+C50-C77*C41</f>
        <v>111537.75648534179</v>
      </c>
      <c r="D78" s="1155">
        <f t="shared" ref="D78" si="8">D74-D56*D45+D76*D45+D50-D77*D41</f>
        <v>95188.919505444122</v>
      </c>
      <c r="E78" s="1155">
        <f t="shared" ref="E78" si="9">E74-E56*E45+E76*E45+E50-E77*E41</f>
        <v>45073.97001233037</v>
      </c>
      <c r="F78" s="1155">
        <f t="shared" ref="F78" si="10">F74-F56*F45+F76*F45+F50-F77*F41</f>
        <v>22379.383975409841</v>
      </c>
      <c r="G78" s="1155" t="e">
        <f t="shared" ref="G78" si="11">G74-G56*G45+G76*G45+G50-G77*G41</f>
        <v>#DIV/0!</v>
      </c>
      <c r="H78" s="1155" t="e">
        <f t="shared" ref="H78" si="12">H74-H56*H45+H76*H45+H50-H77*H41</f>
        <v>#DIV/0!</v>
      </c>
      <c r="I78" s="1155">
        <f t="shared" ref="I78:K78" si="13">I74-I56*I45+I76*I45+I50-I77*I41</f>
        <v>-18927.390567081147</v>
      </c>
      <c r="J78" s="1155">
        <f t="shared" si="13"/>
        <v>33914.662273790964</v>
      </c>
      <c r="K78" s="1155">
        <f t="shared" si="13"/>
        <v>-15914.10894042538</v>
      </c>
      <c r="L78" s="1156">
        <f>L74-L56*L45+L76*L45+L50-L77*L41</f>
        <v>75015.937986370438</v>
      </c>
    </row>
    <row r="79" spans="1:13" ht="15" thickBot="1" x14ac:dyDescent="0.4">
      <c r="B79" s="1140"/>
      <c r="C79" s="1140"/>
      <c r="D79" s="1140"/>
      <c r="E79" s="1140"/>
      <c r="F79" s="1140"/>
      <c r="G79" s="1140"/>
      <c r="H79" s="1140"/>
      <c r="I79" s="1140"/>
      <c r="J79" s="1140"/>
      <c r="K79" s="1140"/>
      <c r="L79" s="1140"/>
    </row>
    <row r="80" spans="1:13" ht="56.5" customHeight="1" x14ac:dyDescent="0.35">
      <c r="A80" s="1157"/>
      <c r="B80" s="1521" t="s">
        <v>958</v>
      </c>
      <c r="C80" s="1521"/>
      <c r="D80" s="1517" t="s">
        <v>959</v>
      </c>
      <c r="E80" s="1517"/>
      <c r="F80" s="1517" t="s">
        <v>960</v>
      </c>
      <c r="G80" s="1517"/>
      <c r="H80" s="1517" t="s">
        <v>961</v>
      </c>
      <c r="I80" s="1517"/>
      <c r="J80" s="1522" t="s">
        <v>952</v>
      </c>
      <c r="K80" s="1522"/>
      <c r="L80" s="1517" t="s">
        <v>962</v>
      </c>
      <c r="M80" s="1518"/>
    </row>
    <row r="81" spans="1:13" x14ac:dyDescent="0.35">
      <c r="A81" s="1158" t="s">
        <v>922</v>
      </c>
      <c r="B81" s="1032" t="s">
        <v>71</v>
      </c>
      <c r="C81" s="1032" t="s">
        <v>75</v>
      </c>
      <c r="D81" s="1032" t="s">
        <v>71</v>
      </c>
      <c r="E81" s="1032" t="s">
        <v>75</v>
      </c>
      <c r="F81" s="1032" t="s">
        <v>71</v>
      </c>
      <c r="G81" s="1032" t="s">
        <v>75</v>
      </c>
      <c r="H81" s="1032" t="s">
        <v>71</v>
      </c>
      <c r="I81" s="1032" t="s">
        <v>75</v>
      </c>
      <c r="J81" s="1032" t="s">
        <v>71</v>
      </c>
      <c r="K81" s="1032" t="s">
        <v>75</v>
      </c>
      <c r="L81" s="1032" t="s">
        <v>71</v>
      </c>
      <c r="M81" s="1153" t="s">
        <v>75</v>
      </c>
    </row>
    <row r="82" spans="1:13" x14ac:dyDescent="0.35">
      <c r="A82" s="1158" t="s">
        <v>119</v>
      </c>
      <c r="B82" s="1139">
        <f>B60</f>
        <v>-19879.85466114743</v>
      </c>
      <c r="C82" s="1139">
        <f>C60</f>
        <v>-58689.561029562137</v>
      </c>
      <c r="D82" s="1139">
        <f>B63</f>
        <v>17661.128945409953</v>
      </c>
      <c r="E82" s="1139">
        <f>C63</f>
        <v>72703.88159338868</v>
      </c>
      <c r="F82" s="1139">
        <f>B68</f>
        <v>-4599.7415532268933</v>
      </c>
      <c r="G82" s="1139">
        <f>C68</f>
        <v>-64906.813562609066</v>
      </c>
      <c r="H82" s="1139">
        <f>B72</f>
        <v>-19268.65013683062</v>
      </c>
      <c r="I82" s="1139">
        <f>C72</f>
        <v>-59029.978630962141</v>
      </c>
      <c r="J82" s="1139">
        <f>B74</f>
        <v>18272.333469726764</v>
      </c>
      <c r="K82" s="1139">
        <f>C74</f>
        <v>72363.463991988683</v>
      </c>
      <c r="L82" s="1139">
        <f>B78</f>
        <v>192683.43557208715</v>
      </c>
      <c r="M82" s="1149">
        <f>C78</f>
        <v>111537.75648534179</v>
      </c>
    </row>
    <row r="83" spans="1:13" x14ac:dyDescent="0.35">
      <c r="A83" s="1158" t="s">
        <v>963</v>
      </c>
      <c r="B83" s="1139">
        <f>B60</f>
        <v>-19879.85466114743</v>
      </c>
      <c r="C83" s="1139">
        <f>D60</f>
        <v>-58899.7287527726</v>
      </c>
      <c r="D83" s="1139">
        <f>B63</f>
        <v>17661.128945409953</v>
      </c>
      <c r="E83" s="1139">
        <f>D63</f>
        <v>72493.713870178224</v>
      </c>
      <c r="F83" s="1139">
        <f>B68</f>
        <v>-4599.7415532268933</v>
      </c>
      <c r="G83" s="1139">
        <f>D68</f>
        <v>-21139.527870923368</v>
      </c>
      <c r="H83" s="1139">
        <f>B72</f>
        <v>-19268.65013683062</v>
      </c>
      <c r="I83" s="1139">
        <f>D72</f>
        <v>-59153.3349887726</v>
      </c>
      <c r="J83" s="1139">
        <f>B74</f>
        <v>18272.333469726764</v>
      </c>
      <c r="K83" s="1139">
        <f>D74</f>
        <v>72240.107634178217</v>
      </c>
      <c r="L83" s="1139">
        <f>B78</f>
        <v>192683.43557208715</v>
      </c>
      <c r="M83" s="1149">
        <f>D78</f>
        <v>95188.919505444122</v>
      </c>
    </row>
    <row r="84" spans="1:13" x14ac:dyDescent="0.35">
      <c r="A84" s="1158" t="s">
        <v>64</v>
      </c>
      <c r="B84" s="1139">
        <f>E60</f>
        <v>1943.6991594971951</v>
      </c>
      <c r="C84" s="1139">
        <f>F60</f>
        <v>-8859.5479999999952</v>
      </c>
      <c r="D84" s="1139">
        <f>E63</f>
        <v>7521.2167239000064</v>
      </c>
      <c r="E84" s="1139">
        <f>F63</f>
        <v>10661.763475409844</v>
      </c>
      <c r="F84" s="1139">
        <f>E68</f>
        <v>5049.3151565865628</v>
      </c>
      <c r="G84" s="1139">
        <f>F68</f>
        <v>-17340.882500000007</v>
      </c>
      <c r="H84" s="1139">
        <f>E72</f>
        <v>2067.9237993807619</v>
      </c>
      <c r="I84" s="1139">
        <f>F72</f>
        <v>-8859.5479999999952</v>
      </c>
      <c r="J84" s="1139">
        <f>E74</f>
        <v>7645.4413637835733</v>
      </c>
      <c r="K84" s="1139">
        <f>F74</f>
        <v>10661.763475409844</v>
      </c>
      <c r="L84" s="1139">
        <f>E78</f>
        <v>45073.97001233037</v>
      </c>
      <c r="M84" s="1149">
        <f>F78</f>
        <v>22379.383975409841</v>
      </c>
    </row>
    <row r="85" spans="1:13" x14ac:dyDescent="0.35">
      <c r="A85" s="1158" t="s">
        <v>265</v>
      </c>
      <c r="B85" s="1139" t="e">
        <f>G60</f>
        <v>#DIV/0!</v>
      </c>
      <c r="C85" s="1139" t="e">
        <f>H60</f>
        <v>#DIV/0!</v>
      </c>
      <c r="D85" s="1139" t="e">
        <f>G63</f>
        <v>#DIV/0!</v>
      </c>
      <c r="E85" s="1139" t="e">
        <f>H63</f>
        <v>#DIV/0!</v>
      </c>
      <c r="F85" s="1139" t="e">
        <f>G68</f>
        <v>#DIV/0!</v>
      </c>
      <c r="G85" s="1139" t="e">
        <f>H68</f>
        <v>#DIV/0!</v>
      </c>
      <c r="H85" s="1139" t="e">
        <f>G72</f>
        <v>#DIV/0!</v>
      </c>
      <c r="I85" s="1139" t="e">
        <f>H72</f>
        <v>#DIV/0!</v>
      </c>
      <c r="J85" s="1139" t="e">
        <f>G74</f>
        <v>#DIV/0!</v>
      </c>
      <c r="K85" s="1139" t="e">
        <f>H74</f>
        <v>#DIV/0!</v>
      </c>
      <c r="L85" s="1139" t="e">
        <f>G78</f>
        <v>#DIV/0!</v>
      </c>
      <c r="M85" s="1149" t="e">
        <f>H78</f>
        <v>#DIV/0!</v>
      </c>
    </row>
    <row r="86" spans="1:13" x14ac:dyDescent="0.35">
      <c r="A86" s="1158" t="s">
        <v>923</v>
      </c>
      <c r="B86" s="1139">
        <f>I60</f>
        <v>-43319.538933712647</v>
      </c>
      <c r="C86" s="1139">
        <f>J60</f>
        <v>-34460.294530927524</v>
      </c>
      <c r="D86" s="1139">
        <f>I63</f>
        <v>-21627.473359942149</v>
      </c>
      <c r="E86" s="1139">
        <f>J63</f>
        <v>41461.934977269222</v>
      </c>
      <c r="F86" s="1139">
        <f>I68</f>
        <v>-41977.870465700107</v>
      </c>
      <c r="G86" s="1139">
        <f>J68</f>
        <v>6581.6078377391277</v>
      </c>
      <c r="H86" s="1139">
        <f>I72</f>
        <v>-43265.872194992146</v>
      </c>
      <c r="I86" s="1139">
        <f>J72</f>
        <v>-35970.674434405788</v>
      </c>
      <c r="J86" s="1139">
        <f>I74</f>
        <v>-21573.806621221647</v>
      </c>
      <c r="K86" s="1139">
        <f>J74</f>
        <v>39951.555073790958</v>
      </c>
      <c r="L86" s="1139">
        <f>I78</f>
        <v>-18927.390567081147</v>
      </c>
      <c r="M86" s="1149">
        <f>J78</f>
        <v>33914.662273790964</v>
      </c>
    </row>
    <row r="87" spans="1:13" x14ac:dyDescent="0.35">
      <c r="A87" s="1158" t="s">
        <v>785</v>
      </c>
      <c r="B87" s="1139">
        <f>K60</f>
        <v>-35759.584170329406</v>
      </c>
      <c r="C87" s="1139">
        <f>L60</f>
        <v>-36173.985950350871</v>
      </c>
      <c r="D87" s="1139">
        <f>K63</f>
        <v>-831.15325698046217</v>
      </c>
      <c r="E87" s="1139">
        <f>L63</f>
        <v>86075.522246370441</v>
      </c>
      <c r="F87" s="1139">
        <f>K68</f>
        <v>-35759.584170329406</v>
      </c>
      <c r="G87" s="1139">
        <f>L68</f>
        <v>-24070.273420350881</v>
      </c>
      <c r="H87" s="1139">
        <f>K72</f>
        <v>-35759.584170329406</v>
      </c>
      <c r="I87" s="1139">
        <f>L72</f>
        <v>-37088.16326035087</v>
      </c>
      <c r="J87" s="1139">
        <f>K74</f>
        <v>-831.15325698046217</v>
      </c>
      <c r="K87" s="1139">
        <f>L74</f>
        <v>85161.344936370442</v>
      </c>
      <c r="L87" s="1139">
        <f>K78</f>
        <v>-15914.10894042538</v>
      </c>
      <c r="M87" s="1149">
        <f>L78</f>
        <v>75015.937986370438</v>
      </c>
    </row>
    <row r="88" spans="1:13" ht="15" thickBot="1" x14ac:dyDescent="0.4">
      <c r="A88" s="1159" t="s">
        <v>68</v>
      </c>
      <c r="B88" s="1160"/>
      <c r="C88" s="1160"/>
      <c r="D88" s="1160"/>
      <c r="E88" s="1160"/>
      <c r="F88" s="1160"/>
      <c r="G88" s="1161"/>
      <c r="H88" s="1161"/>
      <c r="I88" s="1161"/>
      <c r="J88" s="1161"/>
      <c r="K88" s="1161"/>
      <c r="L88" s="1162"/>
      <c r="M88" s="1163"/>
    </row>
    <row r="89" spans="1:13" ht="15" thickBot="1" x14ac:dyDescent="0.4"/>
    <row r="90" spans="1:13" ht="63.65" customHeight="1" x14ac:dyDescent="0.35">
      <c r="A90" s="1157"/>
      <c r="B90" s="1521" t="s">
        <v>958</v>
      </c>
      <c r="C90" s="1521"/>
      <c r="D90" s="1517" t="s">
        <v>959</v>
      </c>
      <c r="E90" s="1517"/>
      <c r="F90" s="1517" t="s">
        <v>960</v>
      </c>
      <c r="G90" s="1517"/>
      <c r="H90" s="1517" t="s">
        <v>961</v>
      </c>
      <c r="I90" s="1517"/>
      <c r="J90" s="1522" t="s">
        <v>952</v>
      </c>
      <c r="K90" s="1522"/>
      <c r="L90" s="1517" t="s">
        <v>962</v>
      </c>
      <c r="M90" s="1518"/>
    </row>
    <row r="91" spans="1:13" x14ac:dyDescent="0.35">
      <c r="A91" s="1158" t="s">
        <v>922</v>
      </c>
      <c r="B91" s="1032" t="s">
        <v>71</v>
      </c>
      <c r="C91" s="1032" t="s">
        <v>75</v>
      </c>
      <c r="D91" s="1032" t="s">
        <v>71</v>
      </c>
      <c r="E91" s="1032" t="s">
        <v>75</v>
      </c>
      <c r="F91" s="1032" t="s">
        <v>71</v>
      </c>
      <c r="G91" s="1032" t="s">
        <v>75</v>
      </c>
      <c r="H91" s="1032" t="s">
        <v>71</v>
      </c>
      <c r="I91" s="1032" t="s">
        <v>75</v>
      </c>
      <c r="J91" s="1032" t="s">
        <v>71</v>
      </c>
      <c r="K91" s="1032" t="s">
        <v>75</v>
      </c>
      <c r="L91" s="1032" t="s">
        <v>71</v>
      </c>
      <c r="M91" s="1153" t="s">
        <v>75</v>
      </c>
    </row>
    <row r="92" spans="1:13" x14ac:dyDescent="0.35">
      <c r="A92" s="1158" t="s">
        <v>119</v>
      </c>
      <c r="B92" s="1139">
        <f>B82/175</f>
        <v>-113.59916949227103</v>
      </c>
      <c r="C92" s="1139">
        <f t="shared" ref="C92:M92" si="14">C82/175</f>
        <v>-335.36892016892648</v>
      </c>
      <c r="D92" s="1139">
        <f t="shared" si="14"/>
        <v>100.92073683091402</v>
      </c>
      <c r="E92" s="1139">
        <f t="shared" si="14"/>
        <v>415.45075196222103</v>
      </c>
      <c r="F92" s="1139">
        <f t="shared" si="14"/>
        <v>-26.28423744701082</v>
      </c>
      <c r="G92" s="1139">
        <f t="shared" si="14"/>
        <v>-370.89607750062322</v>
      </c>
      <c r="H92" s="1139">
        <f t="shared" si="14"/>
        <v>-110.10657221046068</v>
      </c>
      <c r="I92" s="1139">
        <f t="shared" si="14"/>
        <v>-337.31416360549792</v>
      </c>
      <c r="J92" s="1139">
        <f t="shared" si="14"/>
        <v>104.41333411272437</v>
      </c>
      <c r="K92" s="1139">
        <f t="shared" si="14"/>
        <v>413.50550852564965</v>
      </c>
      <c r="L92" s="1139">
        <f t="shared" si="14"/>
        <v>1101.0482032690695</v>
      </c>
      <c r="M92" s="1139">
        <f t="shared" si="14"/>
        <v>637.35860848766731</v>
      </c>
    </row>
    <row r="93" spans="1:13" x14ac:dyDescent="0.35">
      <c r="A93" s="1158" t="s">
        <v>963</v>
      </c>
      <c r="B93" s="1139">
        <f>B83/175</f>
        <v>-113.59916949227103</v>
      </c>
      <c r="C93" s="1139">
        <f t="shared" ref="C93:M93" si="15">C83/175</f>
        <v>-336.569878587272</v>
      </c>
      <c r="D93" s="1139">
        <f t="shared" si="15"/>
        <v>100.92073683091402</v>
      </c>
      <c r="E93" s="1139">
        <f t="shared" si="15"/>
        <v>414.24979354387557</v>
      </c>
      <c r="F93" s="1139">
        <f t="shared" si="15"/>
        <v>-26.28423744701082</v>
      </c>
      <c r="G93" s="1139">
        <f t="shared" si="15"/>
        <v>-120.7973021195621</v>
      </c>
      <c r="H93" s="1139">
        <f t="shared" si="15"/>
        <v>-110.10657221046068</v>
      </c>
      <c r="I93" s="1139">
        <f t="shared" si="15"/>
        <v>-338.0190570787006</v>
      </c>
      <c r="J93" s="1139">
        <f t="shared" si="15"/>
        <v>104.41333411272437</v>
      </c>
      <c r="K93" s="1139">
        <f t="shared" si="15"/>
        <v>412.80061505244697</v>
      </c>
      <c r="L93" s="1139">
        <f t="shared" si="15"/>
        <v>1101.0482032690695</v>
      </c>
      <c r="M93" s="1139">
        <f t="shared" si="15"/>
        <v>543.93668288825211</v>
      </c>
    </row>
    <row r="94" spans="1:13" x14ac:dyDescent="0.35">
      <c r="A94" s="1158" t="s">
        <v>64</v>
      </c>
      <c r="B94" s="1139">
        <f>B84/26</f>
        <v>74.757659980661344</v>
      </c>
      <c r="C94" s="1139">
        <f t="shared" ref="C94:M94" si="16">C84/26</f>
        <v>-340.75184615384597</v>
      </c>
      <c r="D94" s="1139">
        <f t="shared" si="16"/>
        <v>289.27756630384641</v>
      </c>
      <c r="E94" s="1139">
        <f t="shared" si="16"/>
        <v>410.06782597730165</v>
      </c>
      <c r="F94" s="1139">
        <f t="shared" si="16"/>
        <v>194.20442909948318</v>
      </c>
      <c r="G94" s="1139">
        <f t="shared" si="16"/>
        <v>-666.95701923076945</v>
      </c>
      <c r="H94" s="1139">
        <f t="shared" si="16"/>
        <v>79.535530745413922</v>
      </c>
      <c r="I94" s="1139">
        <f t="shared" si="16"/>
        <v>-340.75184615384597</v>
      </c>
      <c r="J94" s="1139">
        <f t="shared" si="16"/>
        <v>294.05543706859896</v>
      </c>
      <c r="K94" s="1139">
        <f t="shared" si="16"/>
        <v>410.06782597730165</v>
      </c>
      <c r="L94" s="1139">
        <f t="shared" si="16"/>
        <v>1733.6142312434758</v>
      </c>
      <c r="M94" s="1139">
        <f t="shared" si="16"/>
        <v>860.74553751576309</v>
      </c>
    </row>
    <row r="95" spans="1:13" x14ac:dyDescent="0.35">
      <c r="A95" s="1158" t="s">
        <v>265</v>
      </c>
      <c r="B95" s="1139" t="e">
        <f>B85/147</f>
        <v>#DIV/0!</v>
      </c>
      <c r="C95" s="1139" t="e">
        <f t="shared" ref="C95:M95" si="17">C85/147</f>
        <v>#DIV/0!</v>
      </c>
      <c r="D95" s="1139" t="e">
        <f t="shared" si="17"/>
        <v>#DIV/0!</v>
      </c>
      <c r="E95" s="1139" t="e">
        <f t="shared" si="17"/>
        <v>#DIV/0!</v>
      </c>
      <c r="F95" s="1139" t="e">
        <f t="shared" si="17"/>
        <v>#DIV/0!</v>
      </c>
      <c r="G95" s="1139" t="e">
        <f t="shared" si="17"/>
        <v>#DIV/0!</v>
      </c>
      <c r="H95" s="1139" t="e">
        <f t="shared" si="17"/>
        <v>#DIV/0!</v>
      </c>
      <c r="I95" s="1139" t="e">
        <f t="shared" si="17"/>
        <v>#DIV/0!</v>
      </c>
      <c r="J95" s="1139" t="e">
        <f t="shared" si="17"/>
        <v>#DIV/0!</v>
      </c>
      <c r="K95" s="1139" t="e">
        <f t="shared" si="17"/>
        <v>#DIV/0!</v>
      </c>
      <c r="L95" s="1139" t="e">
        <f t="shared" si="17"/>
        <v>#DIV/0!</v>
      </c>
      <c r="M95" s="1139" t="e">
        <f t="shared" si="17"/>
        <v>#DIV/0!</v>
      </c>
    </row>
    <row r="96" spans="1:13" x14ac:dyDescent="0.35">
      <c r="A96" s="1158" t="s">
        <v>923</v>
      </c>
      <c r="B96" s="1139">
        <f>B86/84</f>
        <v>-515.70879682991244</v>
      </c>
      <c r="C96" s="1139">
        <f t="shared" ref="C96:M96" si="18">C86/84</f>
        <v>-410.24160155866099</v>
      </c>
      <c r="D96" s="1139">
        <f t="shared" si="18"/>
        <v>-257.46992095169225</v>
      </c>
      <c r="E96" s="1139">
        <f t="shared" si="18"/>
        <v>493.59446401510979</v>
      </c>
      <c r="F96" s="1139">
        <f t="shared" si="18"/>
        <v>-499.73655316309652</v>
      </c>
      <c r="G96" s="1139">
        <f t="shared" si="18"/>
        <v>78.352474258799134</v>
      </c>
      <c r="H96" s="1139">
        <f t="shared" si="18"/>
        <v>-515.06990708323985</v>
      </c>
      <c r="I96" s="1139">
        <f t="shared" si="18"/>
        <v>-428.22231469530698</v>
      </c>
      <c r="J96" s="1139">
        <f t="shared" si="18"/>
        <v>-256.8310312050196</v>
      </c>
      <c r="K96" s="1139">
        <f t="shared" si="18"/>
        <v>475.6137508784638</v>
      </c>
      <c r="L96" s="1139">
        <f t="shared" si="18"/>
        <v>-225.32607817953746</v>
      </c>
      <c r="M96" s="1139">
        <f t="shared" si="18"/>
        <v>403.74597944989245</v>
      </c>
    </row>
    <row r="97" spans="1:13" x14ac:dyDescent="0.35">
      <c r="A97" s="1158" t="s">
        <v>785</v>
      </c>
      <c r="B97" s="1139">
        <f>B87/170</f>
        <v>-210.35049511958474</v>
      </c>
      <c r="C97" s="1139">
        <f t="shared" ref="C97:M97" si="19">C87/170</f>
        <v>-212.78815264912276</v>
      </c>
      <c r="D97" s="1139">
        <f t="shared" si="19"/>
        <v>-4.8891368057674249</v>
      </c>
      <c r="E97" s="1139">
        <f t="shared" si="19"/>
        <v>506.3266014492379</v>
      </c>
      <c r="F97" s="1139">
        <f t="shared" si="19"/>
        <v>-210.35049511958474</v>
      </c>
      <c r="G97" s="1139">
        <f t="shared" si="19"/>
        <v>-141.58984364912283</v>
      </c>
      <c r="H97" s="1139">
        <f t="shared" si="19"/>
        <v>-210.35049511958474</v>
      </c>
      <c r="I97" s="1139">
        <f t="shared" si="19"/>
        <v>-218.16566623735807</v>
      </c>
      <c r="J97" s="1139">
        <f t="shared" si="19"/>
        <v>-4.8891368057674249</v>
      </c>
      <c r="K97" s="1139">
        <f t="shared" si="19"/>
        <v>500.94908786100262</v>
      </c>
      <c r="L97" s="1139">
        <f t="shared" si="19"/>
        <v>-93.612405531913993</v>
      </c>
      <c r="M97" s="1139">
        <f t="shared" si="19"/>
        <v>441.27022344923785</v>
      </c>
    </row>
    <row r="98" spans="1:13" ht="15" thickBot="1" x14ac:dyDescent="0.4">
      <c r="A98" s="1159" t="s">
        <v>68</v>
      </c>
      <c r="B98" s="1160"/>
      <c r="C98" s="1160"/>
      <c r="D98" s="1160"/>
      <c r="E98" s="1160"/>
      <c r="F98" s="1160"/>
      <c r="G98" s="1161"/>
      <c r="H98" s="1161"/>
      <c r="I98" s="1161"/>
      <c r="J98" s="1161"/>
      <c r="K98" s="1161"/>
      <c r="L98" s="1162"/>
      <c r="M98" s="1163"/>
    </row>
  </sheetData>
  <mergeCells count="18">
    <mergeCell ref="L90:M90"/>
    <mergeCell ref="B90:C90"/>
    <mergeCell ref="D90:E90"/>
    <mergeCell ref="F90:G90"/>
    <mergeCell ref="H90:I90"/>
    <mergeCell ref="J90:K90"/>
    <mergeCell ref="A38:A39"/>
    <mergeCell ref="L80:M80"/>
    <mergeCell ref="G38:H38"/>
    <mergeCell ref="B38:D38"/>
    <mergeCell ref="E38:F38"/>
    <mergeCell ref="I38:J38"/>
    <mergeCell ref="K38:L38"/>
    <mergeCell ref="B80:C80"/>
    <mergeCell ref="D80:E80"/>
    <mergeCell ref="F80:G80"/>
    <mergeCell ref="H80:I80"/>
    <mergeCell ref="J80:K80"/>
  </mergeCells>
  <pageMargins left="0.7" right="0.7" top="0.75" bottom="0.75" header="0.3" footer="0.3"/>
  <pageSetup paperSize="9"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A93C1-34B7-44CA-9C3C-64EDE71C83E1}">
  <dimension ref="A1:BB135"/>
  <sheetViews>
    <sheetView workbookViewId="0"/>
  </sheetViews>
  <sheetFormatPr defaultColWidth="8.81640625" defaultRowHeight="10.5" x14ac:dyDescent="0.25"/>
  <cols>
    <col min="1" max="1" width="2.453125" style="235" customWidth="1"/>
    <col min="2" max="2" width="45.54296875" style="2" customWidth="1"/>
    <col min="3" max="3" width="15.1796875" style="180" customWidth="1"/>
    <col min="4" max="4" width="14.81640625" style="233" customWidth="1"/>
    <col min="5" max="5" width="14.81640625" style="181" customWidth="1"/>
    <col min="6" max="6" width="15.1796875" style="180" customWidth="1"/>
    <col min="7" max="7" width="14.81640625" style="234" customWidth="1"/>
    <col min="8" max="8" width="15.1796875" style="180" customWidth="1"/>
    <col min="9" max="9" width="14.81640625" style="234" customWidth="1"/>
    <col min="10" max="10" width="15.1796875" style="180" customWidth="1"/>
    <col min="11" max="11" width="14.81640625" style="234" customWidth="1"/>
    <col min="12" max="12" width="15.1796875" style="180" customWidth="1"/>
    <col min="13" max="13" width="14.81640625" style="234" customWidth="1"/>
    <col min="14" max="14" width="15.1796875" style="180" customWidth="1"/>
    <col min="15" max="15" width="14.81640625" style="234" customWidth="1"/>
    <col min="16" max="33" width="8.81640625" style="235"/>
    <col min="34" max="16384" width="8.81640625" style="2"/>
  </cols>
  <sheetData>
    <row r="1" spans="1:54" s="235" customFormat="1" ht="11" thickBot="1" x14ac:dyDescent="0.3"/>
    <row r="2" spans="1:54" s="8" customFormat="1" ht="16.399999999999999" customHeight="1" x14ac:dyDescent="0.25">
      <c r="A2" s="235"/>
      <c r="B2" s="182"/>
      <c r="C2" s="1462" t="s">
        <v>818</v>
      </c>
      <c r="D2" s="1467"/>
      <c r="E2" s="1463"/>
      <c r="F2" s="1523" t="s">
        <v>819</v>
      </c>
      <c r="G2" s="1524"/>
      <c r="H2" s="1523" t="s">
        <v>820</v>
      </c>
      <c r="I2" s="1524"/>
      <c r="J2" s="1523" t="s">
        <v>821</v>
      </c>
      <c r="K2" s="1524"/>
      <c r="L2" s="1523" t="s">
        <v>839</v>
      </c>
      <c r="M2" s="1524"/>
      <c r="N2" s="1523" t="s">
        <v>823</v>
      </c>
      <c r="O2" s="1524"/>
      <c r="P2" s="235"/>
      <c r="Q2" s="235"/>
      <c r="R2" s="235"/>
      <c r="S2" s="235"/>
      <c r="T2" s="235"/>
      <c r="U2" s="235"/>
      <c r="V2" s="235"/>
      <c r="W2" s="235"/>
      <c r="X2" s="235"/>
      <c r="Y2" s="235"/>
      <c r="Z2" s="235"/>
      <c r="AA2" s="235"/>
      <c r="AB2" s="235"/>
      <c r="AC2" s="235"/>
      <c r="AD2" s="235"/>
      <c r="AE2" s="235"/>
      <c r="AF2" s="235"/>
      <c r="AG2" s="235"/>
      <c r="AH2" s="2"/>
      <c r="AI2" s="2"/>
      <c r="AJ2" s="2"/>
      <c r="AK2" s="2"/>
      <c r="AL2" s="2"/>
      <c r="AM2" s="2"/>
      <c r="AN2" s="2"/>
      <c r="AO2" s="2"/>
      <c r="AP2" s="2"/>
      <c r="AQ2" s="2"/>
      <c r="AR2" s="2"/>
      <c r="AS2" s="2"/>
      <c r="AT2" s="2"/>
      <c r="AU2" s="2"/>
      <c r="AV2" s="2"/>
      <c r="AW2" s="2"/>
      <c r="AX2" s="2"/>
      <c r="AY2" s="2"/>
      <c r="AZ2" s="2"/>
      <c r="BA2" s="2"/>
    </row>
    <row r="3" spans="1:54" s="188" customFormat="1" ht="38.5" customHeight="1" x14ac:dyDescent="0.35">
      <c r="A3" s="236"/>
      <c r="B3" s="183" t="s">
        <v>70</v>
      </c>
      <c r="C3" s="184" t="s">
        <v>196</v>
      </c>
      <c r="D3" s="185" t="s">
        <v>924</v>
      </c>
      <c r="E3" s="186" t="s">
        <v>925</v>
      </c>
      <c r="F3" s="184" t="s">
        <v>196</v>
      </c>
      <c r="G3" s="187" t="s">
        <v>74</v>
      </c>
      <c r="H3" s="184" t="s">
        <v>196</v>
      </c>
      <c r="I3" s="187" t="s">
        <v>74</v>
      </c>
      <c r="J3" s="184" t="s">
        <v>196</v>
      </c>
      <c r="K3" s="187" t="s">
        <v>74</v>
      </c>
      <c r="L3" s="184" t="s">
        <v>196</v>
      </c>
      <c r="M3" s="187" t="s">
        <v>74</v>
      </c>
      <c r="N3" s="184" t="s">
        <v>196</v>
      </c>
      <c r="O3" s="187" t="s">
        <v>74</v>
      </c>
      <c r="P3" s="236"/>
      <c r="Q3" s="236"/>
      <c r="R3" s="236"/>
      <c r="S3" s="236"/>
      <c r="T3" s="236"/>
      <c r="U3" s="236"/>
      <c r="V3" s="236"/>
      <c r="W3" s="236"/>
      <c r="X3" s="236"/>
      <c r="Y3" s="236"/>
      <c r="Z3" s="236"/>
      <c r="AA3" s="236"/>
      <c r="AB3" s="236"/>
      <c r="AC3" s="236"/>
      <c r="AD3" s="236"/>
      <c r="AE3" s="236"/>
      <c r="AF3" s="236"/>
      <c r="AG3" s="236"/>
      <c r="AH3" s="96"/>
      <c r="AI3" s="96"/>
      <c r="AJ3" s="96"/>
      <c r="AK3" s="96"/>
      <c r="AL3" s="96"/>
      <c r="AM3" s="96"/>
      <c r="AN3" s="96"/>
      <c r="AO3" s="96"/>
      <c r="AP3" s="96"/>
      <c r="AQ3" s="96"/>
      <c r="AR3" s="96"/>
      <c r="AS3" s="96"/>
      <c r="AT3" s="96"/>
      <c r="AU3" s="96"/>
      <c r="AV3" s="96"/>
      <c r="AW3" s="96"/>
      <c r="AX3" s="96"/>
      <c r="AY3" s="96"/>
      <c r="AZ3" s="96"/>
      <c r="BA3" s="96"/>
    </row>
    <row r="4" spans="1:54" s="192" customFormat="1" ht="11" thickBot="1" x14ac:dyDescent="0.3">
      <c r="A4" s="237"/>
      <c r="B4" s="189" t="s">
        <v>76</v>
      </c>
      <c r="C4" s="725">
        <v>175</v>
      </c>
      <c r="D4" s="726">
        <v>175</v>
      </c>
      <c r="E4" s="727">
        <v>175</v>
      </c>
      <c r="F4" s="725">
        <v>26</v>
      </c>
      <c r="G4" s="727">
        <v>26</v>
      </c>
      <c r="H4" s="725">
        <v>147</v>
      </c>
      <c r="I4" s="727">
        <v>147</v>
      </c>
      <c r="J4" s="725">
        <v>84</v>
      </c>
      <c r="K4" s="727">
        <v>84</v>
      </c>
      <c r="L4" s="725">
        <v>170</v>
      </c>
      <c r="M4" s="727">
        <v>170</v>
      </c>
      <c r="N4" s="725">
        <v>92</v>
      </c>
      <c r="O4" s="727">
        <v>92</v>
      </c>
      <c r="P4" s="237"/>
      <c r="Q4" s="237"/>
      <c r="R4" s="237"/>
      <c r="S4" s="237"/>
      <c r="T4" s="237"/>
      <c r="U4" s="237"/>
      <c r="V4" s="237"/>
      <c r="W4" s="237"/>
      <c r="X4" s="237"/>
      <c r="Y4" s="237"/>
      <c r="Z4" s="237"/>
      <c r="AA4" s="237"/>
      <c r="AB4" s="237"/>
      <c r="AC4" s="237"/>
      <c r="AD4" s="237"/>
      <c r="AE4" s="237"/>
      <c r="AF4" s="237"/>
      <c r="AG4" s="237"/>
      <c r="AH4" s="190"/>
      <c r="AI4" s="190"/>
      <c r="AJ4" s="190"/>
      <c r="AK4" s="190"/>
      <c r="AL4" s="190"/>
      <c r="AM4" s="190"/>
      <c r="AN4" s="190"/>
      <c r="AO4" s="190"/>
      <c r="AP4" s="190"/>
      <c r="AQ4" s="190"/>
      <c r="AR4" s="190"/>
      <c r="AS4" s="190"/>
      <c r="AT4" s="190"/>
      <c r="AU4" s="190"/>
      <c r="AV4" s="190"/>
      <c r="AW4" s="190"/>
      <c r="AX4" s="190"/>
      <c r="AY4" s="190"/>
      <c r="AZ4" s="190"/>
      <c r="BA4" s="190"/>
      <c r="BB4" s="191"/>
    </row>
    <row r="5" spans="1:54" s="198" customFormat="1" ht="21" x14ac:dyDescent="0.25">
      <c r="A5" s="235"/>
      <c r="B5" s="193" t="s">
        <v>78</v>
      </c>
      <c r="C5" s="194"/>
      <c r="D5" s="195"/>
      <c r="E5" s="196"/>
      <c r="F5" s="194"/>
      <c r="G5" s="196"/>
      <c r="H5" s="194"/>
      <c r="I5" s="196"/>
      <c r="J5" s="194"/>
      <c r="K5" s="196"/>
      <c r="L5" s="194"/>
      <c r="M5" s="196"/>
      <c r="N5" s="194"/>
      <c r="O5" s="196"/>
      <c r="P5" s="235"/>
      <c r="Q5" s="235"/>
      <c r="R5" s="235"/>
      <c r="S5" s="235"/>
      <c r="T5" s="235"/>
      <c r="U5" s="235"/>
      <c r="V5" s="235"/>
      <c r="W5" s="235"/>
      <c r="X5" s="235"/>
      <c r="Y5" s="235"/>
      <c r="Z5" s="235"/>
      <c r="AA5" s="235"/>
      <c r="AB5" s="235"/>
      <c r="AC5" s="235"/>
      <c r="AD5" s="235"/>
      <c r="AE5" s="235"/>
      <c r="AF5" s="235"/>
      <c r="AG5" s="235"/>
      <c r="AH5" s="2"/>
      <c r="AI5" s="2"/>
      <c r="AJ5" s="2"/>
      <c r="AK5" s="2"/>
      <c r="AL5" s="2"/>
      <c r="AM5" s="2"/>
      <c r="AN5" s="2"/>
      <c r="AO5" s="2"/>
      <c r="AP5" s="2"/>
      <c r="AQ5" s="2"/>
      <c r="AR5" s="2"/>
      <c r="AS5" s="2"/>
      <c r="AT5" s="2"/>
      <c r="AU5" s="2"/>
      <c r="AV5" s="2"/>
      <c r="AW5" s="2"/>
      <c r="AX5" s="2"/>
      <c r="AY5" s="2"/>
      <c r="AZ5" s="2"/>
      <c r="BA5" s="2"/>
      <c r="BB5" s="197"/>
    </row>
    <row r="6" spans="1:54" s="202" customFormat="1" x14ac:dyDescent="0.25">
      <c r="A6" s="235"/>
      <c r="B6" s="199" t="s">
        <v>79</v>
      </c>
      <c r="C6" s="200">
        <f>C4*15%</f>
        <v>26.25</v>
      </c>
      <c r="D6" s="717">
        <v>52.33</v>
      </c>
      <c r="E6" s="718">
        <f>78.5</f>
        <v>78.5</v>
      </c>
      <c r="F6" s="925">
        <v>0</v>
      </c>
      <c r="G6" s="718">
        <v>7</v>
      </c>
      <c r="H6" s="200">
        <f>H4*0.6</f>
        <v>88.2</v>
      </c>
      <c r="I6" s="718">
        <v>106</v>
      </c>
      <c r="J6" s="200">
        <f>0.81*J4</f>
        <v>68.040000000000006</v>
      </c>
      <c r="K6" s="718">
        <v>76</v>
      </c>
      <c r="L6" s="200">
        <f>56%*L4</f>
        <v>95.2</v>
      </c>
      <c r="M6" s="718">
        <v>34.5</v>
      </c>
      <c r="N6" s="200">
        <f>0.45*N4</f>
        <v>41.4</v>
      </c>
      <c r="O6" s="718">
        <v>36</v>
      </c>
      <c r="P6" s="235"/>
      <c r="Q6" s="235"/>
      <c r="R6" s="235"/>
      <c r="S6" s="235"/>
      <c r="T6" s="235"/>
      <c r="U6" s="235"/>
      <c r="V6" s="235"/>
      <c r="W6" s="235"/>
      <c r="X6" s="235"/>
      <c r="Y6" s="235"/>
      <c r="Z6" s="235"/>
      <c r="AA6" s="235"/>
      <c r="AB6" s="235"/>
      <c r="AC6" s="235"/>
      <c r="AD6" s="235"/>
      <c r="AE6" s="235"/>
      <c r="AF6" s="235"/>
      <c r="AG6" s="235"/>
      <c r="AH6" s="2"/>
      <c r="AI6" s="2"/>
      <c r="AJ6" s="2"/>
      <c r="AK6" s="2"/>
      <c r="AL6" s="2"/>
      <c r="AM6" s="2"/>
      <c r="AN6" s="2"/>
      <c r="AO6" s="2"/>
      <c r="AP6" s="2"/>
      <c r="AQ6" s="2"/>
      <c r="AR6" s="2"/>
      <c r="AS6" s="2"/>
      <c r="AT6" s="2"/>
      <c r="AU6" s="2"/>
      <c r="AV6" s="2"/>
      <c r="AW6" s="2"/>
      <c r="AX6" s="2"/>
      <c r="AY6" s="2"/>
      <c r="AZ6" s="2"/>
      <c r="BA6" s="2"/>
      <c r="BB6" s="201"/>
    </row>
    <row r="7" spans="1:54" s="202" customFormat="1" x14ac:dyDescent="0.25">
      <c r="A7" s="235"/>
      <c r="B7" s="199" t="s">
        <v>81</v>
      </c>
      <c r="C7" s="200">
        <f>C4*0%</f>
        <v>0</v>
      </c>
      <c r="D7" s="717">
        <v>0</v>
      </c>
      <c r="E7" s="718">
        <v>0</v>
      </c>
      <c r="F7" s="925">
        <v>0</v>
      </c>
      <c r="G7" s="718">
        <v>0</v>
      </c>
      <c r="H7" s="925">
        <v>0</v>
      </c>
      <c r="I7" s="718">
        <v>0</v>
      </c>
      <c r="J7" s="200">
        <f>0.014*J4</f>
        <v>1.1759999999999999</v>
      </c>
      <c r="K7" s="718">
        <v>0</v>
      </c>
      <c r="L7" s="200">
        <f>25%*L4</f>
        <v>42.5</v>
      </c>
      <c r="M7" s="718">
        <v>103.5</v>
      </c>
      <c r="N7" s="200">
        <v>0</v>
      </c>
      <c r="O7" s="718">
        <v>0</v>
      </c>
      <c r="P7" s="235"/>
      <c r="Q7" s="235"/>
      <c r="R7" s="235"/>
      <c r="S7" s="235"/>
      <c r="T7" s="235"/>
      <c r="U7" s="235"/>
      <c r="V7" s="235"/>
      <c r="W7" s="235"/>
      <c r="X7" s="235"/>
      <c r="Y7" s="235"/>
      <c r="Z7" s="235"/>
      <c r="AA7" s="235"/>
      <c r="AB7" s="235"/>
      <c r="AC7" s="235"/>
      <c r="AD7" s="235"/>
      <c r="AE7" s="235"/>
      <c r="AF7" s="235"/>
      <c r="AG7" s="235"/>
      <c r="AH7" s="2"/>
      <c r="AI7" s="2"/>
      <c r="AJ7" s="2"/>
      <c r="AK7" s="2"/>
      <c r="AL7" s="2"/>
      <c r="AM7" s="2"/>
      <c r="AN7" s="2"/>
      <c r="AO7" s="2"/>
      <c r="AP7" s="2"/>
      <c r="AQ7" s="2"/>
      <c r="AR7" s="2"/>
      <c r="AS7" s="2"/>
      <c r="AT7" s="2"/>
      <c r="AU7" s="2"/>
      <c r="AV7" s="2"/>
      <c r="AW7" s="2"/>
      <c r="AX7" s="2"/>
      <c r="AY7" s="2"/>
      <c r="AZ7" s="2"/>
      <c r="BA7" s="2"/>
      <c r="BB7" s="201"/>
    </row>
    <row r="8" spans="1:54" s="202" customFormat="1" x14ac:dyDescent="0.25">
      <c r="A8" s="235"/>
      <c r="B8" s="199" t="s">
        <v>82</v>
      </c>
      <c r="C8" s="217">
        <f>C4*0%</f>
        <v>0</v>
      </c>
      <c r="D8" s="719">
        <v>0</v>
      </c>
      <c r="E8" s="720">
        <v>0</v>
      </c>
      <c r="F8" s="926">
        <v>0</v>
      </c>
      <c r="G8" s="720">
        <v>0</v>
      </c>
      <c r="H8" s="926">
        <v>0</v>
      </c>
      <c r="I8" s="720">
        <v>0</v>
      </c>
      <c r="J8" s="928">
        <v>0</v>
      </c>
      <c r="K8" s="720">
        <v>0</v>
      </c>
      <c r="L8" s="728">
        <f>16%*L4</f>
        <v>27.2</v>
      </c>
      <c r="M8" s="722">
        <f>L8</f>
        <v>27.2</v>
      </c>
      <c r="N8" s="203">
        <v>0</v>
      </c>
      <c r="O8" s="720">
        <v>0</v>
      </c>
      <c r="P8" s="235"/>
      <c r="Q8" s="235"/>
      <c r="R8" s="235"/>
      <c r="S8" s="235"/>
      <c r="T8" s="235"/>
      <c r="U8" s="235"/>
      <c r="V8" s="235"/>
      <c r="W8" s="235"/>
      <c r="X8" s="235"/>
      <c r="Y8" s="235"/>
      <c r="Z8" s="235"/>
      <c r="AA8" s="235"/>
      <c r="AB8" s="235"/>
      <c r="AC8" s="235"/>
      <c r="AD8" s="235"/>
      <c r="AE8" s="235"/>
      <c r="AF8" s="235"/>
      <c r="AG8" s="235"/>
      <c r="AH8" s="2"/>
      <c r="AI8" s="2"/>
      <c r="AJ8" s="2"/>
      <c r="AK8" s="2"/>
      <c r="AL8" s="2"/>
      <c r="AM8" s="2"/>
      <c r="AN8" s="2"/>
      <c r="AO8" s="2"/>
      <c r="AP8" s="2"/>
      <c r="AQ8" s="2"/>
      <c r="AR8" s="2"/>
      <c r="AS8" s="2"/>
      <c r="AT8" s="2"/>
      <c r="AU8" s="2"/>
      <c r="AV8" s="2"/>
      <c r="AW8" s="2"/>
      <c r="AX8" s="2"/>
      <c r="AY8" s="2"/>
      <c r="AZ8" s="2"/>
      <c r="BA8" s="2"/>
      <c r="BB8" s="201"/>
    </row>
    <row r="9" spans="1:54" s="202" customFormat="1" x14ac:dyDescent="0.25">
      <c r="A9" s="235"/>
      <c r="B9" s="199" t="s">
        <v>964</v>
      </c>
      <c r="C9" s="728">
        <f>C4*82%</f>
        <v>143.5</v>
      </c>
      <c r="D9" s="721">
        <v>104.7</v>
      </c>
      <c r="E9" s="722">
        <v>78</v>
      </c>
      <c r="F9" s="926">
        <v>25</v>
      </c>
      <c r="G9" s="720">
        <v>17.5</v>
      </c>
      <c r="H9" s="928">
        <f>H4*0.3</f>
        <v>44.1</v>
      </c>
      <c r="I9" s="720">
        <v>26</v>
      </c>
      <c r="J9" s="928">
        <f>0.15*J4</f>
        <v>12.6</v>
      </c>
      <c r="K9" s="720">
        <v>0</v>
      </c>
      <c r="L9" s="728">
        <v>0</v>
      </c>
      <c r="M9" s="720">
        <v>0</v>
      </c>
      <c r="N9" s="203">
        <f>0.5*N4</f>
        <v>46</v>
      </c>
      <c r="O9" s="720">
        <v>47</v>
      </c>
      <c r="P9" s="235"/>
      <c r="Q9" s="235"/>
      <c r="R9" s="235"/>
      <c r="S9" s="235"/>
      <c r="T9" s="235"/>
      <c r="U9" s="235"/>
      <c r="V9" s="235"/>
      <c r="W9" s="235"/>
      <c r="X9" s="235"/>
      <c r="Y9" s="235"/>
      <c r="Z9" s="235"/>
      <c r="AA9" s="235"/>
      <c r="AB9" s="235"/>
      <c r="AC9" s="235"/>
      <c r="AD9" s="235"/>
      <c r="AE9" s="235"/>
      <c r="AF9" s="235"/>
      <c r="AG9" s="235"/>
      <c r="AH9" s="2"/>
      <c r="AI9" s="2"/>
      <c r="AJ9" s="2"/>
      <c r="AK9" s="2"/>
      <c r="AL9" s="2"/>
      <c r="AM9" s="2"/>
      <c r="AN9" s="2"/>
      <c r="AO9" s="2"/>
      <c r="AP9" s="2"/>
      <c r="AQ9" s="2"/>
      <c r="AR9" s="2"/>
      <c r="AS9" s="2"/>
      <c r="AT9" s="2"/>
      <c r="AU9" s="2"/>
      <c r="AV9" s="2"/>
      <c r="AW9" s="2"/>
      <c r="AX9" s="2"/>
      <c r="AY9" s="2"/>
      <c r="AZ9" s="2"/>
      <c r="BA9" s="2"/>
      <c r="BB9" s="201"/>
    </row>
    <row r="10" spans="1:54" s="202" customFormat="1" x14ac:dyDescent="0.25">
      <c r="A10" s="235"/>
      <c r="B10" s="228" t="s">
        <v>84</v>
      </c>
      <c r="C10" s="1003">
        <v>0</v>
      </c>
      <c r="D10" s="1004">
        <v>0</v>
      </c>
      <c r="E10" s="1005">
        <v>0</v>
      </c>
      <c r="F10" s="1006">
        <v>0</v>
      </c>
      <c r="G10" s="1007">
        <v>0</v>
      </c>
      <c r="H10" s="1008">
        <v>0</v>
      </c>
      <c r="I10" s="1007">
        <v>0</v>
      </c>
      <c r="J10" s="1008">
        <v>0</v>
      </c>
      <c r="K10" s="1007">
        <v>0</v>
      </c>
      <c r="L10" s="1003">
        <v>0</v>
      </c>
      <c r="M10" s="1007">
        <v>0</v>
      </c>
      <c r="N10" s="1009">
        <v>0</v>
      </c>
      <c r="O10" s="1007">
        <v>2</v>
      </c>
      <c r="P10" s="235"/>
      <c r="Q10" s="235"/>
      <c r="R10" s="235"/>
      <c r="S10" s="235"/>
      <c r="T10" s="235"/>
      <c r="U10" s="235"/>
      <c r="V10" s="235"/>
      <c r="W10" s="235"/>
      <c r="X10" s="235"/>
      <c r="Y10" s="235"/>
      <c r="Z10" s="235"/>
      <c r="AA10" s="235"/>
      <c r="AB10" s="235"/>
      <c r="AC10" s="235"/>
      <c r="AD10" s="235"/>
      <c r="AE10" s="235"/>
      <c r="AF10" s="235"/>
      <c r="AG10" s="235"/>
      <c r="AH10" s="2"/>
      <c r="AI10" s="2"/>
      <c r="AJ10" s="2"/>
      <c r="AK10" s="2"/>
      <c r="AL10" s="2"/>
      <c r="AM10" s="2"/>
      <c r="AN10" s="2"/>
      <c r="AO10" s="2"/>
      <c r="AP10" s="2"/>
      <c r="AQ10" s="2"/>
      <c r="AR10" s="2"/>
      <c r="AS10" s="2"/>
      <c r="AT10" s="2"/>
      <c r="AU10" s="2"/>
      <c r="AV10" s="2"/>
      <c r="AW10" s="2"/>
      <c r="AX10" s="2"/>
      <c r="AY10" s="2"/>
      <c r="AZ10" s="2"/>
      <c r="BA10" s="2"/>
      <c r="BB10" s="201"/>
    </row>
    <row r="11" spans="1:54" s="202" customFormat="1" ht="11" thickBot="1" x14ac:dyDescent="0.3">
      <c r="A11" s="235"/>
      <c r="B11" s="204" t="s">
        <v>85</v>
      </c>
      <c r="C11" s="729">
        <f>C4*3%</f>
        <v>5.25</v>
      </c>
      <c r="D11" s="723">
        <v>17.5</v>
      </c>
      <c r="E11" s="724">
        <f>D11</f>
        <v>17.5</v>
      </c>
      <c r="F11" s="1002">
        <v>1</v>
      </c>
      <c r="G11" s="947">
        <v>2.5</v>
      </c>
      <c r="H11" s="927">
        <f>H4*0.1</f>
        <v>14.700000000000001</v>
      </c>
      <c r="I11" s="916">
        <f>I4*10%</f>
        <v>14.700000000000001</v>
      </c>
      <c r="J11" s="927">
        <v>2.2999999999999998</v>
      </c>
      <c r="K11" s="947">
        <v>8</v>
      </c>
      <c r="L11" s="729">
        <f>3%*L4</f>
        <v>5.0999999999999996</v>
      </c>
      <c r="M11" s="724">
        <f>M4*5%</f>
        <v>8.5</v>
      </c>
      <c r="N11" s="927">
        <f>0.05*N4</f>
        <v>4.6000000000000005</v>
      </c>
      <c r="O11" s="947">
        <v>7</v>
      </c>
      <c r="P11" s="235"/>
      <c r="Q11" s="235"/>
      <c r="R11" s="235"/>
      <c r="S11" s="235"/>
      <c r="T11" s="235"/>
      <c r="U11" s="235"/>
      <c r="V11" s="235"/>
      <c r="W11" s="235"/>
      <c r="X11" s="235"/>
      <c r="Y11" s="235"/>
      <c r="Z11" s="235"/>
      <c r="AA11" s="235"/>
      <c r="AB11" s="235"/>
      <c r="AC11" s="235"/>
      <c r="AD11" s="235"/>
      <c r="AE11" s="235"/>
      <c r="AF11" s="235"/>
      <c r="AG11" s="235"/>
      <c r="AH11" s="2"/>
      <c r="AI11" s="2"/>
      <c r="AJ11" s="2"/>
      <c r="AK11" s="2"/>
      <c r="AL11" s="2"/>
      <c r="AM11" s="2"/>
      <c r="AN11" s="2"/>
      <c r="AO11" s="2"/>
      <c r="AP11" s="2"/>
      <c r="AQ11" s="2"/>
      <c r="AR11" s="2"/>
      <c r="AS11" s="2"/>
      <c r="AT11" s="2"/>
      <c r="AU11" s="2"/>
      <c r="AV11" s="2"/>
      <c r="AW11" s="2"/>
      <c r="AX11" s="2"/>
      <c r="AY11" s="2"/>
      <c r="AZ11" s="2"/>
      <c r="BA11" s="2"/>
      <c r="BB11" s="201"/>
    </row>
    <row r="12" spans="1:54" s="198" customFormat="1" x14ac:dyDescent="0.25">
      <c r="A12" s="235"/>
      <c r="B12" s="193" t="s">
        <v>86</v>
      </c>
      <c r="C12" s="205"/>
      <c r="D12" s="206"/>
      <c r="E12" s="207"/>
      <c r="F12" s="205"/>
      <c r="G12" s="207"/>
      <c r="H12" s="205"/>
      <c r="I12" s="207"/>
      <c r="J12" s="205"/>
      <c r="K12" s="207"/>
      <c r="L12" s="205"/>
      <c r="M12" s="942"/>
      <c r="N12" s="205"/>
      <c r="O12" s="207"/>
      <c r="P12" s="235"/>
      <c r="Q12" s="235"/>
      <c r="R12" s="235"/>
      <c r="S12" s="235"/>
      <c r="T12" s="235"/>
      <c r="U12" s="235"/>
      <c r="V12" s="235"/>
      <c r="W12" s="235"/>
      <c r="X12" s="235"/>
      <c r="Y12" s="235"/>
      <c r="Z12" s="235"/>
      <c r="AA12" s="235"/>
      <c r="AB12" s="235"/>
      <c r="AC12" s="235"/>
      <c r="AD12" s="235"/>
      <c r="AE12" s="235"/>
      <c r="AF12" s="235"/>
      <c r="AG12" s="235"/>
      <c r="AH12" s="2"/>
      <c r="AI12" s="2"/>
      <c r="AJ12" s="2"/>
      <c r="AK12" s="2"/>
      <c r="AL12" s="2"/>
      <c r="AM12" s="2"/>
      <c r="AN12" s="2"/>
      <c r="AO12" s="2"/>
      <c r="AP12" s="2"/>
      <c r="AQ12" s="2"/>
      <c r="AR12" s="2"/>
      <c r="AS12" s="2"/>
      <c r="AT12" s="2"/>
      <c r="AU12" s="2"/>
      <c r="AV12" s="2"/>
      <c r="AW12" s="2"/>
      <c r="AX12" s="2"/>
      <c r="AY12" s="2"/>
      <c r="AZ12" s="2"/>
      <c r="BA12" s="2"/>
      <c r="BB12" s="197"/>
    </row>
    <row r="13" spans="1:54" s="202" customFormat="1" x14ac:dyDescent="0.25">
      <c r="A13" s="235"/>
      <c r="B13" s="199" t="s">
        <v>87</v>
      </c>
      <c r="C13" s="208">
        <f>C9*'Cropping allocation'!F27</f>
        <v>178829.54851796073</v>
      </c>
      <c r="D13" s="638">
        <f>(D9+D6)*'Cropping allocation'!N27</f>
        <v>122858.96341666665</v>
      </c>
      <c r="E13" s="654">
        <f>(E9+E6)*'Cropping allocation'!N56</f>
        <v>96622.578333333324</v>
      </c>
      <c r="F13" s="943">
        <f>F9*'Cropping allocation'!F93</f>
        <v>47879.782170199105</v>
      </c>
      <c r="G13" s="920">
        <f>(G9+G6)*'Cropping allocation'!N93</f>
        <v>77713.474999999991</v>
      </c>
      <c r="H13" s="931">
        <f>H9*'Cropping allocation'!F27</f>
        <v>54957.37344698306</v>
      </c>
      <c r="I13" s="656">
        <f>I9*'Cropping allocation'!N69</f>
        <v>22805.25</v>
      </c>
      <c r="J13" s="943">
        <f>J9*'Cropping allocation'!F27</f>
        <v>15702.106699138016</v>
      </c>
      <c r="K13" s="920">
        <v>0</v>
      </c>
      <c r="L13" s="943">
        <v>0</v>
      </c>
      <c r="M13" s="920">
        <v>0</v>
      </c>
      <c r="N13" s="943">
        <f>N9*'Cropping allocation'!F93</f>
        <v>88098.799193166356</v>
      </c>
      <c r="O13" s="920">
        <f>(O10*'Cropping GMs - N cost Grain £'!AS100)+((O6+O9)*'Cropping allocation'!N93)</f>
        <v>279934.22142857144</v>
      </c>
      <c r="P13" s="235"/>
      <c r="Q13" s="235"/>
      <c r="R13" s="235"/>
      <c r="S13" s="235"/>
      <c r="T13" s="235"/>
      <c r="U13" s="235"/>
      <c r="V13" s="235"/>
      <c r="W13" s="235"/>
      <c r="X13" s="235"/>
      <c r="Y13" s="235"/>
      <c r="Z13" s="235"/>
      <c r="AA13" s="235"/>
      <c r="AB13" s="235"/>
      <c r="AC13" s="235"/>
      <c r="AD13" s="235"/>
      <c r="AE13" s="235"/>
      <c r="AF13" s="235"/>
      <c r="AG13" s="235"/>
      <c r="AH13" s="2"/>
      <c r="AI13" s="2"/>
      <c r="AJ13" s="2"/>
      <c r="AK13" s="2"/>
      <c r="AL13" s="2"/>
      <c r="AM13" s="2"/>
      <c r="AN13" s="2"/>
      <c r="AO13" s="2"/>
      <c r="AP13" s="2"/>
      <c r="AQ13" s="2"/>
      <c r="AR13" s="2"/>
      <c r="AS13" s="2"/>
      <c r="AT13" s="2"/>
      <c r="AU13" s="2"/>
      <c r="AV13" s="2"/>
      <c r="AW13" s="2"/>
      <c r="AX13" s="2"/>
      <c r="AY13" s="2"/>
      <c r="AZ13" s="2"/>
      <c r="BA13" s="2"/>
      <c r="BB13" s="201"/>
    </row>
    <row r="14" spans="1:54" s="202" customFormat="1" x14ac:dyDescent="0.25">
      <c r="A14" s="235"/>
      <c r="B14" s="199" t="s">
        <v>89</v>
      </c>
      <c r="C14" s="209">
        <v>0</v>
      </c>
      <c r="D14" s="643">
        <v>0</v>
      </c>
      <c r="E14" s="655">
        <v>0</v>
      </c>
      <c r="F14" s="214">
        <v>0</v>
      </c>
      <c r="G14" s="653">
        <v>0</v>
      </c>
      <c r="H14" s="929">
        <v>0</v>
      </c>
      <c r="I14" s="655">
        <v>0</v>
      </c>
      <c r="J14" s="214">
        <v>0</v>
      </c>
      <c r="K14" s="653">
        <v>0</v>
      </c>
      <c r="L14" s="214">
        <f>(SUM(L6:L8))*'Livestock allocation'!G32</f>
        <v>89122.835595310375</v>
      </c>
      <c r="M14" s="653">
        <f>(M6+M7+M8)*'Livestock allocation'!U32</f>
        <v>66661.572833333325</v>
      </c>
      <c r="N14" s="214">
        <v>0</v>
      </c>
      <c r="O14" s="653">
        <v>0</v>
      </c>
      <c r="P14" s="235"/>
      <c r="Q14" s="235"/>
      <c r="R14" s="235"/>
      <c r="S14" s="235"/>
      <c r="T14" s="235"/>
      <c r="U14" s="235"/>
      <c r="V14" s="235"/>
      <c r="W14" s="235"/>
      <c r="X14" s="235"/>
      <c r="Y14" s="235"/>
      <c r="Z14" s="235"/>
      <c r="AA14" s="235"/>
      <c r="AB14" s="235"/>
      <c r="AC14" s="235"/>
      <c r="AD14" s="235"/>
      <c r="AE14" s="235"/>
      <c r="AF14" s="235"/>
      <c r="AG14" s="235"/>
      <c r="AH14" s="2"/>
      <c r="AI14" s="2"/>
      <c r="AJ14" s="2"/>
      <c r="AK14" s="2"/>
      <c r="AL14" s="2"/>
      <c r="AM14" s="2"/>
      <c r="AN14" s="2"/>
      <c r="AO14" s="2"/>
      <c r="AP14" s="2"/>
      <c r="AQ14" s="2"/>
      <c r="AR14" s="2"/>
      <c r="AS14" s="2"/>
      <c r="AT14" s="2"/>
      <c r="AU14" s="2"/>
      <c r="AV14" s="2"/>
      <c r="AW14" s="2"/>
      <c r="AX14" s="2"/>
      <c r="AY14" s="2"/>
      <c r="AZ14" s="2"/>
      <c r="BA14" s="2"/>
      <c r="BB14" s="201"/>
    </row>
    <row r="15" spans="1:54" s="202" customFormat="1" x14ac:dyDescent="0.25">
      <c r="A15" s="235"/>
      <c r="B15" s="199" t="s">
        <v>91</v>
      </c>
      <c r="C15" s="208">
        <f>C6*'Livestock allocation'!G18</f>
        <v>25118.247690155054</v>
      </c>
      <c r="D15" s="638">
        <v>0</v>
      </c>
      <c r="E15" s="656">
        <f>E6*'Livestock allocation'!U18</f>
        <v>72834.811999999991</v>
      </c>
      <c r="F15" s="943">
        <v>0</v>
      </c>
      <c r="G15" s="920">
        <v>0</v>
      </c>
      <c r="H15" s="930">
        <v>0</v>
      </c>
      <c r="I15" s="656">
        <v>0</v>
      </c>
      <c r="J15" s="943">
        <f>(J6+J7)*'Livestock allocation'!G18</f>
        <v>66231.79550940085</v>
      </c>
      <c r="K15" s="920">
        <f>K6*'Livestock allocation'!U18</f>
        <v>70515.231999999989</v>
      </c>
      <c r="L15" s="943">
        <v>0</v>
      </c>
      <c r="M15" s="920">
        <v>0</v>
      </c>
      <c r="N15" s="943">
        <f>N6*'Livestock allocation'!G18</f>
        <v>39615.064928473112</v>
      </c>
      <c r="O15" s="920">
        <v>0</v>
      </c>
      <c r="P15" s="235"/>
      <c r="Q15" s="235"/>
      <c r="R15" s="235"/>
      <c r="S15" s="235"/>
      <c r="T15" s="235"/>
      <c r="U15" s="235"/>
      <c r="V15" s="235"/>
      <c r="W15" s="235"/>
      <c r="X15" s="235"/>
      <c r="Y15" s="235"/>
      <c r="Z15" s="235"/>
      <c r="AA15" s="235"/>
      <c r="AB15" s="235"/>
      <c r="AC15" s="235"/>
      <c r="AD15" s="235"/>
      <c r="AE15" s="235"/>
      <c r="AF15" s="235"/>
      <c r="AG15" s="235"/>
      <c r="AH15" s="2"/>
      <c r="AI15" s="2"/>
      <c r="AJ15" s="2"/>
      <c r="AK15" s="2"/>
      <c r="AL15" s="2"/>
      <c r="AM15" s="2"/>
      <c r="AN15" s="2"/>
      <c r="AO15" s="2"/>
      <c r="AP15" s="2"/>
      <c r="AQ15" s="2"/>
      <c r="AR15" s="2"/>
      <c r="AS15" s="2"/>
      <c r="AT15" s="2"/>
      <c r="AU15" s="2"/>
      <c r="AV15" s="2"/>
      <c r="AW15" s="2"/>
      <c r="AX15" s="2"/>
      <c r="AY15" s="2"/>
      <c r="AZ15" s="2"/>
      <c r="BA15" s="2"/>
      <c r="BB15" s="201"/>
    </row>
    <row r="16" spans="1:54" s="202" customFormat="1" x14ac:dyDescent="0.25">
      <c r="A16" s="235"/>
      <c r="B16" s="228" t="s">
        <v>93</v>
      </c>
      <c r="C16" s="1022">
        <v>0</v>
      </c>
      <c r="D16" s="1023">
        <v>0</v>
      </c>
      <c r="E16" s="1024">
        <v>0</v>
      </c>
      <c r="F16" s="1025">
        <v>0</v>
      </c>
      <c r="G16" s="1026">
        <v>0</v>
      </c>
      <c r="H16" s="1027">
        <v>0</v>
      </c>
      <c r="I16" s="1024">
        <v>0</v>
      </c>
      <c r="J16" s="1025">
        <v>0</v>
      </c>
      <c r="K16" s="1026">
        <v>0</v>
      </c>
      <c r="L16" s="1025">
        <v>0</v>
      </c>
      <c r="M16" s="1026">
        <v>0</v>
      </c>
      <c r="N16" s="1025">
        <v>0</v>
      </c>
      <c r="O16" s="1026">
        <v>0</v>
      </c>
      <c r="P16" s="235"/>
      <c r="Q16" s="235"/>
      <c r="R16" s="235"/>
      <c r="S16" s="235"/>
      <c r="T16" s="235"/>
      <c r="U16" s="235"/>
      <c r="V16" s="235"/>
      <c r="W16" s="235"/>
      <c r="X16" s="235"/>
      <c r="Y16" s="235"/>
      <c r="Z16" s="235"/>
      <c r="AA16" s="235"/>
      <c r="AB16" s="235"/>
      <c r="AC16" s="235"/>
      <c r="AD16" s="235"/>
      <c r="AE16" s="235"/>
      <c r="AF16" s="235"/>
      <c r="AG16" s="235"/>
      <c r="AH16" s="2"/>
      <c r="AI16" s="2"/>
      <c r="AJ16" s="2"/>
      <c r="AK16" s="2"/>
      <c r="AL16" s="2"/>
      <c r="AM16" s="2"/>
      <c r="AN16" s="2"/>
      <c r="AO16" s="2"/>
      <c r="AP16" s="2"/>
      <c r="AQ16" s="2"/>
      <c r="AR16" s="2"/>
      <c r="AS16" s="2"/>
      <c r="AT16" s="2"/>
      <c r="AU16" s="2"/>
      <c r="AV16" s="2"/>
      <c r="AW16" s="2"/>
      <c r="AX16" s="2"/>
      <c r="AY16" s="2"/>
      <c r="AZ16" s="2"/>
      <c r="BA16" s="2"/>
      <c r="BB16" s="201"/>
    </row>
    <row r="17" spans="1:54" s="202" customFormat="1" ht="11" thickBot="1" x14ac:dyDescent="0.3">
      <c r="A17" s="235"/>
      <c r="B17" s="204" t="s">
        <v>65</v>
      </c>
      <c r="C17" s="210">
        <v>0</v>
      </c>
      <c r="D17" s="644">
        <v>0</v>
      </c>
      <c r="E17" s="657">
        <v>0</v>
      </c>
      <c r="F17" s="944">
        <v>0</v>
      </c>
      <c r="G17" s="922">
        <v>0</v>
      </c>
      <c r="H17" s="932">
        <f>H6*'Livestock allocation'!G45</f>
        <v>323433.49887605116</v>
      </c>
      <c r="I17" s="657">
        <f>I6*'Livestock allocation'!U45</f>
        <v>205398.85</v>
      </c>
      <c r="J17" s="944">
        <v>0</v>
      </c>
      <c r="K17" s="922">
        <v>0</v>
      </c>
      <c r="L17" s="944">
        <v>0</v>
      </c>
      <c r="M17" s="922">
        <v>0</v>
      </c>
      <c r="N17" s="944">
        <v>0</v>
      </c>
      <c r="O17" s="922">
        <f>3000*'Livestock GM'!CQ37</f>
        <v>63073.5</v>
      </c>
      <c r="P17" s="235"/>
      <c r="Q17" s="235"/>
      <c r="R17" s="235"/>
      <c r="S17" s="235"/>
      <c r="T17" s="235"/>
      <c r="U17" s="235"/>
      <c r="V17" s="235"/>
      <c r="W17" s="235"/>
      <c r="X17" s="235"/>
      <c r="Y17" s="235"/>
      <c r="Z17" s="235"/>
      <c r="AA17" s="235"/>
      <c r="AB17" s="235"/>
      <c r="AC17" s="235"/>
      <c r="AD17" s="235"/>
      <c r="AE17" s="235"/>
      <c r="AF17" s="235"/>
      <c r="AG17" s="235"/>
      <c r="AH17" s="2"/>
      <c r="AI17" s="2"/>
      <c r="AJ17" s="2"/>
      <c r="AK17" s="2"/>
      <c r="AL17" s="2"/>
      <c r="AM17" s="2"/>
      <c r="AN17" s="2"/>
      <c r="AO17" s="2"/>
      <c r="AP17" s="2"/>
      <c r="AQ17" s="2"/>
      <c r="AR17" s="2"/>
      <c r="AS17" s="2"/>
      <c r="AT17" s="2"/>
      <c r="AU17" s="2"/>
      <c r="AV17" s="2"/>
      <c r="AW17" s="2"/>
      <c r="AX17" s="2"/>
      <c r="AY17" s="2"/>
      <c r="AZ17" s="2"/>
      <c r="BA17" s="2"/>
      <c r="BB17" s="201"/>
    </row>
    <row r="18" spans="1:54" s="198" customFormat="1" x14ac:dyDescent="0.25">
      <c r="A18" s="235"/>
      <c r="B18" s="211" t="s">
        <v>95</v>
      </c>
      <c r="C18" s="205"/>
      <c r="D18" s="206"/>
      <c r="E18" s="207"/>
      <c r="F18" s="945"/>
      <c r="G18" s="946"/>
      <c r="H18" s="205"/>
      <c r="I18" s="207"/>
      <c r="J18" s="945"/>
      <c r="K18" s="946"/>
      <c r="L18" s="945"/>
      <c r="M18" s="946"/>
      <c r="N18" s="945"/>
      <c r="O18" s="946"/>
      <c r="P18" s="235"/>
      <c r="Q18" s="235"/>
      <c r="R18" s="235"/>
      <c r="S18" s="235"/>
      <c r="T18" s="235"/>
      <c r="U18" s="235"/>
      <c r="V18" s="235"/>
      <c r="W18" s="235"/>
      <c r="X18" s="235"/>
      <c r="Y18" s="235"/>
      <c r="Z18" s="235"/>
      <c r="AA18" s="235"/>
      <c r="AB18" s="235"/>
      <c r="AC18" s="235"/>
      <c r="AD18" s="235"/>
      <c r="AE18" s="235"/>
      <c r="AF18" s="235"/>
      <c r="AG18" s="235"/>
      <c r="AH18" s="2"/>
      <c r="AI18" s="2"/>
      <c r="AJ18" s="2"/>
      <c r="AK18" s="2"/>
      <c r="AL18" s="2"/>
      <c r="AM18" s="2"/>
      <c r="AN18" s="2"/>
      <c r="AO18" s="2"/>
      <c r="AP18" s="2"/>
      <c r="AQ18" s="2"/>
      <c r="AR18" s="2"/>
      <c r="AS18" s="2"/>
      <c r="AT18" s="2"/>
      <c r="AU18" s="2"/>
      <c r="AV18" s="2"/>
      <c r="AW18" s="2"/>
      <c r="AX18" s="2"/>
      <c r="AY18" s="2"/>
      <c r="AZ18" s="2"/>
      <c r="BA18" s="2"/>
      <c r="BB18" s="197"/>
    </row>
    <row r="19" spans="1:54" s="202" customFormat="1" x14ac:dyDescent="0.25">
      <c r="A19" s="235"/>
      <c r="B19" s="212" t="s">
        <v>83</v>
      </c>
      <c r="C19" s="213">
        <f>C9*'Cropping allocation'!G27</f>
        <v>69279.980121648681</v>
      </c>
      <c r="D19" s="642">
        <f>(D6+D9)*'Cropping allocation'!O27</f>
        <v>26060.711885996905</v>
      </c>
      <c r="E19" s="642">
        <f>(E6+E9)*'Cropping allocation'!O56</f>
        <v>24970.079190996352</v>
      </c>
      <c r="F19" s="213">
        <f>F9*'Cropping allocation'!G93</f>
        <v>24682.467013612542</v>
      </c>
      <c r="G19" s="651">
        <f>(G6+G9)*'Cropping allocation'!O93</f>
        <v>37523.328499999996</v>
      </c>
      <c r="H19" s="934">
        <f>H9*'Cropping allocation'!G27</f>
        <v>21290.920720311547</v>
      </c>
      <c r="I19" s="651">
        <f>I9*'Cropping allocation'!O69</f>
        <v>5139.45549008125</v>
      </c>
      <c r="J19" s="213">
        <f>J9*'Cropping allocation'!G27</f>
        <v>6083.1202058032986</v>
      </c>
      <c r="K19" s="651">
        <v>0</v>
      </c>
      <c r="L19" s="213">
        <v>0</v>
      </c>
      <c r="M19" s="651">
        <v>0</v>
      </c>
      <c r="N19" s="213">
        <f>N9*'Cropping allocation'!G93</f>
        <v>45415.739305047071</v>
      </c>
      <c r="O19" s="651">
        <f>(O10*'Cropping GMs - N cost Grain £'!AS117)+((O6+O9)*'Cropping allocation'!O93)</f>
        <v>147028.05681387192</v>
      </c>
      <c r="P19" s="235"/>
      <c r="Q19" s="235"/>
      <c r="R19" s="235"/>
      <c r="S19" s="235"/>
      <c r="T19" s="235"/>
      <c r="U19" s="235"/>
      <c r="V19" s="235"/>
      <c r="W19" s="235"/>
      <c r="X19" s="235"/>
      <c r="Y19" s="235"/>
      <c r="Z19" s="235"/>
      <c r="AA19" s="235"/>
      <c r="AB19" s="235"/>
      <c r="AC19" s="235"/>
      <c r="AD19" s="235"/>
      <c r="AE19" s="235"/>
      <c r="AF19" s="235"/>
      <c r="AG19" s="235"/>
      <c r="AH19" s="2"/>
      <c r="AI19" s="2"/>
      <c r="AJ19" s="2"/>
      <c r="AK19" s="2"/>
      <c r="AL19" s="2"/>
      <c r="AM19" s="2"/>
      <c r="AN19" s="2"/>
      <c r="AO19" s="2"/>
      <c r="AP19" s="2"/>
      <c r="AQ19" s="2"/>
      <c r="AR19" s="2"/>
      <c r="AS19" s="2"/>
      <c r="AT19" s="2"/>
      <c r="AU19" s="2"/>
      <c r="AV19" s="2"/>
      <c r="AW19" s="2"/>
      <c r="AX19" s="2"/>
      <c r="AY19" s="2"/>
      <c r="AZ19" s="2"/>
      <c r="BA19" s="2"/>
      <c r="BB19" s="201"/>
    </row>
    <row r="20" spans="1:54" s="202" customFormat="1" x14ac:dyDescent="0.25">
      <c r="A20" s="235"/>
      <c r="B20" s="212" t="s">
        <v>91</v>
      </c>
      <c r="C20" s="213">
        <f>C6*'Livestock allocation'!I32</f>
        <v>6625.2569168679393</v>
      </c>
      <c r="D20" s="640">
        <v>0</v>
      </c>
      <c r="E20" s="651">
        <f>E6*'Livestock allocation'!W18</f>
        <v>21694.345936842106</v>
      </c>
      <c r="F20" s="213">
        <v>0</v>
      </c>
      <c r="G20" s="651">
        <v>0</v>
      </c>
      <c r="H20" s="934">
        <v>0</v>
      </c>
      <c r="I20" s="651">
        <v>0</v>
      </c>
      <c r="J20" s="213">
        <f>(J6+J7)*'Livestock allocation'!I18</f>
        <v>26301.842305566115</v>
      </c>
      <c r="K20" s="651">
        <f>K6*'Livestock allocation'!W18</f>
        <v>21003.443200000002</v>
      </c>
      <c r="L20" s="213">
        <v>0</v>
      </c>
      <c r="M20" s="651">
        <v>0</v>
      </c>
      <c r="N20" s="213">
        <f>N6*'Livestock allocation'!I18</f>
        <v>15731.857828398593</v>
      </c>
      <c r="O20" s="651">
        <v>0</v>
      </c>
      <c r="P20" s="235"/>
      <c r="Q20" s="235"/>
      <c r="R20" s="235"/>
      <c r="S20" s="235"/>
      <c r="T20" s="235"/>
      <c r="U20" s="235"/>
      <c r="V20" s="235"/>
      <c r="W20" s="235"/>
      <c r="X20" s="235"/>
      <c r="Y20" s="235"/>
      <c r="Z20" s="235"/>
      <c r="AA20" s="235"/>
      <c r="AB20" s="235"/>
      <c r="AC20" s="235"/>
      <c r="AD20" s="235"/>
      <c r="AE20" s="235"/>
      <c r="AF20" s="235"/>
      <c r="AG20" s="235"/>
      <c r="AH20" s="2"/>
      <c r="AI20" s="2"/>
      <c r="AJ20" s="2"/>
      <c r="AK20" s="2"/>
      <c r="AL20" s="2"/>
      <c r="AM20" s="2"/>
      <c r="AN20" s="2"/>
      <c r="AO20" s="2"/>
      <c r="AP20" s="2"/>
      <c r="AQ20" s="2"/>
      <c r="AR20" s="2"/>
      <c r="AS20" s="2"/>
      <c r="AT20" s="2"/>
      <c r="AU20" s="2"/>
      <c r="AV20" s="2"/>
      <c r="AW20" s="2"/>
      <c r="AX20" s="2"/>
      <c r="AY20" s="2"/>
      <c r="AZ20" s="2"/>
      <c r="BA20" s="2"/>
      <c r="BB20" s="201"/>
    </row>
    <row r="21" spans="1:54" s="202" customFormat="1" x14ac:dyDescent="0.25">
      <c r="A21" s="235"/>
      <c r="B21" s="199" t="s">
        <v>89</v>
      </c>
      <c r="C21" s="214">
        <v>0</v>
      </c>
      <c r="D21" s="639">
        <v>0</v>
      </c>
      <c r="E21" s="649">
        <v>0</v>
      </c>
      <c r="F21" s="214">
        <v>0</v>
      </c>
      <c r="G21" s="653">
        <v>0</v>
      </c>
      <c r="H21" s="935">
        <v>0</v>
      </c>
      <c r="I21" s="653">
        <v>0</v>
      </c>
      <c r="J21" s="214">
        <v>0</v>
      </c>
      <c r="K21" s="653">
        <v>0</v>
      </c>
      <c r="L21" s="214">
        <f>(SUM(L6:L8)*'Livestock allocation'!I32)</f>
        <v>41619.232974915161</v>
      </c>
      <c r="M21" s="653">
        <f>SUM(M6:M8)*'Livestock allocation'!W32</f>
        <v>30000.569973684211</v>
      </c>
      <c r="N21" s="214">
        <v>0</v>
      </c>
      <c r="O21" s="653">
        <v>0</v>
      </c>
      <c r="P21" s="235"/>
      <c r="Q21" s="235"/>
      <c r="R21" s="235"/>
      <c r="S21" s="235"/>
      <c r="T21" s="235"/>
      <c r="U21" s="235"/>
      <c r="V21" s="235"/>
      <c r="W21" s="235"/>
      <c r="X21" s="235"/>
      <c r="Y21" s="235"/>
      <c r="Z21" s="235"/>
      <c r="AA21" s="235"/>
      <c r="AB21" s="235"/>
      <c r="AC21" s="235"/>
      <c r="AD21" s="235"/>
      <c r="AE21" s="235"/>
      <c r="AF21" s="235"/>
      <c r="AG21" s="235"/>
      <c r="AH21" s="2"/>
      <c r="AI21" s="2"/>
      <c r="AJ21" s="2"/>
      <c r="AK21" s="2"/>
      <c r="AL21" s="2"/>
      <c r="AM21" s="2"/>
      <c r="AN21" s="2"/>
      <c r="AO21" s="2"/>
      <c r="AP21" s="2"/>
      <c r="AQ21" s="2"/>
      <c r="AR21" s="2"/>
      <c r="AS21" s="2"/>
      <c r="AT21" s="2"/>
      <c r="AU21" s="2"/>
      <c r="AV21" s="2"/>
      <c r="AW21" s="2"/>
      <c r="AX21" s="2"/>
      <c r="AY21" s="2"/>
      <c r="AZ21" s="2"/>
      <c r="BA21" s="2"/>
      <c r="BB21" s="201"/>
    </row>
    <row r="22" spans="1:54" s="219" customFormat="1" x14ac:dyDescent="0.25">
      <c r="A22" s="238"/>
      <c r="B22" s="215" t="s">
        <v>65</v>
      </c>
      <c r="C22" s="216">
        <v>0</v>
      </c>
      <c r="D22" s="641">
        <v>0</v>
      </c>
      <c r="E22" s="650">
        <v>0</v>
      </c>
      <c r="F22" s="216">
        <v>0</v>
      </c>
      <c r="G22" s="921">
        <v>0</v>
      </c>
      <c r="H22" s="936" t="e">
        <f>H6*'Livestock allocation'!I45</f>
        <v>#DIV/0!</v>
      </c>
      <c r="I22" s="921" t="e">
        <f>(I6*'Livestock allocation'!W45)</f>
        <v>#DIV/0!</v>
      </c>
      <c r="J22" s="216">
        <v>0</v>
      </c>
      <c r="K22" s="921">
        <v>0</v>
      </c>
      <c r="L22" s="216">
        <v>0</v>
      </c>
      <c r="M22" s="921">
        <v>0</v>
      </c>
      <c r="N22" s="216">
        <v>0</v>
      </c>
      <c r="O22" s="921">
        <v>0</v>
      </c>
      <c r="P22" s="238"/>
      <c r="Q22" s="238"/>
      <c r="R22" s="238"/>
      <c r="S22" s="238"/>
      <c r="T22" s="238"/>
      <c r="U22" s="238"/>
      <c r="V22" s="238"/>
      <c r="W22" s="238"/>
      <c r="X22" s="238"/>
      <c r="Y22" s="238"/>
      <c r="Z22" s="238"/>
      <c r="AA22" s="238"/>
      <c r="AB22" s="238"/>
      <c r="AC22" s="238"/>
      <c r="AD22" s="238"/>
      <c r="AE22" s="238"/>
      <c r="AF22" s="238"/>
      <c r="AG22" s="238"/>
      <c r="AH22" s="45"/>
      <c r="AI22" s="45"/>
      <c r="AJ22" s="45"/>
      <c r="AK22" s="45"/>
      <c r="AL22" s="45"/>
      <c r="AM22" s="45"/>
      <c r="AN22" s="45"/>
      <c r="AO22" s="45"/>
      <c r="AP22" s="45"/>
      <c r="AQ22" s="45"/>
      <c r="AR22" s="45"/>
      <c r="AS22" s="45"/>
      <c r="AT22" s="45"/>
      <c r="AU22" s="45"/>
      <c r="AV22" s="45"/>
      <c r="AW22" s="45"/>
      <c r="AX22" s="45"/>
      <c r="AY22" s="45"/>
      <c r="AZ22" s="45"/>
      <c r="BA22" s="45"/>
      <c r="BB22" s="218"/>
    </row>
    <row r="23" spans="1:54" s="219" customFormat="1" x14ac:dyDescent="0.25">
      <c r="A23" s="238"/>
      <c r="B23" s="215" t="s">
        <v>93</v>
      </c>
      <c r="C23" s="216">
        <v>0</v>
      </c>
      <c r="D23" s="641">
        <v>0</v>
      </c>
      <c r="E23" s="650">
        <v>0</v>
      </c>
      <c r="F23" s="216">
        <v>0</v>
      </c>
      <c r="G23" s="921">
        <v>0</v>
      </c>
      <c r="H23" s="936">
        <v>0</v>
      </c>
      <c r="I23" s="921">
        <v>0</v>
      </c>
      <c r="J23" s="216">
        <v>0</v>
      </c>
      <c r="K23" s="921">
        <v>0</v>
      </c>
      <c r="L23" s="216">
        <v>0</v>
      </c>
      <c r="M23" s="921">
        <v>0</v>
      </c>
      <c r="N23" s="216">
        <v>0</v>
      </c>
      <c r="O23" s="921">
        <f>3000*'Livestock GM'!CQ46</f>
        <v>44175</v>
      </c>
      <c r="P23" s="238"/>
      <c r="Q23" s="238"/>
      <c r="R23" s="238"/>
      <c r="S23" s="238"/>
      <c r="T23" s="238"/>
      <c r="U23" s="238"/>
      <c r="V23" s="238"/>
      <c r="W23" s="238"/>
      <c r="X23" s="238"/>
      <c r="Y23" s="238"/>
      <c r="Z23" s="238"/>
      <c r="AA23" s="238"/>
      <c r="AB23" s="238"/>
      <c r="AC23" s="238"/>
      <c r="AD23" s="238"/>
      <c r="AE23" s="238"/>
      <c r="AF23" s="238"/>
      <c r="AG23" s="238"/>
      <c r="AH23" s="45"/>
      <c r="AI23" s="45"/>
      <c r="AJ23" s="45"/>
      <c r="AK23" s="45"/>
      <c r="AL23" s="45"/>
      <c r="AM23" s="45"/>
      <c r="AN23" s="45"/>
      <c r="AO23" s="45"/>
      <c r="AP23" s="45"/>
      <c r="AQ23" s="45"/>
      <c r="AR23" s="45"/>
      <c r="AS23" s="45"/>
      <c r="AT23" s="45"/>
      <c r="AU23" s="45"/>
      <c r="AV23" s="45"/>
      <c r="AW23" s="45"/>
      <c r="AX23" s="45"/>
      <c r="AY23" s="45"/>
      <c r="AZ23" s="45"/>
      <c r="BA23" s="45"/>
      <c r="BB23" s="218"/>
    </row>
    <row r="24" spans="1:54" s="202" customFormat="1" x14ac:dyDescent="0.25">
      <c r="A24" s="235"/>
      <c r="B24" s="199" t="s">
        <v>100</v>
      </c>
      <c r="C24" s="214">
        <f>C6*Forage!O29</f>
        <v>10492.300722826087</v>
      </c>
      <c r="D24" s="639">
        <v>0</v>
      </c>
      <c r="E24" s="649">
        <v>0</v>
      </c>
      <c r="F24" s="214">
        <v>0</v>
      </c>
      <c r="G24" s="653">
        <v>0</v>
      </c>
      <c r="H24" s="935">
        <f>H6*Forage!I29</f>
        <v>41603.543739130437</v>
      </c>
      <c r="I24" s="653">
        <f>(26*Forage!V29)+(80*Forage!T29)</f>
        <v>6212.7214434782609</v>
      </c>
      <c r="J24" s="214">
        <f>J6*((Forage!G29*50%)+(Forage!O29*50%))</f>
        <v>23859.770162869569</v>
      </c>
      <c r="K24" s="653">
        <f>K6*((Forage!T29*75%)+(Forage!S29*25%))</f>
        <v>3496.1343382608702</v>
      </c>
      <c r="L24" s="214">
        <f>(L6*Forage!L29)+('Farm Typologies (org prem)'!L7*Forage!J29)+('Farm Typologies (org prem)'!L8*0)</f>
        <v>17757.086790724639</v>
      </c>
      <c r="M24" s="653">
        <f>(M6*Forage!T29)+('Farm Typologies (org prem)'!M7*Forage!J29)+('Farm Typologies (org prem)'!M8*0)</f>
        <v>2201.71731</v>
      </c>
      <c r="N24" s="214">
        <v>0</v>
      </c>
      <c r="O24" s="653">
        <v>0</v>
      </c>
      <c r="P24" s="235"/>
      <c r="Q24" s="235"/>
      <c r="R24" s="235"/>
      <c r="S24" s="235"/>
      <c r="T24" s="235"/>
      <c r="U24" s="235"/>
      <c r="V24" s="235"/>
      <c r="W24" s="235"/>
      <c r="X24" s="235"/>
      <c r="Y24" s="235"/>
      <c r="Z24" s="235"/>
      <c r="AA24" s="235"/>
      <c r="AB24" s="235"/>
      <c r="AC24" s="235"/>
      <c r="AD24" s="235"/>
      <c r="AE24" s="235"/>
      <c r="AF24" s="235"/>
      <c r="AG24" s="235"/>
      <c r="AH24" s="2"/>
      <c r="AI24" s="2"/>
      <c r="AJ24" s="2"/>
      <c r="AK24" s="2"/>
      <c r="AL24" s="2"/>
      <c r="AM24" s="2"/>
      <c r="AN24" s="2"/>
      <c r="AO24" s="2"/>
      <c r="AP24" s="2"/>
      <c r="AQ24" s="2"/>
      <c r="AR24" s="2"/>
      <c r="AS24" s="2"/>
      <c r="AT24" s="2"/>
      <c r="AU24" s="2"/>
      <c r="AV24" s="2"/>
      <c r="AW24" s="2"/>
      <c r="AX24" s="2"/>
      <c r="AY24" s="2"/>
      <c r="AZ24" s="2"/>
      <c r="BA24" s="2"/>
      <c r="BB24" s="201"/>
    </row>
    <row r="25" spans="1:54" s="202" customFormat="1" x14ac:dyDescent="0.25">
      <c r="A25" s="235"/>
      <c r="B25" s="199" t="s">
        <v>965</v>
      </c>
      <c r="C25" s="730">
        <v>0</v>
      </c>
      <c r="D25" s="731">
        <v>0</v>
      </c>
      <c r="E25" s="732">
        <v>0</v>
      </c>
      <c r="F25" s="730">
        <v>0</v>
      </c>
      <c r="G25" s="738">
        <v>0</v>
      </c>
      <c r="H25" s="937">
        <v>0</v>
      </c>
      <c r="I25" s="738">
        <v>0</v>
      </c>
      <c r="J25" s="730">
        <v>0</v>
      </c>
      <c r="K25" s="738">
        <v>0</v>
      </c>
      <c r="L25" s="730">
        <v>0</v>
      </c>
      <c r="M25" s="738">
        <v>0</v>
      </c>
      <c r="N25" s="730">
        <v>0</v>
      </c>
      <c r="O25" s="738">
        <v>0</v>
      </c>
      <c r="P25" s="235"/>
      <c r="Q25" s="235"/>
      <c r="R25" s="235"/>
      <c r="S25" s="235"/>
      <c r="T25" s="235"/>
      <c r="U25" s="235"/>
      <c r="V25" s="235"/>
      <c r="W25" s="235"/>
      <c r="X25" s="235"/>
      <c r="Y25" s="235"/>
      <c r="Z25" s="235"/>
      <c r="AA25" s="235"/>
      <c r="AB25" s="235"/>
      <c r="AC25" s="235"/>
      <c r="AD25" s="235"/>
      <c r="AE25" s="235"/>
      <c r="AF25" s="235"/>
      <c r="AG25" s="235"/>
      <c r="AH25" s="2"/>
      <c r="AI25" s="2"/>
      <c r="AJ25" s="2"/>
      <c r="AK25" s="2"/>
      <c r="AL25" s="2"/>
      <c r="AM25" s="2"/>
      <c r="AN25" s="2"/>
      <c r="AO25" s="2"/>
      <c r="AP25" s="2"/>
      <c r="AQ25" s="2"/>
      <c r="AR25" s="2"/>
      <c r="AS25" s="2"/>
      <c r="AT25" s="2"/>
      <c r="AU25" s="2"/>
      <c r="AV25" s="2"/>
      <c r="AW25" s="2"/>
      <c r="AX25" s="2"/>
      <c r="AY25" s="2"/>
      <c r="AZ25" s="2"/>
      <c r="BA25" s="2"/>
      <c r="BB25" s="201"/>
    </row>
    <row r="26" spans="1:54" s="202" customFormat="1" x14ac:dyDescent="0.25">
      <c r="A26" s="235"/>
      <c r="B26" s="199" t="s">
        <v>966</v>
      </c>
      <c r="C26" s="730">
        <v>0</v>
      </c>
      <c r="D26" s="731">
        <v>0</v>
      </c>
      <c r="E26" s="732">
        <v>0</v>
      </c>
      <c r="F26" s="730">
        <v>0</v>
      </c>
      <c r="G26" s="738">
        <v>0</v>
      </c>
      <c r="H26" s="937">
        <v>0</v>
      </c>
      <c r="I26" s="738">
        <v>0</v>
      </c>
      <c r="J26" s="730">
        <v>0</v>
      </c>
      <c r="K26" s="738">
        <v>0</v>
      </c>
      <c r="L26" s="730">
        <v>0</v>
      </c>
      <c r="M26" s="738">
        <v>0</v>
      </c>
      <c r="N26" s="730">
        <v>0</v>
      </c>
      <c r="O26" s="738">
        <v>0</v>
      </c>
      <c r="P26" s="235"/>
      <c r="Q26" s="235"/>
      <c r="R26" s="235"/>
      <c r="S26" s="235"/>
      <c r="T26" s="235"/>
      <c r="U26" s="235"/>
      <c r="V26" s="235"/>
      <c r="W26" s="235"/>
      <c r="X26" s="235"/>
      <c r="Y26" s="235"/>
      <c r="Z26" s="235"/>
      <c r="AA26" s="235"/>
      <c r="AB26" s="235"/>
      <c r="AC26" s="235"/>
      <c r="AD26" s="235"/>
      <c r="AE26" s="235"/>
      <c r="AF26" s="235"/>
      <c r="AG26" s="235"/>
      <c r="AH26" s="2"/>
      <c r="AI26" s="2"/>
      <c r="AJ26" s="2"/>
      <c r="AK26" s="2"/>
      <c r="AL26" s="2"/>
      <c r="AM26" s="2"/>
      <c r="AN26" s="2"/>
      <c r="AO26" s="2"/>
      <c r="AP26" s="2"/>
      <c r="AQ26" s="2"/>
      <c r="AR26" s="2"/>
      <c r="AS26" s="2"/>
      <c r="AT26" s="2"/>
      <c r="AU26" s="2"/>
      <c r="AV26" s="2"/>
      <c r="AW26" s="2"/>
      <c r="AX26" s="2"/>
      <c r="AY26" s="2"/>
      <c r="AZ26" s="2"/>
      <c r="BA26" s="2"/>
      <c r="BB26" s="201"/>
    </row>
    <row r="27" spans="1:54" s="202" customFormat="1" ht="11" thickBot="1" x14ac:dyDescent="0.3">
      <c r="A27" s="235"/>
      <c r="B27" s="204" t="s">
        <v>967</v>
      </c>
      <c r="C27" s="733">
        <v>0</v>
      </c>
      <c r="D27" s="734">
        <v>0</v>
      </c>
      <c r="E27" s="735">
        <v>0</v>
      </c>
      <c r="F27" s="733">
        <v>0</v>
      </c>
      <c r="G27" s="737">
        <v>0</v>
      </c>
      <c r="H27" s="938">
        <v>0</v>
      </c>
      <c r="I27" s="737">
        <v>0</v>
      </c>
      <c r="J27" s="733">
        <v>0</v>
      </c>
      <c r="K27" s="737">
        <v>0</v>
      </c>
      <c r="L27" s="733">
        <v>0</v>
      </c>
      <c r="M27" s="737">
        <v>0</v>
      </c>
      <c r="N27" s="733">
        <v>0</v>
      </c>
      <c r="O27" s="737">
        <v>0</v>
      </c>
      <c r="P27" s="235"/>
      <c r="Q27" s="235"/>
      <c r="R27" s="235"/>
      <c r="S27" s="235"/>
      <c r="T27" s="235"/>
      <c r="U27" s="235"/>
      <c r="V27" s="235"/>
      <c r="W27" s="235"/>
      <c r="X27" s="235"/>
      <c r="Y27" s="235"/>
      <c r="Z27" s="235"/>
      <c r="AA27" s="235"/>
      <c r="AB27" s="235"/>
      <c r="AC27" s="235"/>
      <c r="AD27" s="235"/>
      <c r="AE27" s="235"/>
      <c r="AF27" s="235"/>
      <c r="AG27" s="235"/>
      <c r="AH27" s="2"/>
      <c r="AI27" s="2"/>
      <c r="AJ27" s="2"/>
      <c r="AK27" s="2"/>
      <c r="AL27" s="2"/>
      <c r="AM27" s="2"/>
      <c r="AN27" s="2"/>
      <c r="AO27" s="2"/>
      <c r="AP27" s="2"/>
      <c r="AQ27" s="2"/>
      <c r="AR27" s="2"/>
      <c r="AS27" s="2"/>
      <c r="AT27" s="2"/>
      <c r="AU27" s="2"/>
      <c r="AV27" s="2"/>
      <c r="AW27" s="2"/>
      <c r="AX27" s="2"/>
      <c r="AY27" s="2"/>
      <c r="AZ27" s="2"/>
      <c r="BA27" s="2"/>
      <c r="BB27" s="201"/>
    </row>
    <row r="28" spans="1:54" s="222" customFormat="1" x14ac:dyDescent="0.25">
      <c r="A28" s="235"/>
      <c r="B28" s="220" t="s">
        <v>102</v>
      </c>
      <c r="C28" s="205"/>
      <c r="D28" s="206"/>
      <c r="E28" s="207"/>
      <c r="F28" s="945"/>
      <c r="G28" s="946"/>
      <c r="H28" s="205"/>
      <c r="I28" s="207"/>
      <c r="J28" s="945"/>
      <c r="K28" s="946"/>
      <c r="L28" s="945"/>
      <c r="M28" s="946"/>
      <c r="N28" s="945"/>
      <c r="O28" s="946"/>
      <c r="P28" s="235"/>
      <c r="Q28" s="235"/>
      <c r="R28" s="235"/>
      <c r="S28" s="235"/>
      <c r="T28" s="235"/>
      <c r="U28" s="235"/>
      <c r="V28" s="235"/>
      <c r="W28" s="235"/>
      <c r="X28" s="235"/>
      <c r="Y28" s="235"/>
      <c r="Z28" s="235"/>
      <c r="AA28" s="235"/>
      <c r="AB28" s="235"/>
      <c r="AC28" s="235"/>
      <c r="AD28" s="235"/>
      <c r="AE28" s="235"/>
      <c r="AF28" s="235"/>
      <c r="AG28" s="235"/>
      <c r="AH28" s="2"/>
      <c r="AI28" s="2"/>
      <c r="AJ28" s="2"/>
      <c r="AK28" s="2"/>
      <c r="AL28" s="2"/>
      <c r="AM28" s="2"/>
      <c r="AN28" s="2"/>
      <c r="AO28" s="2"/>
      <c r="AP28" s="2"/>
      <c r="AQ28" s="2"/>
      <c r="AR28" s="2"/>
      <c r="AS28" s="2"/>
      <c r="AT28" s="2"/>
      <c r="AU28" s="2"/>
      <c r="AV28" s="2"/>
      <c r="AW28" s="2"/>
      <c r="AX28" s="2"/>
      <c r="AY28" s="2"/>
      <c r="AZ28" s="2"/>
      <c r="BA28" s="2"/>
      <c r="BB28" s="221"/>
    </row>
    <row r="29" spans="1:54" s="202" customFormat="1" x14ac:dyDescent="0.25">
      <c r="A29" s="235"/>
      <c r="B29" s="223" t="s">
        <v>103</v>
      </c>
      <c r="C29" s="224">
        <f>SUM(C13:C17)</f>
        <v>203947.79620811579</v>
      </c>
      <c r="D29" s="646">
        <f t="shared" ref="D29:O29" si="0">SUM(D13:D17)</f>
        <v>122858.96341666665</v>
      </c>
      <c r="E29" s="652">
        <f t="shared" si="0"/>
        <v>169457.39033333331</v>
      </c>
      <c r="F29" s="224">
        <f t="shared" si="0"/>
        <v>47879.782170199105</v>
      </c>
      <c r="G29" s="652">
        <f t="shared" si="0"/>
        <v>77713.474999999991</v>
      </c>
      <c r="H29" s="225">
        <f>SUM(H13:H17)</f>
        <v>378390.87232303421</v>
      </c>
      <c r="I29" s="923">
        <f t="shared" si="0"/>
        <v>228204.1</v>
      </c>
      <c r="J29" s="224">
        <f t="shared" si="0"/>
        <v>81933.902208538871</v>
      </c>
      <c r="K29" s="652">
        <f t="shared" si="0"/>
        <v>70515.231999999989</v>
      </c>
      <c r="L29" s="224">
        <f t="shared" si="0"/>
        <v>89122.835595310375</v>
      </c>
      <c r="M29" s="652">
        <f t="shared" si="0"/>
        <v>66661.572833333325</v>
      </c>
      <c r="N29" s="224">
        <f t="shared" si="0"/>
        <v>127713.86412163946</v>
      </c>
      <c r="O29" s="652">
        <f t="shared" si="0"/>
        <v>343007.72142857144</v>
      </c>
      <c r="P29" s="235"/>
      <c r="Q29" s="235"/>
      <c r="R29" s="235"/>
      <c r="S29" s="235"/>
      <c r="T29" s="235"/>
      <c r="U29" s="235"/>
      <c r="V29" s="235"/>
      <c r="W29" s="235"/>
      <c r="X29" s="235"/>
      <c r="Y29" s="235"/>
      <c r="Z29" s="235"/>
      <c r="AA29" s="235"/>
      <c r="AB29" s="235"/>
      <c r="AC29" s="235"/>
      <c r="AD29" s="235"/>
      <c r="AE29" s="235"/>
      <c r="AF29" s="235"/>
      <c r="AG29" s="235"/>
      <c r="AH29" s="2"/>
      <c r="AI29" s="2"/>
      <c r="AJ29" s="2"/>
      <c r="AK29" s="2"/>
      <c r="AL29" s="2"/>
      <c r="AM29" s="2"/>
      <c r="AN29" s="2"/>
      <c r="AO29" s="2"/>
      <c r="AP29" s="2"/>
      <c r="AQ29" s="2"/>
      <c r="AR29" s="2"/>
      <c r="AS29" s="2"/>
      <c r="AT29" s="2"/>
      <c r="AU29" s="2"/>
      <c r="AV29" s="2"/>
      <c r="AW29" s="2"/>
      <c r="AX29" s="2"/>
      <c r="AY29" s="2"/>
      <c r="AZ29" s="2"/>
      <c r="BA29" s="2"/>
      <c r="BB29" s="201"/>
    </row>
    <row r="30" spans="1:54" s="202" customFormat="1" x14ac:dyDescent="0.25">
      <c r="A30" s="235"/>
      <c r="B30" s="199" t="s">
        <v>105</v>
      </c>
      <c r="C30" s="214">
        <f>C4*'FBS Data'!C3</f>
        <v>3150</v>
      </c>
      <c r="D30" s="643">
        <f>C30*110%</f>
        <v>3465.0000000000005</v>
      </c>
      <c r="E30" s="653">
        <f>D30</f>
        <v>3465.0000000000005</v>
      </c>
      <c r="F30" s="214">
        <f>F4*'FBS Data'!D3</f>
        <v>468</v>
      </c>
      <c r="G30" s="653">
        <f>G4*'FBS Data'!D3</f>
        <v>468</v>
      </c>
      <c r="H30" s="929">
        <f>H4*'FBS Data'!E3</f>
        <v>3741.15</v>
      </c>
      <c r="I30" s="655">
        <f>H30*1.1</f>
        <v>4115.2650000000003</v>
      </c>
      <c r="J30" s="214">
        <f>'Farm Typologies (org prem)'!J4*'FBS Data'!F3</f>
        <v>4331.04</v>
      </c>
      <c r="K30" s="653">
        <f>J30*1.1</f>
        <v>4764.1440000000002</v>
      </c>
      <c r="L30" s="214">
        <f>L4*'FBS Data'!G3</f>
        <v>9841.2999999999993</v>
      </c>
      <c r="M30" s="653">
        <f>L30*1.1</f>
        <v>10825.43</v>
      </c>
      <c r="N30" s="214">
        <f>N4*'FBS Data'!H3</f>
        <v>2047</v>
      </c>
      <c r="O30" s="653">
        <f>N30*1.1</f>
        <v>2251.7000000000003</v>
      </c>
      <c r="P30" s="235"/>
      <c r="Q30" s="235"/>
      <c r="R30" s="235"/>
      <c r="S30" s="235"/>
      <c r="T30" s="235"/>
      <c r="U30" s="235"/>
      <c r="V30" s="235"/>
      <c r="W30" s="235"/>
      <c r="X30" s="235"/>
      <c r="Y30" s="235"/>
      <c r="Z30" s="235"/>
      <c r="AA30" s="235"/>
      <c r="AB30" s="235"/>
      <c r="AC30" s="235"/>
      <c r="AD30" s="235"/>
      <c r="AE30" s="235"/>
      <c r="AF30" s="235"/>
      <c r="AG30" s="235"/>
      <c r="AH30" s="2"/>
      <c r="AI30" s="2"/>
      <c r="AJ30" s="2"/>
      <c r="AK30" s="2"/>
      <c r="AL30" s="2"/>
      <c r="AM30" s="2"/>
      <c r="AN30" s="2"/>
      <c r="AO30" s="2"/>
      <c r="AP30" s="2"/>
      <c r="AQ30" s="2"/>
      <c r="AR30" s="2"/>
      <c r="AS30" s="2"/>
      <c r="AT30" s="2"/>
      <c r="AU30" s="2"/>
      <c r="AV30" s="2"/>
      <c r="AW30" s="2"/>
      <c r="AX30" s="2"/>
      <c r="AY30" s="2"/>
      <c r="AZ30" s="2"/>
      <c r="BA30" s="2"/>
      <c r="BB30" s="201"/>
    </row>
    <row r="31" spans="1:54" s="202" customFormat="1" x14ac:dyDescent="0.25">
      <c r="A31" s="235"/>
      <c r="B31" s="199" t="s">
        <v>107</v>
      </c>
      <c r="C31" s="214"/>
      <c r="D31" s="643">
        <f>150*D6</f>
        <v>7849.5</v>
      </c>
      <c r="E31" s="653">
        <v>0</v>
      </c>
      <c r="F31" s="214">
        <v>0</v>
      </c>
      <c r="G31" s="643">
        <f>150*G6</f>
        <v>1050</v>
      </c>
      <c r="H31" s="929">
        <v>0</v>
      </c>
      <c r="I31" s="655">
        <v>0</v>
      </c>
      <c r="J31" s="214">
        <v>0</v>
      </c>
      <c r="K31" s="653">
        <v>0</v>
      </c>
      <c r="L31" s="214">
        <v>0</v>
      </c>
      <c r="M31" s="653">
        <v>0</v>
      </c>
      <c r="N31" s="214">
        <v>0</v>
      </c>
      <c r="O31" s="643">
        <f>150*O6</f>
        <v>5400</v>
      </c>
      <c r="P31" s="235"/>
      <c r="Q31" s="235"/>
      <c r="R31" s="235"/>
      <c r="S31" s="235"/>
      <c r="T31" s="235"/>
      <c r="U31" s="235"/>
      <c r="V31" s="235"/>
      <c r="W31" s="235"/>
      <c r="X31" s="235"/>
      <c r="Y31" s="235"/>
      <c r="Z31" s="235"/>
      <c r="AA31" s="235"/>
      <c r="AB31" s="235"/>
      <c r="AC31" s="235"/>
      <c r="AD31" s="235"/>
      <c r="AE31" s="235"/>
      <c r="AF31" s="235"/>
      <c r="AG31" s="235"/>
      <c r="AH31" s="2"/>
      <c r="AI31" s="2"/>
      <c r="AJ31" s="2"/>
      <c r="AK31" s="2"/>
      <c r="AL31" s="2"/>
      <c r="AM31" s="2"/>
      <c r="AN31" s="2"/>
      <c r="AO31" s="2"/>
      <c r="AP31" s="2"/>
      <c r="AQ31" s="2"/>
      <c r="AR31" s="2"/>
      <c r="AS31" s="2"/>
      <c r="AT31" s="2"/>
      <c r="AU31" s="2"/>
      <c r="AV31" s="2"/>
      <c r="AW31" s="2"/>
      <c r="AX31" s="2"/>
      <c r="AY31" s="2"/>
      <c r="AZ31" s="2"/>
      <c r="BA31" s="2"/>
      <c r="BB31" s="201"/>
    </row>
    <row r="32" spans="1:54" s="202" customFormat="1" x14ac:dyDescent="0.25">
      <c r="A32" s="235"/>
      <c r="B32" s="199" t="s">
        <v>109</v>
      </c>
      <c r="C32" s="214">
        <f>'Farm Typologies (org prem)'!C4*'FBS Data'!C5</f>
        <v>36925</v>
      </c>
      <c r="D32" s="643">
        <f>C32</f>
        <v>36925</v>
      </c>
      <c r="E32" s="653">
        <f>D32</f>
        <v>36925</v>
      </c>
      <c r="F32" s="214">
        <f>F4*'FBS Data'!D5</f>
        <v>5486</v>
      </c>
      <c r="G32" s="653">
        <f>G4*'FBS Data'!D5</f>
        <v>5486</v>
      </c>
      <c r="H32" s="929">
        <f>H4*'FBS Data'!E5</f>
        <v>34006.980000000003</v>
      </c>
      <c r="I32" s="655">
        <f>I4*'FBS Data'!E5</f>
        <v>34006.980000000003</v>
      </c>
      <c r="J32" s="214">
        <f>J4*'FBS Data'!F5</f>
        <v>18825.240000000002</v>
      </c>
      <c r="K32" s="653">
        <f>K4*'FBS Data'!F5</f>
        <v>18825.240000000002</v>
      </c>
      <c r="L32" s="214">
        <f>L4*'FBS Data'!G5</f>
        <v>27444.799999999999</v>
      </c>
      <c r="M32" s="653">
        <f>M4*'FBS Data'!G5</f>
        <v>27444.799999999999</v>
      </c>
      <c r="N32" s="214">
        <f>N4*'FBS Data'!H5</f>
        <v>21930.959999999999</v>
      </c>
      <c r="O32" s="653">
        <f>O4*'FBS Data'!H5</f>
        <v>21930.959999999999</v>
      </c>
      <c r="P32" s="235"/>
      <c r="Q32" s="235"/>
      <c r="R32" s="235"/>
      <c r="S32" s="235"/>
      <c r="T32" s="235"/>
      <c r="U32" s="235"/>
      <c r="V32" s="235"/>
      <c r="W32" s="235"/>
      <c r="X32" s="235"/>
      <c r="Y32" s="235"/>
      <c r="Z32" s="235"/>
      <c r="AA32" s="235"/>
      <c r="AB32" s="235"/>
      <c r="AC32" s="235"/>
      <c r="AD32" s="235"/>
      <c r="AE32" s="235"/>
      <c r="AF32" s="235"/>
      <c r="AG32" s="235"/>
      <c r="AH32" s="2"/>
      <c r="AI32" s="2"/>
      <c r="AJ32" s="2"/>
      <c r="AK32" s="2"/>
      <c r="AL32" s="2"/>
      <c r="AM32" s="2"/>
      <c r="AN32" s="2"/>
      <c r="AO32" s="2"/>
      <c r="AP32" s="2"/>
      <c r="AQ32" s="2"/>
      <c r="AR32" s="2"/>
      <c r="AS32" s="2"/>
      <c r="AT32" s="2"/>
      <c r="AU32" s="2"/>
      <c r="AV32" s="2"/>
      <c r="AW32" s="2"/>
      <c r="AX32" s="2"/>
      <c r="AY32" s="2"/>
      <c r="AZ32" s="2"/>
      <c r="BA32" s="2"/>
      <c r="BB32" s="201"/>
    </row>
    <row r="33" spans="1:54" s="227" customFormat="1" ht="11.5" customHeight="1" thickBot="1" x14ac:dyDescent="0.3">
      <c r="A33" s="235"/>
      <c r="B33" s="204" t="s">
        <v>968</v>
      </c>
      <c r="C33" s="733">
        <v>0</v>
      </c>
      <c r="D33" s="736">
        <v>0</v>
      </c>
      <c r="E33" s="737">
        <v>0</v>
      </c>
      <c r="F33" s="733">
        <v>0</v>
      </c>
      <c r="G33" s="737">
        <v>0</v>
      </c>
      <c r="H33" s="933">
        <v>0</v>
      </c>
      <c r="I33" s="743">
        <v>0</v>
      </c>
      <c r="J33" s="733">
        <v>0</v>
      </c>
      <c r="K33" s="737">
        <v>0</v>
      </c>
      <c r="L33" s="733">
        <v>0</v>
      </c>
      <c r="M33" s="737">
        <v>0</v>
      </c>
      <c r="N33" s="733">
        <v>0</v>
      </c>
      <c r="O33" s="737">
        <v>0</v>
      </c>
      <c r="P33" s="235"/>
      <c r="Q33" s="235"/>
      <c r="R33" s="235"/>
      <c r="S33" s="235"/>
      <c r="T33" s="235"/>
      <c r="U33" s="235"/>
      <c r="V33" s="235"/>
      <c r="W33" s="235"/>
      <c r="X33" s="235"/>
      <c r="Y33" s="235"/>
      <c r="Z33" s="235"/>
      <c r="AA33" s="235"/>
      <c r="AB33" s="235"/>
      <c r="AC33" s="235"/>
      <c r="AD33" s="235"/>
      <c r="AE33" s="235"/>
      <c r="AF33" s="235"/>
      <c r="AG33" s="235"/>
      <c r="AH33" s="2"/>
      <c r="AI33" s="2"/>
      <c r="AJ33" s="2"/>
      <c r="AK33" s="2"/>
      <c r="AL33" s="2"/>
      <c r="AM33" s="2"/>
      <c r="AN33" s="2"/>
      <c r="AO33" s="2"/>
      <c r="AP33" s="2"/>
      <c r="AQ33" s="2"/>
      <c r="AR33" s="2"/>
      <c r="AS33" s="2"/>
      <c r="AT33" s="2"/>
      <c r="AU33" s="2"/>
      <c r="AV33" s="2"/>
      <c r="AW33" s="2"/>
      <c r="AX33" s="2"/>
      <c r="AY33" s="2"/>
      <c r="AZ33" s="2"/>
      <c r="BA33" s="2"/>
      <c r="BB33" s="226"/>
    </row>
    <row r="34" spans="1:54" s="222" customFormat="1" x14ac:dyDescent="0.25">
      <c r="A34" s="235"/>
      <c r="B34" s="193" t="s">
        <v>112</v>
      </c>
      <c r="C34" s="205"/>
      <c r="D34" s="647"/>
      <c r="E34" s="207"/>
      <c r="F34" s="945"/>
      <c r="G34" s="946"/>
      <c r="H34" s="205"/>
      <c r="I34" s="207"/>
      <c r="J34" s="945"/>
      <c r="K34" s="946"/>
      <c r="L34" s="945"/>
      <c r="M34" s="946"/>
      <c r="N34" s="945"/>
      <c r="O34" s="946"/>
      <c r="P34" s="235"/>
      <c r="Q34" s="235"/>
      <c r="R34" s="235"/>
      <c r="S34" s="235"/>
      <c r="T34" s="235"/>
      <c r="U34" s="235"/>
      <c r="V34" s="235"/>
      <c r="W34" s="235"/>
      <c r="X34" s="235"/>
      <c r="Y34" s="235"/>
      <c r="Z34" s="235"/>
      <c r="AA34" s="235"/>
      <c r="AB34" s="235"/>
      <c r="AC34" s="235"/>
      <c r="AD34" s="235"/>
      <c r="AE34" s="235"/>
      <c r="AF34" s="235"/>
      <c r="AG34" s="235"/>
      <c r="AH34" s="2"/>
      <c r="AI34" s="2"/>
      <c r="AJ34" s="2"/>
      <c r="AK34" s="2"/>
      <c r="AL34" s="2"/>
      <c r="AM34" s="2"/>
      <c r="AN34" s="2"/>
      <c r="AO34" s="2"/>
      <c r="AP34" s="2"/>
      <c r="AQ34" s="2"/>
      <c r="AR34" s="2"/>
      <c r="AS34" s="2"/>
      <c r="AT34" s="2"/>
      <c r="AU34" s="2"/>
      <c r="AV34" s="2"/>
      <c r="AW34" s="2"/>
      <c r="AX34" s="2"/>
      <c r="AY34" s="2"/>
      <c r="AZ34" s="2"/>
      <c r="BA34" s="2"/>
      <c r="BB34" s="221"/>
    </row>
    <row r="35" spans="1:54" s="202" customFormat="1" x14ac:dyDescent="0.25">
      <c r="A35" s="235"/>
      <c r="B35" s="199" t="s">
        <v>95</v>
      </c>
      <c r="C35" s="214">
        <f>SUM(C19:C27)</f>
        <v>86397.537761342697</v>
      </c>
      <c r="D35" s="648">
        <f>SUM(D19:D27)</f>
        <v>26060.711885996905</v>
      </c>
      <c r="E35" s="653">
        <f>SUM(E19:E27)</f>
        <v>46664.425127838462</v>
      </c>
      <c r="F35" s="214">
        <f>SUM(F19:F27)</f>
        <v>24682.467013612542</v>
      </c>
      <c r="G35" s="653">
        <f>SUM(G19:G27)</f>
        <v>37523.328499999996</v>
      </c>
      <c r="H35" s="935" t="e">
        <f t="shared" ref="H35:N35" si="1">SUM(H19:H27)</f>
        <v>#DIV/0!</v>
      </c>
      <c r="I35" s="655" t="e">
        <f t="shared" si="1"/>
        <v>#DIV/0!</v>
      </c>
      <c r="J35" s="214">
        <f t="shared" si="1"/>
        <v>56244.732674238985</v>
      </c>
      <c r="K35" s="653">
        <f t="shared" si="1"/>
        <v>24499.57753826087</v>
      </c>
      <c r="L35" s="214">
        <f t="shared" si="1"/>
        <v>59376.319765639797</v>
      </c>
      <c r="M35" s="653">
        <f t="shared" si="1"/>
        <v>32202.287283684211</v>
      </c>
      <c r="N35" s="214">
        <f t="shared" si="1"/>
        <v>61147.597133445663</v>
      </c>
      <c r="O35" s="653">
        <f>SUM(O19:O27)</f>
        <v>191203.05681387192</v>
      </c>
      <c r="P35" s="235"/>
      <c r="Q35" s="235"/>
      <c r="R35" s="235"/>
      <c r="S35" s="235"/>
      <c r="T35" s="235"/>
      <c r="U35" s="235"/>
      <c r="V35" s="235"/>
      <c r="W35" s="235"/>
      <c r="X35" s="235"/>
      <c r="Y35" s="235"/>
      <c r="Z35" s="235"/>
      <c r="AA35" s="235"/>
      <c r="AB35" s="235"/>
      <c r="AC35" s="235"/>
      <c r="AD35" s="235"/>
      <c r="AE35" s="235"/>
      <c r="AF35" s="235"/>
      <c r="AG35" s="235"/>
      <c r="AH35" s="2"/>
      <c r="AI35" s="2"/>
      <c r="AJ35" s="2"/>
      <c r="AK35" s="2"/>
      <c r="AL35" s="2"/>
      <c r="AM35" s="2"/>
      <c r="AN35" s="2"/>
      <c r="AO35" s="2"/>
      <c r="AP35" s="2"/>
      <c r="AQ35" s="2"/>
      <c r="AR35" s="2"/>
      <c r="AS35" s="2"/>
      <c r="AT35" s="2"/>
      <c r="AU35" s="2"/>
      <c r="AV35" s="2"/>
      <c r="AW35" s="2"/>
      <c r="AX35" s="2"/>
      <c r="AY35" s="2"/>
      <c r="AZ35" s="2"/>
      <c r="BA35" s="2"/>
      <c r="BB35" s="201"/>
    </row>
    <row r="36" spans="1:54" s="202" customFormat="1" x14ac:dyDescent="0.25">
      <c r="A36" s="235"/>
      <c r="B36" s="199" t="s">
        <v>969</v>
      </c>
      <c r="C36" s="730">
        <v>0</v>
      </c>
      <c r="D36" s="731">
        <v>0</v>
      </c>
      <c r="E36" s="738">
        <v>0</v>
      </c>
      <c r="F36" s="730"/>
      <c r="G36" s="738">
        <v>0</v>
      </c>
      <c r="H36" s="937">
        <v>0</v>
      </c>
      <c r="I36" s="742">
        <v>0</v>
      </c>
      <c r="J36" s="730">
        <v>0</v>
      </c>
      <c r="K36" s="738">
        <v>0</v>
      </c>
      <c r="L36" s="730">
        <v>0</v>
      </c>
      <c r="M36" s="738">
        <v>0</v>
      </c>
      <c r="N36" s="730">
        <v>0</v>
      </c>
      <c r="O36" s="738">
        <v>0</v>
      </c>
      <c r="P36" s="235"/>
      <c r="Q36" s="235"/>
      <c r="R36" s="235"/>
      <c r="S36" s="235"/>
      <c r="T36" s="235"/>
      <c r="U36" s="235"/>
      <c r="V36" s="235"/>
      <c r="W36" s="235"/>
      <c r="X36" s="235"/>
      <c r="Y36" s="235"/>
      <c r="Z36" s="235"/>
      <c r="AA36" s="235"/>
      <c r="AB36" s="235"/>
      <c r="AC36" s="235"/>
      <c r="AD36" s="235"/>
      <c r="AE36" s="235"/>
      <c r="AF36" s="235"/>
      <c r="AG36" s="235"/>
      <c r="AH36" s="2"/>
      <c r="AI36" s="2"/>
      <c r="AJ36" s="2"/>
      <c r="AK36" s="2"/>
      <c r="AL36" s="2"/>
      <c r="AM36" s="2"/>
      <c r="AN36" s="2"/>
      <c r="AO36" s="2"/>
      <c r="AP36" s="2"/>
      <c r="AQ36" s="2"/>
      <c r="AR36" s="2"/>
      <c r="AS36" s="2"/>
      <c r="AT36" s="2"/>
      <c r="AU36" s="2"/>
      <c r="AV36" s="2"/>
      <c r="AW36" s="2"/>
      <c r="AX36" s="2"/>
      <c r="AY36" s="2"/>
      <c r="AZ36" s="2"/>
      <c r="BA36" s="2"/>
      <c r="BB36" s="201"/>
    </row>
    <row r="37" spans="1:54" s="202" customFormat="1" x14ac:dyDescent="0.25">
      <c r="A37" s="235"/>
      <c r="B37" s="199" t="s">
        <v>970</v>
      </c>
      <c r="C37" s="730">
        <v>0</v>
      </c>
      <c r="D37" s="731">
        <v>0</v>
      </c>
      <c r="E37" s="738">
        <v>0</v>
      </c>
      <c r="F37" s="730"/>
      <c r="G37" s="738">
        <v>0</v>
      </c>
      <c r="H37" s="937">
        <v>0</v>
      </c>
      <c r="I37" s="742">
        <v>0</v>
      </c>
      <c r="J37" s="730">
        <v>0</v>
      </c>
      <c r="K37" s="738">
        <v>0</v>
      </c>
      <c r="L37" s="730">
        <v>0</v>
      </c>
      <c r="M37" s="738">
        <v>0</v>
      </c>
      <c r="N37" s="730">
        <v>0</v>
      </c>
      <c r="O37" s="738">
        <v>0</v>
      </c>
      <c r="P37" s="235"/>
      <c r="Q37" s="235"/>
      <c r="R37" s="235"/>
      <c r="S37" s="235"/>
      <c r="T37" s="235"/>
      <c r="U37" s="235"/>
      <c r="V37" s="235"/>
      <c r="W37" s="235"/>
      <c r="X37" s="235"/>
      <c r="Y37" s="235"/>
      <c r="Z37" s="235"/>
      <c r="AA37" s="235"/>
      <c r="AB37" s="235"/>
      <c r="AC37" s="235"/>
      <c r="AD37" s="235"/>
      <c r="AE37" s="235"/>
      <c r="AF37" s="235"/>
      <c r="AG37" s="235"/>
      <c r="AH37" s="2"/>
      <c r="AI37" s="2"/>
      <c r="AJ37" s="2"/>
      <c r="AK37" s="2"/>
      <c r="AL37" s="2"/>
      <c r="AM37" s="2"/>
      <c r="AN37" s="2"/>
      <c r="AO37" s="2"/>
      <c r="AP37" s="2"/>
      <c r="AQ37" s="2"/>
      <c r="AR37" s="2"/>
      <c r="AS37" s="2"/>
      <c r="AT37" s="2"/>
      <c r="AU37" s="2"/>
      <c r="AV37" s="2"/>
      <c r="AW37" s="2"/>
      <c r="AX37" s="2"/>
      <c r="AY37" s="2"/>
      <c r="AZ37" s="2"/>
      <c r="BA37" s="2"/>
      <c r="BB37" s="201"/>
    </row>
    <row r="38" spans="1:54" s="230" customFormat="1" x14ac:dyDescent="0.25">
      <c r="A38" s="235"/>
      <c r="B38" s="228" t="s">
        <v>971</v>
      </c>
      <c r="C38" s="739">
        <v>0</v>
      </c>
      <c r="D38" s="740">
        <v>0</v>
      </c>
      <c r="E38" s="741">
        <v>0</v>
      </c>
      <c r="F38" s="739"/>
      <c r="G38" s="741">
        <v>0</v>
      </c>
      <c r="H38" s="939">
        <v>0</v>
      </c>
      <c r="I38" s="924">
        <v>0</v>
      </c>
      <c r="J38" s="739">
        <v>0</v>
      </c>
      <c r="K38" s="741">
        <v>0</v>
      </c>
      <c r="L38" s="739">
        <v>0</v>
      </c>
      <c r="M38" s="741">
        <v>0</v>
      </c>
      <c r="N38" s="739">
        <v>0</v>
      </c>
      <c r="O38" s="741">
        <v>0</v>
      </c>
      <c r="P38" s="235"/>
      <c r="Q38" s="235"/>
      <c r="R38" s="235"/>
      <c r="S38" s="235"/>
      <c r="T38" s="235"/>
      <c r="U38" s="235"/>
      <c r="V38" s="235"/>
      <c r="W38" s="235"/>
      <c r="X38" s="235"/>
      <c r="Y38" s="235"/>
      <c r="Z38" s="235"/>
      <c r="AA38" s="235"/>
      <c r="AB38" s="235"/>
      <c r="AC38" s="235"/>
      <c r="AD38" s="235"/>
      <c r="AE38" s="235"/>
      <c r="AF38" s="235"/>
      <c r="AG38" s="235"/>
      <c r="AH38" s="2"/>
      <c r="AI38" s="2"/>
      <c r="AJ38" s="2"/>
      <c r="AK38" s="2"/>
      <c r="AL38" s="2"/>
      <c r="AM38" s="2"/>
      <c r="AN38" s="2"/>
      <c r="AO38" s="2"/>
      <c r="AP38" s="2"/>
      <c r="AQ38" s="2"/>
      <c r="AR38" s="2"/>
      <c r="AS38" s="2"/>
      <c r="AT38" s="2"/>
      <c r="AU38" s="2"/>
      <c r="AV38" s="2"/>
      <c r="AW38" s="2"/>
      <c r="AX38" s="2"/>
      <c r="AY38" s="2"/>
      <c r="AZ38" s="2"/>
      <c r="BA38" s="2"/>
      <c r="BB38" s="229"/>
    </row>
    <row r="39" spans="1:54" s="227" customFormat="1" ht="11" thickBot="1" x14ac:dyDescent="0.3">
      <c r="A39" s="235"/>
      <c r="B39" s="204" t="s">
        <v>972</v>
      </c>
      <c r="C39" s="733">
        <v>0</v>
      </c>
      <c r="D39" s="734">
        <v>0</v>
      </c>
      <c r="E39" s="737">
        <v>0</v>
      </c>
      <c r="F39" s="733"/>
      <c r="G39" s="737">
        <v>0</v>
      </c>
      <c r="H39" s="938">
        <v>0</v>
      </c>
      <c r="I39" s="743">
        <v>0</v>
      </c>
      <c r="J39" s="733">
        <v>0</v>
      </c>
      <c r="K39" s="737">
        <v>0</v>
      </c>
      <c r="L39" s="733">
        <v>0</v>
      </c>
      <c r="M39" s="737">
        <v>0</v>
      </c>
      <c r="N39" s="733">
        <v>0</v>
      </c>
      <c r="O39" s="737">
        <v>0</v>
      </c>
      <c r="P39" s="235"/>
      <c r="Q39" s="235"/>
      <c r="R39" s="235"/>
      <c r="S39" s="235"/>
      <c r="T39" s="235"/>
      <c r="U39" s="235"/>
      <c r="V39" s="235"/>
      <c r="W39" s="235"/>
      <c r="X39" s="235"/>
      <c r="Y39" s="235"/>
      <c r="Z39" s="235"/>
      <c r="AA39" s="235"/>
      <c r="AB39" s="235"/>
      <c r="AC39" s="235"/>
      <c r="AD39" s="235"/>
      <c r="AE39" s="235"/>
      <c r="AF39" s="235"/>
      <c r="AG39" s="235"/>
      <c r="AH39" s="2"/>
      <c r="AI39" s="2"/>
      <c r="AJ39" s="2"/>
      <c r="AK39" s="2"/>
      <c r="AL39" s="2"/>
      <c r="AM39" s="2"/>
      <c r="AN39" s="2"/>
      <c r="AO39" s="2"/>
      <c r="AP39" s="2"/>
      <c r="AQ39" s="2"/>
      <c r="AR39" s="2"/>
      <c r="AS39" s="2"/>
      <c r="AT39" s="2"/>
      <c r="AU39" s="2"/>
      <c r="AV39" s="2"/>
      <c r="AW39" s="2"/>
      <c r="AX39" s="2"/>
      <c r="AY39" s="2"/>
      <c r="AZ39" s="2"/>
      <c r="BA39" s="2"/>
      <c r="BB39" s="226"/>
    </row>
    <row r="40" spans="1:54" s="222" customFormat="1" x14ac:dyDescent="0.25">
      <c r="A40" s="235"/>
      <c r="B40" s="193" t="s">
        <v>114</v>
      </c>
      <c r="C40" s="205"/>
      <c r="D40" s="206"/>
      <c r="E40" s="207"/>
      <c r="F40" s="945"/>
      <c r="G40" s="946"/>
      <c r="H40" s="205"/>
      <c r="I40" s="207"/>
      <c r="J40" s="945"/>
      <c r="K40" s="946"/>
      <c r="L40" s="945"/>
      <c r="M40" s="946"/>
      <c r="N40" s="945"/>
      <c r="O40" s="946"/>
      <c r="P40" s="235"/>
      <c r="Q40" s="235"/>
      <c r="R40" s="235"/>
      <c r="S40" s="235"/>
      <c r="T40" s="235"/>
      <c r="U40" s="235"/>
      <c r="V40" s="235"/>
      <c r="W40" s="235"/>
      <c r="X40" s="235"/>
      <c r="Y40" s="235"/>
      <c r="Z40" s="235"/>
      <c r="AA40" s="235"/>
      <c r="AB40" s="235"/>
      <c r="AC40" s="235"/>
      <c r="AD40" s="235"/>
      <c r="AE40" s="235"/>
      <c r="AF40" s="235"/>
      <c r="AG40" s="235"/>
      <c r="AH40" s="2"/>
      <c r="AI40" s="2"/>
      <c r="AJ40" s="2"/>
      <c r="AK40" s="2"/>
      <c r="AL40" s="2"/>
      <c r="AM40" s="2"/>
      <c r="AN40" s="2"/>
      <c r="AO40" s="2"/>
      <c r="AP40" s="2"/>
      <c r="AQ40" s="2"/>
      <c r="AR40" s="2"/>
      <c r="AS40" s="2"/>
      <c r="AT40" s="2"/>
      <c r="AU40" s="2"/>
      <c r="AV40" s="2"/>
      <c r="AW40" s="2"/>
      <c r="AX40" s="2"/>
      <c r="AY40" s="2"/>
      <c r="AZ40" s="2"/>
      <c r="BA40" s="2"/>
      <c r="BB40" s="221"/>
    </row>
    <row r="41" spans="1:54" s="202" customFormat="1" ht="11" thickBot="1" x14ac:dyDescent="0.3">
      <c r="A41" s="235"/>
      <c r="B41" s="199" t="s">
        <v>115</v>
      </c>
      <c r="C41" s="214">
        <f>C4*'FBS Data'!C9</f>
        <v>122150</v>
      </c>
      <c r="D41" s="648">
        <f>C41*90%</f>
        <v>109935</v>
      </c>
      <c r="E41" s="655">
        <f>C41</f>
        <v>122150</v>
      </c>
      <c r="F41" s="214">
        <f>F4*'FBS Data'!D9</f>
        <v>18148</v>
      </c>
      <c r="G41" s="653">
        <f>G4*'FBS Data'!D9</f>
        <v>18148</v>
      </c>
      <c r="H41" s="935">
        <f>H4*'FBS Data'!E9</f>
        <v>277536</v>
      </c>
      <c r="I41" s="655">
        <f>H41*90%</f>
        <v>249782.39999999999</v>
      </c>
      <c r="J41" s="214">
        <f>J4*'FBS Data'!F9</f>
        <v>67667.039999999994</v>
      </c>
      <c r="K41" s="653">
        <f>J41*90%</f>
        <v>60900.335999999996</v>
      </c>
      <c r="L41" s="214">
        <f>L4*'FBS Data'!G9</f>
        <v>65506.1</v>
      </c>
      <c r="M41" s="653">
        <f>L41*90%</f>
        <v>58955.49</v>
      </c>
      <c r="N41" s="214">
        <f>N4*'FBS Data'!H9</f>
        <v>82018</v>
      </c>
      <c r="O41" s="653">
        <f>O4*'FBS Data'!H9</f>
        <v>82018</v>
      </c>
      <c r="P41" s="235"/>
      <c r="Q41" s="235"/>
      <c r="R41" s="235"/>
      <c r="S41" s="235"/>
      <c r="T41" s="235"/>
      <c r="U41" s="235"/>
      <c r="V41" s="235"/>
      <c r="W41" s="235"/>
      <c r="X41" s="235"/>
      <c r="Y41" s="235"/>
      <c r="Z41" s="235"/>
      <c r="AA41" s="235"/>
      <c r="AB41" s="235"/>
      <c r="AC41" s="235"/>
      <c r="AD41" s="235"/>
      <c r="AE41" s="235"/>
      <c r="AF41" s="235"/>
      <c r="AG41" s="235"/>
      <c r="AH41" s="2"/>
      <c r="AI41" s="2"/>
      <c r="AJ41" s="2"/>
      <c r="AK41" s="2"/>
      <c r="AL41" s="2"/>
      <c r="AM41" s="2"/>
      <c r="AN41" s="2"/>
      <c r="AO41" s="2"/>
      <c r="AP41" s="2"/>
      <c r="AQ41" s="2"/>
      <c r="AR41" s="2"/>
      <c r="AS41" s="2"/>
      <c r="AT41" s="2"/>
      <c r="AU41" s="2"/>
      <c r="AV41" s="2"/>
      <c r="AW41" s="2"/>
      <c r="AX41" s="2"/>
      <c r="AY41" s="2"/>
      <c r="AZ41" s="2"/>
      <c r="BA41" s="2"/>
      <c r="BB41" s="201"/>
    </row>
    <row r="42" spans="1:54" s="222" customFormat="1" x14ac:dyDescent="0.25">
      <c r="A42" s="235"/>
      <c r="B42" s="193" t="s">
        <v>117</v>
      </c>
      <c r="C42" s="205"/>
      <c r="D42" s="206"/>
      <c r="E42" s="207"/>
      <c r="F42" s="945"/>
      <c r="G42" s="946"/>
      <c r="H42" s="205"/>
      <c r="I42" s="207"/>
      <c r="J42" s="945"/>
      <c r="K42" s="946"/>
      <c r="L42" s="945"/>
      <c r="M42" s="946"/>
      <c r="N42" s="205"/>
      <c r="O42" s="946"/>
      <c r="P42" s="235"/>
      <c r="Q42" s="235"/>
      <c r="R42" s="235"/>
      <c r="S42" s="235"/>
      <c r="T42" s="235"/>
      <c r="U42" s="235"/>
      <c r="V42" s="235"/>
      <c r="W42" s="235"/>
      <c r="X42" s="235"/>
      <c r="Y42" s="235"/>
      <c r="Z42" s="235"/>
      <c r="AA42" s="235"/>
      <c r="AB42" s="235"/>
      <c r="AC42" s="235"/>
      <c r="AD42" s="235"/>
      <c r="AE42" s="235"/>
      <c r="AF42" s="235"/>
      <c r="AG42" s="235"/>
      <c r="AH42" s="2"/>
      <c r="AI42" s="2"/>
      <c r="AJ42" s="2"/>
      <c r="AK42" s="2"/>
      <c r="AL42" s="2"/>
      <c r="AM42" s="2"/>
      <c r="AN42" s="2"/>
      <c r="AO42" s="2"/>
      <c r="AP42" s="2"/>
      <c r="AQ42" s="2"/>
      <c r="AR42" s="2"/>
      <c r="AS42" s="2"/>
      <c r="AT42" s="2"/>
      <c r="AU42" s="2"/>
      <c r="AV42" s="2"/>
      <c r="AW42" s="2"/>
      <c r="AX42" s="2"/>
      <c r="AY42" s="2"/>
      <c r="AZ42" s="2"/>
      <c r="BA42" s="2"/>
      <c r="BB42" s="221"/>
    </row>
    <row r="43" spans="1:54" s="227" customFormat="1" ht="11" thickBot="1" x14ac:dyDescent="0.3">
      <c r="A43" s="235"/>
      <c r="B43" s="189"/>
      <c r="C43" s="231">
        <f t="shared" ref="C43:H43" si="2">(SUM(C29:C33)-SUM(C35:C39)-SUM(C41:C41))</f>
        <v>35475.258446773107</v>
      </c>
      <c r="D43" s="231">
        <f t="shared" si="2"/>
        <v>35102.751530669746</v>
      </c>
      <c r="E43" s="231">
        <f t="shared" si="2"/>
        <v>41032.965205494838</v>
      </c>
      <c r="F43" s="231">
        <f t="shared" si="2"/>
        <v>11003.315156586563</v>
      </c>
      <c r="G43" s="231">
        <f t="shared" si="2"/>
        <v>29046.146499999995</v>
      </c>
      <c r="H43" s="950" t="e">
        <f t="shared" si="2"/>
        <v>#DIV/0!</v>
      </c>
      <c r="I43" s="950" t="e">
        <f t="shared" ref="I43:O43" si="3">(SUM(I29:I33)-SUM(I35:I39)-SUM(I41:I41))</f>
        <v>#DIV/0!</v>
      </c>
      <c r="J43" s="231">
        <f t="shared" si="3"/>
        <v>-18821.590465700108</v>
      </c>
      <c r="K43" s="231">
        <f t="shared" si="3"/>
        <v>8704.7024617391289</v>
      </c>
      <c r="L43" s="948">
        <f t="shared" si="3"/>
        <v>1526.5158296705849</v>
      </c>
      <c r="M43" s="948">
        <f t="shared" si="3"/>
        <v>13774.025549649123</v>
      </c>
      <c r="N43" s="948">
        <f t="shared" si="3"/>
        <v>8526.2269881937827</v>
      </c>
      <c r="O43" s="231">
        <f t="shared" si="3"/>
        <v>99369.324614699552</v>
      </c>
      <c r="P43" s="235"/>
      <c r="Q43" s="235"/>
      <c r="R43" s="235"/>
      <c r="S43" s="235"/>
      <c r="T43" s="235"/>
      <c r="U43" s="235"/>
      <c r="V43" s="235"/>
      <c r="W43" s="235"/>
      <c r="X43" s="235"/>
      <c r="Y43" s="235"/>
      <c r="Z43" s="235"/>
      <c r="AA43" s="235"/>
      <c r="AB43" s="235"/>
      <c r="AC43" s="235"/>
      <c r="AD43" s="235"/>
      <c r="AE43" s="235"/>
      <c r="AF43" s="235"/>
      <c r="AG43" s="235"/>
      <c r="AH43" s="232"/>
      <c r="AI43" s="232"/>
      <c r="AJ43" s="232"/>
      <c r="AK43" s="232"/>
      <c r="AL43" s="232"/>
      <c r="AM43" s="232"/>
      <c r="AN43" s="232"/>
      <c r="AO43" s="232"/>
      <c r="AP43" s="232"/>
      <c r="AQ43" s="232"/>
      <c r="AR43" s="232"/>
      <c r="AS43" s="232"/>
      <c r="AT43" s="232"/>
      <c r="AU43" s="232"/>
      <c r="AV43" s="232"/>
      <c r="AW43" s="232"/>
      <c r="AX43" s="232"/>
      <c r="AY43" s="232"/>
      <c r="AZ43" s="232"/>
      <c r="BA43" s="232"/>
      <c r="BB43" s="226"/>
    </row>
    <row r="44" spans="1:54" s="235" customFormat="1" x14ac:dyDescent="0.25">
      <c r="B44" s="239"/>
      <c r="C44" s="239"/>
      <c r="D44" s="239"/>
      <c r="E44" s="239"/>
      <c r="F44" s="239"/>
      <c r="G44" s="239"/>
      <c r="H44" s="239"/>
      <c r="I44" s="239"/>
      <c r="J44" s="239"/>
      <c r="K44" s="239"/>
      <c r="L44" s="239"/>
      <c r="M44" s="239"/>
      <c r="N44" s="239"/>
      <c r="O44" s="239"/>
    </row>
    <row r="45" spans="1:54" s="235" customFormat="1" x14ac:dyDescent="0.25">
      <c r="B45" s="239"/>
      <c r="C45" s="1143"/>
      <c r="D45" s="1143"/>
      <c r="E45" s="1143"/>
      <c r="F45" s="1143"/>
      <c r="G45" s="1143"/>
      <c r="H45" s="1143"/>
      <c r="I45" s="1143"/>
      <c r="J45" s="1143"/>
      <c r="K45" s="1143"/>
      <c r="L45" s="1143"/>
      <c r="M45" s="1143"/>
      <c r="N45" s="1143"/>
      <c r="O45" s="1143"/>
    </row>
    <row r="46" spans="1:54" s="235" customFormat="1" x14ac:dyDescent="0.25">
      <c r="B46" s="239"/>
      <c r="C46" s="239"/>
      <c r="D46" s="239"/>
      <c r="E46" s="239"/>
      <c r="F46" s="239"/>
      <c r="G46" s="239"/>
      <c r="H46" s="239"/>
      <c r="I46" s="239"/>
      <c r="J46" s="239"/>
      <c r="K46" s="239"/>
      <c r="L46" s="239"/>
      <c r="M46" s="239"/>
      <c r="N46" s="239"/>
      <c r="O46" s="239"/>
    </row>
    <row r="47" spans="1:54" s="235" customFormat="1" x14ac:dyDescent="0.25">
      <c r="B47" s="239"/>
      <c r="C47" s="239"/>
      <c r="D47" s="239"/>
      <c r="E47" s="239"/>
      <c r="F47" s="239"/>
      <c r="G47" s="239"/>
      <c r="H47" s="1143"/>
      <c r="I47" s="239"/>
      <c r="J47" s="239"/>
      <c r="K47" s="239"/>
      <c r="L47" s="239"/>
      <c r="M47" s="239"/>
      <c r="N47" s="239"/>
      <c r="O47" s="239"/>
    </row>
    <row r="48" spans="1:54" s="235" customFormat="1" x14ac:dyDescent="0.25">
      <c r="H48" s="1031"/>
    </row>
    <row r="49" spans="8:8" s="235" customFormat="1" x14ac:dyDescent="0.25">
      <c r="H49" s="1031"/>
    </row>
    <row r="50" spans="8:8" s="235" customFormat="1" x14ac:dyDescent="0.25">
      <c r="H50" s="1144"/>
    </row>
    <row r="51" spans="8:8" s="235" customFormat="1" x14ac:dyDescent="0.25"/>
    <row r="52" spans="8:8" s="235" customFormat="1" x14ac:dyDescent="0.25"/>
    <row r="53" spans="8:8" s="235" customFormat="1" x14ac:dyDescent="0.25"/>
    <row r="54" spans="8:8" s="235" customFormat="1" x14ac:dyDescent="0.25"/>
    <row r="55" spans="8:8" s="235" customFormat="1" x14ac:dyDescent="0.25"/>
    <row r="56" spans="8:8" s="235" customFormat="1" x14ac:dyDescent="0.25"/>
    <row r="57" spans="8:8" s="235" customFormat="1" x14ac:dyDescent="0.25"/>
    <row r="58" spans="8:8" s="235" customFormat="1" x14ac:dyDescent="0.25"/>
    <row r="59" spans="8:8" s="235" customFormat="1" x14ac:dyDescent="0.25"/>
    <row r="60" spans="8:8" s="235" customFormat="1" x14ac:dyDescent="0.25"/>
    <row r="61" spans="8:8" s="235" customFormat="1" x14ac:dyDescent="0.25"/>
    <row r="62" spans="8:8" s="235" customFormat="1" x14ac:dyDescent="0.25"/>
    <row r="63" spans="8:8" s="235" customFormat="1" x14ac:dyDescent="0.25"/>
    <row r="64" spans="8:8" s="235" customFormat="1" x14ac:dyDescent="0.25"/>
    <row r="65" spans="3:15" s="235" customFormat="1" x14ac:dyDescent="0.25"/>
    <row r="66" spans="3:15" s="235" customFormat="1" x14ac:dyDescent="0.25"/>
    <row r="67" spans="3:15" s="235" customFormat="1" x14ac:dyDescent="0.25"/>
    <row r="68" spans="3:15" s="235" customFormat="1" x14ac:dyDescent="0.25"/>
    <row r="69" spans="3:15" s="235" customFormat="1" x14ac:dyDescent="0.25"/>
    <row r="70" spans="3:15" x14ac:dyDescent="0.25">
      <c r="C70" s="2"/>
      <c r="D70" s="2"/>
      <c r="E70" s="2"/>
      <c r="F70" s="2"/>
      <c r="G70" s="2"/>
      <c r="H70" s="2"/>
      <c r="I70" s="2"/>
      <c r="J70" s="2"/>
      <c r="K70" s="2"/>
      <c r="L70" s="2"/>
      <c r="M70" s="2"/>
      <c r="N70" s="2"/>
      <c r="O70" s="2"/>
    </row>
    <row r="71" spans="3:15" x14ac:dyDescent="0.25">
      <c r="C71" s="2"/>
      <c r="D71" s="2"/>
      <c r="E71" s="2"/>
      <c r="F71" s="2"/>
      <c r="G71" s="2"/>
      <c r="H71" s="2"/>
      <c r="I71" s="2"/>
      <c r="J71" s="2"/>
      <c r="K71" s="2"/>
      <c r="L71" s="2"/>
      <c r="M71" s="2"/>
      <c r="N71" s="2"/>
      <c r="O71" s="2"/>
    </row>
    <row r="72" spans="3:15" x14ac:dyDescent="0.25">
      <c r="C72" s="2"/>
      <c r="D72" s="2"/>
      <c r="E72" s="2"/>
      <c r="F72" s="2"/>
      <c r="G72" s="2"/>
      <c r="H72" s="2"/>
      <c r="I72" s="2"/>
      <c r="J72" s="2"/>
      <c r="K72" s="2"/>
      <c r="L72" s="2"/>
      <c r="M72" s="2"/>
      <c r="N72" s="2"/>
      <c r="O72" s="2"/>
    </row>
    <row r="73" spans="3:15" x14ac:dyDescent="0.25">
      <c r="C73" s="2"/>
      <c r="D73" s="2"/>
      <c r="E73" s="2"/>
      <c r="F73" s="2"/>
      <c r="G73" s="2"/>
      <c r="H73" s="2"/>
      <c r="I73" s="2"/>
      <c r="J73" s="2"/>
      <c r="K73" s="2"/>
      <c r="L73" s="2"/>
      <c r="M73" s="2"/>
      <c r="N73" s="2"/>
      <c r="O73" s="2"/>
    </row>
    <row r="74" spans="3:15" x14ac:dyDescent="0.25">
      <c r="C74" s="2"/>
      <c r="D74" s="2"/>
      <c r="E74" s="2"/>
      <c r="F74" s="2"/>
      <c r="G74" s="2"/>
      <c r="H74" s="2"/>
      <c r="I74" s="2"/>
      <c r="J74" s="2"/>
      <c r="K74" s="2"/>
      <c r="L74" s="2"/>
      <c r="M74" s="2"/>
      <c r="N74" s="2"/>
      <c r="O74" s="2"/>
    </row>
    <row r="75" spans="3:15" x14ac:dyDescent="0.25">
      <c r="C75" s="2"/>
      <c r="D75" s="2"/>
      <c r="E75" s="2"/>
      <c r="F75" s="2"/>
      <c r="G75" s="2"/>
      <c r="H75" s="2"/>
      <c r="I75" s="2"/>
      <c r="J75" s="2"/>
      <c r="K75" s="2"/>
      <c r="L75" s="2"/>
      <c r="M75" s="2"/>
      <c r="N75" s="2"/>
      <c r="O75" s="2"/>
    </row>
    <row r="76" spans="3:15" x14ac:dyDescent="0.25">
      <c r="C76" s="2"/>
      <c r="D76" s="2"/>
      <c r="E76" s="2"/>
      <c r="F76" s="2"/>
      <c r="G76" s="2"/>
      <c r="H76" s="2"/>
      <c r="I76" s="2"/>
      <c r="J76" s="2"/>
      <c r="K76" s="2"/>
      <c r="L76" s="2"/>
      <c r="M76" s="2"/>
      <c r="N76" s="2"/>
      <c r="O76" s="2"/>
    </row>
    <row r="77" spans="3:15" x14ac:dyDescent="0.25">
      <c r="C77" s="2"/>
      <c r="D77" s="2"/>
      <c r="E77" s="2"/>
      <c r="F77" s="2"/>
      <c r="G77" s="2"/>
      <c r="H77" s="2"/>
      <c r="I77" s="2"/>
      <c r="J77" s="2"/>
      <c r="K77" s="2"/>
      <c r="L77" s="2"/>
      <c r="M77" s="2"/>
      <c r="N77" s="2"/>
      <c r="O77" s="2"/>
    </row>
    <row r="78" spans="3:15" x14ac:dyDescent="0.25">
      <c r="C78" s="2"/>
      <c r="D78" s="2"/>
      <c r="E78" s="2"/>
      <c r="F78" s="2"/>
      <c r="G78" s="2"/>
      <c r="H78" s="2"/>
      <c r="I78" s="2"/>
      <c r="J78" s="2"/>
      <c r="K78" s="2"/>
      <c r="L78" s="2"/>
      <c r="M78" s="2"/>
      <c r="N78" s="2"/>
      <c r="O78" s="2"/>
    </row>
    <row r="79" spans="3:15" x14ac:dyDescent="0.25">
      <c r="C79" s="2"/>
      <c r="D79" s="2"/>
      <c r="E79" s="2"/>
      <c r="F79" s="2"/>
      <c r="G79" s="2"/>
      <c r="H79" s="2"/>
      <c r="I79" s="2"/>
      <c r="J79" s="2"/>
      <c r="K79" s="2"/>
      <c r="L79" s="2"/>
      <c r="M79" s="2"/>
      <c r="N79" s="2"/>
      <c r="O79" s="2"/>
    </row>
    <row r="80" spans="3:15" x14ac:dyDescent="0.25">
      <c r="C80" s="2"/>
      <c r="D80" s="2"/>
      <c r="E80" s="2"/>
      <c r="F80" s="2"/>
      <c r="G80" s="2"/>
      <c r="H80" s="2"/>
      <c r="I80" s="2"/>
      <c r="J80" s="2"/>
      <c r="K80" s="2"/>
      <c r="L80" s="2"/>
      <c r="M80" s="2"/>
      <c r="N80" s="2"/>
      <c r="O80" s="2"/>
    </row>
    <row r="81" spans="3:15" x14ac:dyDescent="0.25">
      <c r="C81" s="2"/>
      <c r="D81" s="2"/>
      <c r="E81" s="2"/>
      <c r="F81" s="2"/>
      <c r="G81" s="2"/>
      <c r="H81" s="2"/>
      <c r="I81" s="2"/>
      <c r="J81" s="2"/>
      <c r="K81" s="2"/>
      <c r="L81" s="2"/>
      <c r="M81" s="2"/>
      <c r="N81" s="2"/>
      <c r="O81" s="2"/>
    </row>
    <row r="82" spans="3:15" x14ac:dyDescent="0.25">
      <c r="C82" s="2"/>
      <c r="D82" s="2"/>
      <c r="E82" s="2"/>
      <c r="F82" s="2"/>
      <c r="G82" s="2"/>
      <c r="H82" s="2"/>
      <c r="I82" s="2"/>
      <c r="J82" s="2"/>
      <c r="K82" s="2"/>
      <c r="L82" s="2"/>
      <c r="M82" s="2"/>
      <c r="N82" s="2"/>
      <c r="O82" s="2"/>
    </row>
    <row r="83" spans="3:15" x14ac:dyDescent="0.25">
      <c r="C83" s="2"/>
      <c r="D83" s="2"/>
      <c r="E83" s="2"/>
      <c r="F83" s="2"/>
      <c r="G83" s="2"/>
      <c r="H83" s="2"/>
      <c r="I83" s="2"/>
      <c r="J83" s="2"/>
      <c r="K83" s="2"/>
      <c r="L83" s="2"/>
      <c r="M83" s="2"/>
      <c r="N83" s="2"/>
      <c r="O83" s="2"/>
    </row>
    <row r="84" spans="3:15" x14ac:dyDescent="0.25">
      <c r="C84" s="2"/>
      <c r="D84" s="2"/>
      <c r="E84" s="2"/>
      <c r="F84" s="2"/>
      <c r="G84" s="2"/>
      <c r="H84" s="2"/>
      <c r="I84" s="2"/>
      <c r="J84" s="2"/>
      <c r="K84" s="2"/>
      <c r="L84" s="2"/>
      <c r="M84" s="2"/>
      <c r="N84" s="2"/>
      <c r="O84" s="2"/>
    </row>
    <row r="85" spans="3:15" x14ac:dyDescent="0.25">
      <c r="C85" s="2"/>
      <c r="D85" s="2"/>
      <c r="E85" s="2"/>
      <c r="F85" s="2"/>
      <c r="G85" s="2"/>
      <c r="H85" s="2"/>
      <c r="I85" s="2"/>
      <c r="J85" s="2"/>
      <c r="K85" s="2"/>
      <c r="L85" s="2"/>
      <c r="M85" s="2"/>
      <c r="N85" s="2"/>
      <c r="O85" s="2"/>
    </row>
    <row r="86" spans="3:15" x14ac:dyDescent="0.25">
      <c r="C86" s="2"/>
      <c r="D86" s="2"/>
      <c r="E86" s="2"/>
      <c r="F86" s="2"/>
      <c r="G86" s="2"/>
      <c r="H86" s="2"/>
      <c r="I86" s="2"/>
      <c r="J86" s="2"/>
      <c r="K86" s="2"/>
      <c r="L86" s="2"/>
      <c r="M86" s="2"/>
      <c r="N86" s="2"/>
      <c r="O86" s="2"/>
    </row>
    <row r="87" spans="3:15" x14ac:dyDescent="0.25">
      <c r="C87" s="2"/>
      <c r="D87" s="2"/>
      <c r="E87" s="2"/>
      <c r="F87" s="2"/>
      <c r="G87" s="2"/>
      <c r="H87" s="2"/>
      <c r="I87" s="2"/>
      <c r="J87" s="2"/>
      <c r="K87" s="2"/>
      <c r="L87" s="2"/>
      <c r="M87" s="2"/>
      <c r="N87" s="2"/>
      <c r="O87" s="2"/>
    </row>
    <row r="88" spans="3:15" x14ac:dyDescent="0.25">
      <c r="C88" s="2"/>
      <c r="D88" s="2"/>
      <c r="E88" s="2"/>
      <c r="F88" s="2"/>
      <c r="G88" s="2"/>
      <c r="H88" s="2"/>
      <c r="I88" s="2"/>
      <c r="J88" s="2"/>
      <c r="K88" s="2"/>
      <c r="L88" s="2"/>
      <c r="M88" s="2"/>
      <c r="N88" s="2"/>
      <c r="O88" s="2"/>
    </row>
    <row r="89" spans="3:15" x14ac:dyDescent="0.25">
      <c r="C89" s="2"/>
      <c r="D89" s="2"/>
      <c r="E89" s="2"/>
      <c r="F89" s="2"/>
      <c r="G89" s="2"/>
      <c r="H89" s="2"/>
      <c r="I89" s="2"/>
      <c r="J89" s="2"/>
      <c r="K89" s="2"/>
      <c r="L89" s="2"/>
      <c r="M89" s="2"/>
      <c r="N89" s="2"/>
      <c r="O89" s="2"/>
    </row>
    <row r="90" spans="3:15" x14ac:dyDescent="0.25">
      <c r="C90" s="2"/>
      <c r="D90" s="2"/>
      <c r="E90" s="2"/>
      <c r="F90" s="2"/>
      <c r="G90" s="2"/>
      <c r="H90" s="2"/>
      <c r="I90" s="2"/>
      <c r="J90" s="2"/>
      <c r="K90" s="2"/>
      <c r="L90" s="2"/>
      <c r="M90" s="2"/>
      <c r="N90" s="2"/>
      <c r="O90" s="2"/>
    </row>
    <row r="91" spans="3:15" x14ac:dyDescent="0.25">
      <c r="C91" s="2"/>
      <c r="D91" s="2"/>
      <c r="E91" s="2"/>
      <c r="F91" s="2"/>
      <c r="G91" s="2"/>
      <c r="H91" s="2"/>
      <c r="I91" s="2"/>
      <c r="J91" s="2"/>
      <c r="K91" s="2"/>
      <c r="L91" s="2"/>
      <c r="M91" s="2"/>
      <c r="N91" s="2"/>
      <c r="O91" s="2"/>
    </row>
    <row r="92" spans="3:15" x14ac:dyDescent="0.25">
      <c r="C92" s="2"/>
      <c r="D92" s="2"/>
      <c r="E92" s="2"/>
      <c r="F92" s="2"/>
      <c r="G92" s="2"/>
      <c r="H92" s="2"/>
      <c r="I92" s="2"/>
      <c r="J92" s="2"/>
      <c r="K92" s="2"/>
      <c r="L92" s="2"/>
      <c r="M92" s="2"/>
      <c r="N92" s="2"/>
      <c r="O92" s="2"/>
    </row>
    <row r="93" spans="3:15" x14ac:dyDescent="0.25">
      <c r="C93" s="2"/>
      <c r="D93" s="2"/>
      <c r="E93" s="2"/>
      <c r="F93" s="2"/>
      <c r="G93" s="2"/>
      <c r="H93" s="2"/>
      <c r="I93" s="2"/>
      <c r="J93" s="2"/>
      <c r="K93" s="2"/>
      <c r="L93" s="2"/>
      <c r="M93" s="2"/>
      <c r="N93" s="2"/>
      <c r="O93" s="2"/>
    </row>
    <row r="94" spans="3:15" x14ac:dyDescent="0.25">
      <c r="C94" s="2"/>
      <c r="D94" s="2"/>
      <c r="E94" s="2"/>
      <c r="F94" s="2"/>
      <c r="G94" s="2"/>
      <c r="H94" s="2"/>
      <c r="I94" s="2"/>
      <c r="J94" s="2"/>
      <c r="K94" s="2"/>
      <c r="L94" s="2"/>
      <c r="M94" s="2"/>
      <c r="N94" s="2"/>
      <c r="O94" s="2"/>
    </row>
    <row r="95" spans="3:15" x14ac:dyDescent="0.25">
      <c r="C95" s="2"/>
      <c r="D95" s="2"/>
      <c r="E95" s="2"/>
      <c r="F95" s="2"/>
      <c r="G95" s="2"/>
      <c r="H95" s="2"/>
      <c r="I95" s="2"/>
      <c r="J95" s="2"/>
      <c r="K95" s="2"/>
      <c r="L95" s="2"/>
      <c r="M95" s="2"/>
      <c r="N95" s="2"/>
      <c r="O95" s="2"/>
    </row>
    <row r="96" spans="3:15" x14ac:dyDescent="0.25">
      <c r="C96" s="2"/>
      <c r="D96" s="2"/>
      <c r="E96" s="2"/>
      <c r="F96" s="2"/>
      <c r="G96" s="2"/>
      <c r="H96" s="2"/>
      <c r="I96" s="2"/>
      <c r="J96" s="2"/>
      <c r="K96" s="2"/>
      <c r="L96" s="2"/>
      <c r="M96" s="2"/>
      <c r="N96" s="2"/>
      <c r="O96" s="2"/>
    </row>
    <row r="97" spans="3:15" x14ac:dyDescent="0.25">
      <c r="C97" s="2"/>
      <c r="D97" s="2"/>
      <c r="E97" s="2"/>
      <c r="F97" s="2"/>
      <c r="G97" s="2"/>
      <c r="H97" s="2"/>
      <c r="I97" s="2"/>
      <c r="J97" s="2"/>
      <c r="K97" s="2"/>
      <c r="L97" s="2"/>
      <c r="M97" s="2"/>
      <c r="N97" s="2"/>
      <c r="O97" s="2"/>
    </row>
    <row r="98" spans="3:15" x14ac:dyDescent="0.25">
      <c r="C98" s="2"/>
      <c r="D98" s="2"/>
      <c r="E98" s="2"/>
      <c r="F98" s="2"/>
      <c r="G98" s="2"/>
      <c r="H98" s="2"/>
      <c r="I98" s="2"/>
      <c r="J98" s="2"/>
      <c r="K98" s="2"/>
      <c r="L98" s="2"/>
      <c r="M98" s="2"/>
      <c r="N98" s="2"/>
      <c r="O98" s="2"/>
    </row>
    <row r="99" spans="3:15" x14ac:dyDescent="0.25">
      <c r="C99" s="2"/>
      <c r="D99" s="2"/>
      <c r="E99" s="2"/>
      <c r="F99" s="2"/>
      <c r="G99" s="2"/>
      <c r="H99" s="2"/>
      <c r="I99" s="2"/>
      <c r="J99" s="2"/>
      <c r="K99" s="2"/>
      <c r="L99" s="2"/>
      <c r="M99" s="2"/>
      <c r="N99" s="2"/>
      <c r="O99" s="2"/>
    </row>
    <row r="100" spans="3:15" x14ac:dyDescent="0.25">
      <c r="C100" s="2"/>
      <c r="D100" s="2"/>
      <c r="E100" s="2"/>
      <c r="F100" s="2"/>
      <c r="G100" s="2"/>
      <c r="H100" s="2"/>
      <c r="I100" s="2"/>
      <c r="J100" s="2"/>
      <c r="K100" s="2"/>
      <c r="L100" s="2"/>
      <c r="M100" s="2"/>
      <c r="N100" s="2"/>
      <c r="O100" s="2"/>
    </row>
    <row r="101" spans="3:15" x14ac:dyDescent="0.25">
      <c r="C101" s="2"/>
      <c r="D101" s="2"/>
      <c r="E101" s="2"/>
      <c r="F101" s="2"/>
      <c r="G101" s="2"/>
      <c r="H101" s="2"/>
      <c r="I101" s="2"/>
      <c r="J101" s="2"/>
      <c r="K101" s="2"/>
      <c r="L101" s="2"/>
      <c r="M101" s="2"/>
      <c r="N101" s="2"/>
      <c r="O101" s="2"/>
    </row>
    <row r="102" spans="3:15" x14ac:dyDescent="0.25">
      <c r="C102" s="2"/>
      <c r="D102" s="2"/>
      <c r="E102" s="2"/>
      <c r="F102" s="2"/>
      <c r="G102" s="2"/>
      <c r="H102" s="2"/>
      <c r="I102" s="2"/>
      <c r="J102" s="2"/>
      <c r="K102" s="2"/>
      <c r="L102" s="2"/>
      <c r="M102" s="2"/>
      <c r="N102" s="2"/>
      <c r="O102" s="2"/>
    </row>
    <row r="103" spans="3:15" x14ac:dyDescent="0.25">
      <c r="C103" s="2"/>
      <c r="D103" s="2"/>
      <c r="E103" s="2"/>
      <c r="F103" s="2"/>
      <c r="G103" s="2"/>
      <c r="H103" s="2"/>
      <c r="I103" s="2"/>
      <c r="J103" s="2"/>
      <c r="K103" s="2"/>
      <c r="L103" s="2"/>
      <c r="M103" s="2"/>
      <c r="N103" s="2"/>
      <c r="O103" s="2"/>
    </row>
    <row r="104" spans="3:15" x14ac:dyDescent="0.25">
      <c r="C104" s="2"/>
      <c r="D104" s="2"/>
      <c r="E104" s="2"/>
      <c r="F104" s="2"/>
      <c r="G104" s="2"/>
      <c r="H104" s="2"/>
      <c r="I104" s="2"/>
      <c r="J104" s="2"/>
      <c r="K104" s="2"/>
      <c r="L104" s="2"/>
      <c r="M104" s="2"/>
      <c r="N104" s="2"/>
      <c r="O104" s="2"/>
    </row>
    <row r="105" spans="3:15" x14ac:dyDescent="0.25">
      <c r="C105" s="2"/>
      <c r="D105" s="2"/>
      <c r="E105" s="2"/>
      <c r="F105" s="2"/>
      <c r="G105" s="2"/>
      <c r="H105" s="2"/>
      <c r="I105" s="2"/>
      <c r="J105" s="2"/>
      <c r="K105" s="2"/>
      <c r="L105" s="2"/>
      <c r="M105" s="2"/>
      <c r="N105" s="2"/>
      <c r="O105" s="2"/>
    </row>
    <row r="106" spans="3:15" x14ac:dyDescent="0.25">
      <c r="C106" s="2"/>
      <c r="D106" s="2"/>
      <c r="E106" s="2"/>
      <c r="F106" s="2"/>
      <c r="G106" s="2"/>
      <c r="H106" s="2"/>
      <c r="I106" s="2"/>
      <c r="J106" s="2"/>
      <c r="K106" s="2"/>
      <c r="L106" s="2"/>
      <c r="M106" s="2"/>
      <c r="N106" s="2"/>
      <c r="O106" s="2"/>
    </row>
    <row r="107" spans="3:15" x14ac:dyDescent="0.25">
      <c r="C107" s="2"/>
      <c r="D107" s="2"/>
      <c r="E107" s="2"/>
      <c r="F107" s="2"/>
      <c r="G107" s="2"/>
      <c r="H107" s="2"/>
      <c r="I107" s="2"/>
      <c r="J107" s="2"/>
      <c r="K107" s="2"/>
      <c r="L107" s="2"/>
      <c r="M107" s="2"/>
      <c r="N107" s="2"/>
      <c r="O107" s="2"/>
    </row>
    <row r="108" spans="3:15" x14ac:dyDescent="0.25">
      <c r="C108" s="2"/>
      <c r="D108" s="2"/>
      <c r="E108" s="2"/>
      <c r="F108" s="2"/>
      <c r="G108" s="2"/>
      <c r="H108" s="2"/>
      <c r="I108" s="2"/>
      <c r="J108" s="2"/>
      <c r="K108" s="2"/>
      <c r="L108" s="2"/>
      <c r="M108" s="2"/>
      <c r="N108" s="2"/>
      <c r="O108" s="2"/>
    </row>
    <row r="109" spans="3:15" x14ac:dyDescent="0.25">
      <c r="C109" s="2"/>
      <c r="D109" s="2"/>
      <c r="E109" s="2"/>
      <c r="F109" s="2"/>
      <c r="G109" s="2"/>
      <c r="H109" s="2"/>
      <c r="I109" s="2"/>
      <c r="J109" s="2"/>
      <c r="K109" s="2"/>
      <c r="L109" s="2"/>
      <c r="M109" s="2"/>
      <c r="N109" s="2"/>
      <c r="O109" s="2"/>
    </row>
    <row r="110" spans="3:15" x14ac:dyDescent="0.25">
      <c r="C110" s="2"/>
      <c r="D110" s="2"/>
      <c r="E110" s="2"/>
      <c r="F110" s="2"/>
      <c r="G110" s="2"/>
      <c r="H110" s="2"/>
      <c r="I110" s="2"/>
      <c r="J110" s="2"/>
      <c r="K110" s="2"/>
      <c r="L110" s="2"/>
      <c r="M110" s="2"/>
      <c r="N110" s="2"/>
      <c r="O110" s="2"/>
    </row>
    <row r="111" spans="3:15" x14ac:dyDescent="0.25">
      <c r="C111" s="2"/>
      <c r="D111" s="2"/>
      <c r="E111" s="2"/>
      <c r="F111" s="2"/>
      <c r="G111" s="2"/>
      <c r="H111" s="2"/>
      <c r="I111" s="2"/>
      <c r="J111" s="2"/>
      <c r="K111" s="2"/>
      <c r="L111" s="2"/>
      <c r="M111" s="2"/>
      <c r="N111" s="2"/>
      <c r="O111" s="2"/>
    </row>
    <row r="112" spans="3:15" x14ac:dyDescent="0.25">
      <c r="C112" s="2"/>
      <c r="D112" s="2"/>
      <c r="E112" s="2"/>
      <c r="F112" s="2"/>
      <c r="G112" s="2"/>
      <c r="H112" s="2"/>
      <c r="I112" s="2"/>
      <c r="J112" s="2"/>
      <c r="K112" s="2"/>
      <c r="L112" s="2"/>
      <c r="M112" s="2"/>
      <c r="N112" s="2"/>
      <c r="O112" s="2"/>
    </row>
    <row r="113" spans="3:15" x14ac:dyDescent="0.25">
      <c r="C113" s="2"/>
      <c r="D113" s="2"/>
      <c r="E113" s="2"/>
      <c r="F113" s="2"/>
      <c r="G113" s="2"/>
      <c r="H113" s="2"/>
      <c r="I113" s="2"/>
      <c r="J113" s="2"/>
      <c r="K113" s="2"/>
      <c r="L113" s="2"/>
      <c r="M113" s="2"/>
      <c r="N113" s="2"/>
      <c r="O113" s="2"/>
    </row>
    <row r="114" spans="3:15" x14ac:dyDescent="0.25">
      <c r="C114" s="2"/>
      <c r="D114" s="2"/>
      <c r="E114" s="2"/>
      <c r="F114" s="2"/>
      <c r="G114" s="2"/>
      <c r="H114" s="2"/>
      <c r="I114" s="2"/>
      <c r="J114" s="2"/>
      <c r="K114" s="2"/>
      <c r="L114" s="2"/>
      <c r="M114" s="2"/>
      <c r="N114" s="2"/>
      <c r="O114" s="2"/>
    </row>
    <row r="115" spans="3:15" x14ac:dyDescent="0.25">
      <c r="C115" s="2"/>
      <c r="D115" s="2"/>
      <c r="E115" s="2"/>
      <c r="F115" s="2"/>
      <c r="G115" s="2"/>
      <c r="H115" s="2"/>
      <c r="I115" s="2"/>
      <c r="J115" s="2"/>
      <c r="K115" s="2"/>
      <c r="L115" s="2"/>
      <c r="M115" s="2"/>
      <c r="N115" s="2"/>
      <c r="O115" s="2"/>
    </row>
    <row r="116" spans="3:15" x14ac:dyDescent="0.25">
      <c r="C116" s="2"/>
      <c r="D116" s="2"/>
      <c r="E116" s="2"/>
      <c r="F116" s="2"/>
      <c r="G116" s="2"/>
      <c r="H116" s="2"/>
      <c r="I116" s="2"/>
      <c r="J116" s="2"/>
      <c r="K116" s="2"/>
      <c r="L116" s="2"/>
      <c r="M116" s="2"/>
      <c r="N116" s="2"/>
      <c r="O116" s="2"/>
    </row>
    <row r="117" spans="3:15" x14ac:dyDescent="0.25">
      <c r="C117" s="2"/>
      <c r="D117" s="2"/>
      <c r="E117" s="2"/>
      <c r="F117" s="2"/>
      <c r="G117" s="2"/>
      <c r="H117" s="2"/>
      <c r="I117" s="2"/>
      <c r="J117" s="2"/>
      <c r="K117" s="2"/>
      <c r="L117" s="2"/>
      <c r="M117" s="2"/>
      <c r="N117" s="2"/>
      <c r="O117" s="2"/>
    </row>
    <row r="118" spans="3:15" x14ac:dyDescent="0.25">
      <c r="C118" s="2"/>
      <c r="D118" s="2"/>
      <c r="E118" s="2"/>
      <c r="F118" s="2"/>
      <c r="G118" s="2"/>
      <c r="H118" s="2"/>
      <c r="I118" s="2"/>
      <c r="J118" s="2"/>
      <c r="K118" s="2"/>
      <c r="L118" s="2"/>
      <c r="M118" s="2"/>
      <c r="N118" s="2"/>
      <c r="O118" s="2"/>
    </row>
    <row r="119" spans="3:15" x14ac:dyDescent="0.25">
      <c r="C119" s="2"/>
      <c r="D119" s="2"/>
      <c r="E119" s="2"/>
      <c r="F119" s="2"/>
      <c r="G119" s="2"/>
      <c r="H119" s="2"/>
      <c r="I119" s="2"/>
      <c r="J119" s="2"/>
      <c r="K119" s="2"/>
      <c r="L119" s="2"/>
      <c r="M119" s="2"/>
      <c r="N119" s="2"/>
      <c r="O119" s="2"/>
    </row>
    <row r="120" spans="3:15" x14ac:dyDescent="0.25">
      <c r="C120" s="2"/>
      <c r="D120" s="2"/>
      <c r="E120" s="2"/>
      <c r="F120" s="2"/>
      <c r="G120" s="2"/>
      <c r="H120" s="2"/>
      <c r="I120" s="2"/>
      <c r="J120" s="2"/>
      <c r="K120" s="2"/>
      <c r="L120" s="2"/>
      <c r="M120" s="2"/>
      <c r="N120" s="2"/>
      <c r="O120" s="2"/>
    </row>
    <row r="121" spans="3:15" x14ac:dyDescent="0.25">
      <c r="C121" s="2"/>
      <c r="D121" s="2"/>
      <c r="E121" s="2"/>
      <c r="F121" s="2"/>
      <c r="G121" s="2"/>
      <c r="H121" s="2"/>
      <c r="I121" s="2"/>
      <c r="J121" s="2"/>
      <c r="K121" s="2"/>
      <c r="L121" s="2"/>
      <c r="M121" s="2"/>
      <c r="N121" s="2"/>
      <c r="O121" s="2"/>
    </row>
    <row r="122" spans="3:15" x14ac:dyDescent="0.25">
      <c r="C122" s="2"/>
      <c r="D122" s="2"/>
      <c r="E122" s="2"/>
      <c r="F122" s="2"/>
      <c r="G122" s="2"/>
      <c r="H122" s="2"/>
      <c r="I122" s="2"/>
      <c r="J122" s="2"/>
      <c r="K122" s="2"/>
      <c r="L122" s="2"/>
      <c r="M122" s="2"/>
      <c r="N122" s="2"/>
      <c r="O122" s="2"/>
    </row>
    <row r="123" spans="3:15" x14ac:dyDescent="0.25">
      <c r="C123" s="2"/>
      <c r="D123" s="2"/>
      <c r="E123" s="2"/>
      <c r="F123" s="2"/>
      <c r="G123" s="2"/>
      <c r="H123" s="2"/>
      <c r="I123" s="2"/>
      <c r="J123" s="2"/>
      <c r="K123" s="2"/>
      <c r="L123" s="2"/>
      <c r="M123" s="2"/>
      <c r="N123" s="2"/>
      <c r="O123" s="2"/>
    </row>
    <row r="124" spans="3:15" x14ac:dyDescent="0.25">
      <c r="C124" s="2"/>
      <c r="D124" s="2"/>
      <c r="E124" s="2"/>
      <c r="F124" s="2"/>
      <c r="G124" s="2"/>
      <c r="H124" s="2"/>
      <c r="I124" s="2"/>
      <c r="J124" s="2"/>
      <c r="K124" s="2"/>
      <c r="L124" s="2"/>
      <c r="M124" s="2"/>
      <c r="N124" s="2"/>
      <c r="O124" s="2"/>
    </row>
    <row r="125" spans="3:15" x14ac:dyDescent="0.25">
      <c r="C125" s="2"/>
      <c r="D125" s="2"/>
      <c r="E125" s="2"/>
      <c r="F125" s="2"/>
      <c r="G125" s="2"/>
      <c r="H125" s="2"/>
      <c r="I125" s="2"/>
      <c r="J125" s="2"/>
      <c r="K125" s="2"/>
      <c r="L125" s="2"/>
      <c r="M125" s="2"/>
      <c r="N125" s="2"/>
      <c r="O125" s="2"/>
    </row>
    <row r="126" spans="3:15" x14ac:dyDescent="0.25">
      <c r="C126" s="2"/>
      <c r="D126" s="2"/>
      <c r="E126" s="2"/>
      <c r="F126" s="2"/>
      <c r="G126" s="2"/>
      <c r="H126" s="2"/>
      <c r="I126" s="2"/>
      <c r="J126" s="2"/>
      <c r="K126" s="2"/>
      <c r="L126" s="2"/>
      <c r="M126" s="2"/>
      <c r="N126" s="2"/>
      <c r="O126" s="2"/>
    </row>
    <row r="127" spans="3:15" x14ac:dyDescent="0.25">
      <c r="C127" s="2"/>
      <c r="D127" s="2"/>
      <c r="E127" s="2"/>
      <c r="F127" s="2"/>
      <c r="G127" s="2"/>
      <c r="H127" s="2"/>
      <c r="I127" s="2"/>
      <c r="J127" s="2"/>
      <c r="K127" s="2"/>
      <c r="L127" s="2"/>
      <c r="M127" s="2"/>
      <c r="N127" s="2"/>
      <c r="O127" s="2"/>
    </row>
    <row r="128" spans="3:15" x14ac:dyDescent="0.25">
      <c r="C128" s="2"/>
      <c r="D128" s="2"/>
      <c r="E128" s="2"/>
      <c r="F128" s="2"/>
      <c r="G128" s="2"/>
      <c r="H128" s="2"/>
      <c r="I128" s="2"/>
      <c r="J128" s="2"/>
      <c r="K128" s="2"/>
      <c r="L128" s="2"/>
      <c r="M128" s="2"/>
      <c r="N128" s="2"/>
      <c r="O128" s="2"/>
    </row>
    <row r="129" spans="3:15" x14ac:dyDescent="0.25">
      <c r="C129" s="2"/>
      <c r="D129" s="2"/>
      <c r="E129" s="2"/>
      <c r="F129" s="2"/>
      <c r="G129" s="2"/>
      <c r="H129" s="2"/>
      <c r="I129" s="2"/>
      <c r="J129" s="2"/>
      <c r="K129" s="2"/>
      <c r="L129" s="2"/>
      <c r="M129" s="2"/>
      <c r="N129" s="2"/>
      <c r="O129" s="2"/>
    </row>
    <row r="130" spans="3:15" x14ac:dyDescent="0.25">
      <c r="C130" s="2"/>
      <c r="D130" s="2"/>
      <c r="E130" s="2"/>
      <c r="F130" s="2"/>
      <c r="G130" s="2"/>
      <c r="H130" s="2"/>
      <c r="I130" s="2"/>
      <c r="J130" s="2"/>
      <c r="K130" s="2"/>
      <c r="L130" s="2"/>
      <c r="M130" s="2"/>
      <c r="N130" s="2"/>
      <c r="O130" s="2"/>
    </row>
    <row r="131" spans="3:15" x14ac:dyDescent="0.25">
      <c r="C131" s="2"/>
      <c r="D131" s="2"/>
      <c r="E131" s="2"/>
      <c r="F131" s="2"/>
      <c r="G131" s="2"/>
      <c r="H131" s="2"/>
      <c r="I131" s="2"/>
      <c r="J131" s="2"/>
      <c r="K131" s="2"/>
      <c r="L131" s="2"/>
      <c r="M131" s="2"/>
      <c r="N131" s="2"/>
      <c r="O131" s="2"/>
    </row>
    <row r="132" spans="3:15" x14ac:dyDescent="0.25">
      <c r="C132" s="2"/>
      <c r="D132" s="2"/>
      <c r="E132" s="2"/>
      <c r="F132" s="2"/>
      <c r="G132" s="2"/>
      <c r="H132" s="2"/>
      <c r="I132" s="2"/>
      <c r="J132" s="2"/>
      <c r="K132" s="2"/>
      <c r="L132" s="2"/>
      <c r="M132" s="2"/>
      <c r="N132" s="2"/>
      <c r="O132" s="2"/>
    </row>
    <row r="133" spans="3:15" x14ac:dyDescent="0.25">
      <c r="C133" s="2"/>
      <c r="D133" s="2"/>
      <c r="E133" s="2"/>
      <c r="F133" s="2"/>
      <c r="G133" s="2"/>
      <c r="H133" s="2"/>
      <c r="I133" s="2"/>
      <c r="J133" s="2"/>
      <c r="K133" s="2"/>
      <c r="L133" s="2"/>
      <c r="M133" s="2"/>
      <c r="N133" s="2"/>
      <c r="O133" s="2"/>
    </row>
    <row r="134" spans="3:15" x14ac:dyDescent="0.25">
      <c r="C134" s="2"/>
      <c r="D134" s="2"/>
      <c r="E134" s="2"/>
      <c r="F134" s="2"/>
      <c r="G134" s="2"/>
      <c r="H134" s="2"/>
      <c r="I134" s="2"/>
      <c r="J134" s="2"/>
      <c r="K134" s="2"/>
      <c r="L134" s="2"/>
      <c r="M134" s="2"/>
      <c r="N134" s="2"/>
      <c r="O134" s="2"/>
    </row>
    <row r="135" spans="3:15" x14ac:dyDescent="0.25">
      <c r="C135" s="2"/>
      <c r="D135" s="2"/>
      <c r="E135" s="2"/>
      <c r="F135" s="2"/>
      <c r="G135" s="2"/>
      <c r="H135" s="2"/>
      <c r="I135" s="2"/>
      <c r="J135" s="2"/>
      <c r="K135" s="2"/>
      <c r="L135" s="2"/>
      <c r="M135" s="2"/>
      <c r="N135" s="2"/>
      <c r="O135" s="2"/>
    </row>
  </sheetData>
  <mergeCells count="6">
    <mergeCell ref="N2:O2"/>
    <mergeCell ref="C2:E2"/>
    <mergeCell ref="F2:G2"/>
    <mergeCell ref="H2:I2"/>
    <mergeCell ref="J2:K2"/>
    <mergeCell ref="L2:M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38AAF-032C-4044-8200-531881DD0A99}">
  <dimension ref="A1:AZ309"/>
  <sheetViews>
    <sheetView workbookViewId="0"/>
  </sheetViews>
  <sheetFormatPr defaultColWidth="8.81640625" defaultRowHeight="10.5" x14ac:dyDescent="0.25"/>
  <cols>
    <col min="1" max="1" width="2.54296875" style="235" customWidth="1"/>
    <col min="2" max="2" width="3.54296875" style="2" customWidth="1"/>
    <col min="3" max="3" width="37.453125" style="2" customWidth="1"/>
    <col min="4" max="4" width="8.81640625" style="2"/>
    <col min="5" max="6" width="10.54296875" style="2" customWidth="1"/>
    <col min="7" max="8" width="9.81640625" style="2" customWidth="1"/>
    <col min="9" max="9" width="10.81640625" style="2" customWidth="1"/>
    <col min="10" max="10" width="10.453125" style="2" customWidth="1"/>
    <col min="11" max="12" width="8.81640625" style="2"/>
    <col min="13" max="14" width="0" style="2" hidden="1" customWidth="1"/>
    <col min="15" max="15" width="8.81640625" style="235"/>
    <col min="16" max="16" width="3.54296875" style="2" customWidth="1"/>
    <col min="17" max="17" width="35.81640625" style="2" customWidth="1"/>
    <col min="18" max="26" width="8.81640625" style="2"/>
    <col min="27" max="27" width="8.81640625" style="345"/>
    <col min="28" max="28" width="8.81640625" style="267"/>
    <col min="29" max="16384" width="8.81640625" style="2"/>
  </cols>
  <sheetData>
    <row r="1" spans="1:40" s="235" customFormat="1" ht="11" thickBot="1" x14ac:dyDescent="0.3">
      <c r="AA1" s="345"/>
      <c r="AB1" s="267"/>
      <c r="AC1" s="2"/>
      <c r="AD1" s="2"/>
      <c r="AE1" s="2"/>
      <c r="AF1" s="2"/>
      <c r="AG1" s="2"/>
      <c r="AH1" s="2"/>
      <c r="AI1" s="2"/>
      <c r="AJ1" s="2"/>
      <c r="AK1" s="2"/>
      <c r="AL1" s="2"/>
      <c r="AM1" s="2"/>
      <c r="AN1" s="2"/>
    </row>
    <row r="2" spans="1:40" s="175" customFormat="1" ht="19.75" customHeight="1" thickBot="1" x14ac:dyDescent="0.4">
      <c r="A2" s="339"/>
      <c r="B2" s="1473" t="s">
        <v>196</v>
      </c>
      <c r="C2" s="1474"/>
      <c r="D2" s="1474"/>
      <c r="E2" s="1474"/>
      <c r="F2" s="1474"/>
      <c r="G2" s="1474"/>
      <c r="H2" s="1474"/>
      <c r="I2" s="1474"/>
      <c r="J2" s="1474"/>
      <c r="K2" s="1474"/>
      <c r="L2" s="1475"/>
      <c r="O2" s="339"/>
      <c r="P2" s="1473" t="s">
        <v>74</v>
      </c>
      <c r="Q2" s="1474"/>
      <c r="R2" s="1474"/>
      <c r="S2" s="1474"/>
      <c r="T2" s="1474"/>
      <c r="U2" s="1474"/>
      <c r="V2" s="1474"/>
      <c r="W2" s="1474"/>
      <c r="X2" s="1474"/>
      <c r="Y2" s="1474"/>
      <c r="Z2" s="1475"/>
      <c r="AA2" s="346"/>
      <c r="AB2" s="348" t="s">
        <v>69</v>
      </c>
    </row>
    <row r="3" spans="1:40" ht="32" thickBot="1" x14ac:dyDescent="0.3">
      <c r="B3" s="311" t="s">
        <v>197</v>
      </c>
      <c r="C3" s="312"/>
      <c r="D3" s="313" t="s">
        <v>198</v>
      </c>
      <c r="E3" s="313" t="s">
        <v>199</v>
      </c>
      <c r="F3" s="313" t="s">
        <v>200</v>
      </c>
      <c r="G3" s="313" t="s">
        <v>201</v>
      </c>
      <c r="H3" s="313" t="s">
        <v>202</v>
      </c>
      <c r="I3" s="313" t="s">
        <v>203</v>
      </c>
      <c r="J3" s="313" t="s">
        <v>204</v>
      </c>
      <c r="K3" s="313" t="s">
        <v>215</v>
      </c>
      <c r="L3" s="314" t="s">
        <v>216</v>
      </c>
      <c r="M3" s="1"/>
      <c r="N3" s="1"/>
      <c r="P3" s="311" t="s">
        <v>197</v>
      </c>
      <c r="Q3" s="312"/>
      <c r="R3" s="313" t="s">
        <v>198</v>
      </c>
      <c r="S3" s="313" t="s">
        <v>199</v>
      </c>
      <c r="T3" s="313" t="s">
        <v>200</v>
      </c>
      <c r="U3" s="313" t="s">
        <v>201</v>
      </c>
      <c r="V3" s="313" t="s">
        <v>202</v>
      </c>
      <c r="W3" s="313" t="s">
        <v>203</v>
      </c>
      <c r="X3" s="313" t="s">
        <v>204</v>
      </c>
      <c r="Y3" s="313" t="s">
        <v>215</v>
      </c>
      <c r="Z3" s="314" t="s">
        <v>216</v>
      </c>
    </row>
    <row r="4" spans="1:40" x14ac:dyDescent="0.25">
      <c r="B4" s="5" t="s">
        <v>217</v>
      </c>
      <c r="C4" s="300" t="s">
        <v>218</v>
      </c>
      <c r="D4" s="624">
        <v>0.10786317084893138</v>
      </c>
      <c r="E4" s="301">
        <f>'Livestock GM'!Z$50</f>
        <v>400.71546428571412</v>
      </c>
      <c r="F4" s="301">
        <f>'Livestock GM'!Z$49</f>
        <v>242.85785714285706</v>
      </c>
      <c r="G4" s="301">
        <f>'Livestock GM'!Z$38</f>
        <v>746.03571428571411</v>
      </c>
      <c r="H4" s="301">
        <f>'Livestock GM'!Z$37</f>
        <v>452.14285714285705</v>
      </c>
      <c r="I4" s="301">
        <f>'Livestock GM'!Z$47</f>
        <v>345.32024999999999</v>
      </c>
      <c r="J4" s="301">
        <f>'Livestock GM'!Z$46</f>
        <v>209.285</v>
      </c>
      <c r="K4" s="302">
        <f>'Livestock GM'!Z$10*'Livestock GM'!Z$11</f>
        <v>1.2374999999999998</v>
      </c>
      <c r="L4" s="303">
        <f>'Livestock GM'!Z$9</f>
        <v>70.985699999999994</v>
      </c>
      <c r="M4" s="91" t="s">
        <v>219</v>
      </c>
      <c r="N4" s="1"/>
      <c r="P4" s="122" t="s">
        <v>217</v>
      </c>
      <c r="Q4" s="316" t="s">
        <v>218</v>
      </c>
      <c r="R4" s="625">
        <v>0</v>
      </c>
      <c r="S4" s="317">
        <f>E4</f>
        <v>400.71546428571412</v>
      </c>
      <c r="T4" s="317">
        <f t="shared" ref="T4:Z4" si="0">F4</f>
        <v>242.85785714285706</v>
      </c>
      <c r="U4" s="317">
        <f t="shared" si="0"/>
        <v>746.03571428571411</v>
      </c>
      <c r="V4" s="317">
        <f t="shared" si="0"/>
        <v>452.14285714285705</v>
      </c>
      <c r="W4" s="317">
        <f t="shared" si="0"/>
        <v>345.32024999999999</v>
      </c>
      <c r="X4" s="317">
        <f t="shared" si="0"/>
        <v>209.285</v>
      </c>
      <c r="Y4" s="318">
        <f t="shared" si="0"/>
        <v>1.2374999999999998</v>
      </c>
      <c r="Z4" s="330">
        <f t="shared" si="0"/>
        <v>70.985699999999994</v>
      </c>
    </row>
    <row r="5" spans="1:40" x14ac:dyDescent="0.25">
      <c r="B5" s="5" t="s">
        <v>220</v>
      </c>
      <c r="C5" s="300" t="s">
        <v>221</v>
      </c>
      <c r="D5" s="624">
        <v>9.8874573278187078E-2</v>
      </c>
      <c r="E5" s="301">
        <f>'Livestock GM'!K$50</f>
        <v>300.43200000000002</v>
      </c>
      <c r="F5" s="301">
        <f>'Livestock GM'!K$49</f>
        <v>166.90666666666667</v>
      </c>
      <c r="G5" s="301">
        <f>'Livestock GM'!K$38</f>
        <v>590.16000000000008</v>
      </c>
      <c r="H5" s="301">
        <f>'Livestock GM'!K$37</f>
        <v>327.86666666666667</v>
      </c>
      <c r="I5" s="301">
        <f>'Livestock GM'!K$47</f>
        <v>289.72800000000001</v>
      </c>
      <c r="J5" s="301">
        <f>'Livestock GM'!K$46</f>
        <v>160.96</v>
      </c>
      <c r="K5" s="302">
        <f>'Livestock GM'!K$10*'Livestock GM'!K$11</f>
        <v>1.35</v>
      </c>
      <c r="L5" s="303">
        <f>'Livestock GM'!K$9</f>
        <v>70.019199999999998</v>
      </c>
      <c r="M5" s="1" t="s">
        <v>222</v>
      </c>
      <c r="N5" s="90">
        <v>0.3108741862429385</v>
      </c>
      <c r="P5" s="5" t="s">
        <v>220</v>
      </c>
      <c r="Q5" s="300" t="s">
        <v>221</v>
      </c>
      <c r="R5" s="624">
        <v>0</v>
      </c>
      <c r="S5" s="301">
        <f t="shared" ref="S5:S16" si="1">E5</f>
        <v>300.43200000000002</v>
      </c>
      <c r="T5" s="301">
        <f t="shared" ref="T5:T16" si="2">F5</f>
        <v>166.90666666666667</v>
      </c>
      <c r="U5" s="301">
        <f t="shared" ref="U5:U16" si="3">G5</f>
        <v>590.16000000000008</v>
      </c>
      <c r="V5" s="301">
        <f t="shared" ref="V5:V16" si="4">H5</f>
        <v>327.86666666666667</v>
      </c>
      <c r="W5" s="301">
        <f t="shared" ref="W5:W16" si="5">I5</f>
        <v>289.72800000000001</v>
      </c>
      <c r="X5" s="301">
        <f t="shared" ref="X5:X16" si="6">J5</f>
        <v>160.96</v>
      </c>
      <c r="Y5" s="321">
        <f t="shared" ref="Y5:Y16" si="7">K5</f>
        <v>1.35</v>
      </c>
      <c r="Z5" s="329">
        <f t="shared" ref="Z5:Z16" si="8">L5</f>
        <v>70.019199999999998</v>
      </c>
    </row>
    <row r="6" spans="1:40" x14ac:dyDescent="0.25">
      <c r="B6" s="5" t="s">
        <v>223</v>
      </c>
      <c r="C6" s="300" t="s">
        <v>224</v>
      </c>
      <c r="D6" s="624">
        <v>4.6515992428601653E-2</v>
      </c>
      <c r="E6" s="301">
        <f>'Livestock GM'!AE$50</f>
        <v>259.43207091055569</v>
      </c>
      <c r="F6" s="301">
        <f>'Livestock GM'!AE$49</f>
        <v>63.879999999999939</v>
      </c>
      <c r="G6" s="301">
        <f>'Livestock GM'!AE$38</f>
        <v>1251.5932312651084</v>
      </c>
      <c r="H6" s="301">
        <f>'Livestock GM'!AE$37</f>
        <v>308.17999999999995</v>
      </c>
      <c r="I6" s="301">
        <f>'Livestock GM'!AE$47</f>
        <v>992.16116035455263</v>
      </c>
      <c r="J6" s="301">
        <f>'Livestock GM'!AE$46</f>
        <v>244.3</v>
      </c>
      <c r="K6" s="302">
        <f>'Livestock GM'!AE$10*'Livestock GM'!AE$11</f>
        <v>2.0103142626913777</v>
      </c>
      <c r="L6" s="303">
        <f>'Livestock GM'!AE$9</f>
        <v>34.526000000000003</v>
      </c>
      <c r="M6" s="1" t="s">
        <v>225</v>
      </c>
      <c r="N6" s="90">
        <v>0.68912581375706161</v>
      </c>
      <c r="P6" s="5" t="s">
        <v>223</v>
      </c>
      <c r="Q6" s="300" t="s">
        <v>224</v>
      </c>
      <c r="R6" s="624">
        <v>0</v>
      </c>
      <c r="S6" s="301">
        <f t="shared" si="1"/>
        <v>259.43207091055569</v>
      </c>
      <c r="T6" s="301">
        <f t="shared" si="2"/>
        <v>63.879999999999939</v>
      </c>
      <c r="U6" s="301">
        <f t="shared" si="3"/>
        <v>1251.5932312651084</v>
      </c>
      <c r="V6" s="301">
        <f t="shared" si="4"/>
        <v>308.17999999999995</v>
      </c>
      <c r="W6" s="301">
        <f t="shared" si="5"/>
        <v>992.16116035455263</v>
      </c>
      <c r="X6" s="301">
        <f t="shared" si="6"/>
        <v>244.3</v>
      </c>
      <c r="Y6" s="321">
        <f t="shared" si="7"/>
        <v>2.0103142626913777</v>
      </c>
      <c r="Z6" s="329">
        <f t="shared" si="8"/>
        <v>34.526000000000003</v>
      </c>
    </row>
    <row r="7" spans="1:40" x14ac:dyDescent="0.25">
      <c r="B7" s="5" t="s">
        <v>226</v>
      </c>
      <c r="C7" s="300" t="s">
        <v>227</v>
      </c>
      <c r="D7" s="624">
        <v>5.6852879634957589E-2</v>
      </c>
      <c r="E7" s="301">
        <f>'Livestock GM'!U$50</f>
        <v>612.14999999999986</v>
      </c>
      <c r="F7" s="301">
        <f>'Livestock GM'!U$49</f>
        <v>204.04999999999995</v>
      </c>
      <c r="G7" s="301">
        <f>'Livestock GM'!U$38</f>
        <v>809.39999999999986</v>
      </c>
      <c r="H7" s="301">
        <f>'Livestock GM'!U$37</f>
        <v>269.79999999999995</v>
      </c>
      <c r="I7" s="301">
        <f>'Livestock GM'!U$47</f>
        <v>197.25</v>
      </c>
      <c r="J7" s="301">
        <f>'Livestock GM'!U$46</f>
        <v>65.75</v>
      </c>
      <c r="K7" s="302">
        <f>'Livestock GM'!U$10*'Livestock GM'!U$11</f>
        <v>1.9500000000000002</v>
      </c>
      <c r="L7" s="303">
        <f>'Livestock GM'!U$9</f>
        <v>31.715</v>
      </c>
      <c r="M7" s="89"/>
      <c r="N7" s="1"/>
      <c r="P7" s="5" t="s">
        <v>226</v>
      </c>
      <c r="Q7" s="300" t="s">
        <v>227</v>
      </c>
      <c r="R7" s="624">
        <v>0</v>
      </c>
      <c r="S7" s="301">
        <f t="shared" si="1"/>
        <v>612.14999999999986</v>
      </c>
      <c r="T7" s="301">
        <f t="shared" si="2"/>
        <v>204.04999999999995</v>
      </c>
      <c r="U7" s="301">
        <f t="shared" si="3"/>
        <v>809.39999999999986</v>
      </c>
      <c r="V7" s="301">
        <f t="shared" si="4"/>
        <v>269.79999999999995</v>
      </c>
      <c r="W7" s="301">
        <f t="shared" si="5"/>
        <v>197.25</v>
      </c>
      <c r="X7" s="301">
        <f t="shared" si="6"/>
        <v>65.75</v>
      </c>
      <c r="Y7" s="321">
        <f t="shared" si="7"/>
        <v>1.9500000000000002</v>
      </c>
      <c r="Z7" s="329">
        <f t="shared" si="8"/>
        <v>31.715</v>
      </c>
    </row>
    <row r="8" spans="1:40" x14ac:dyDescent="0.25">
      <c r="B8" s="5" t="s">
        <v>228</v>
      </c>
      <c r="C8" s="300" t="s">
        <v>229</v>
      </c>
      <c r="D8" s="624">
        <v>3.4456290687853081E-2</v>
      </c>
      <c r="E8" s="301">
        <f>'Livestock GM'!AT$50</f>
        <v>605.5350000000002</v>
      </c>
      <c r="F8" s="301">
        <f>'Livestock GM'!AT$49</f>
        <v>201.84500000000006</v>
      </c>
      <c r="G8" s="301">
        <f>'Livestock GM'!AT$38</f>
        <v>835.33500000000015</v>
      </c>
      <c r="H8" s="301">
        <f>'Livestock GM'!AT$37</f>
        <v>278.44500000000005</v>
      </c>
      <c r="I8" s="301">
        <f>'Livestock GM'!AT$47</f>
        <v>229.79999999999998</v>
      </c>
      <c r="J8" s="301">
        <f>'Livestock GM'!AT$46</f>
        <v>76.599999999999994</v>
      </c>
      <c r="K8" s="302">
        <f>'Livestock GM'!AT$10*'Livestock GM'!AT$11</f>
        <v>1.9500000000000002</v>
      </c>
      <c r="L8" s="303">
        <f>'Livestock GM'!AT$9</f>
        <v>28.014199999999995</v>
      </c>
      <c r="M8" s="1"/>
      <c r="N8" s="1"/>
      <c r="P8" s="5" t="s">
        <v>228</v>
      </c>
      <c r="Q8" s="300" t="s">
        <v>229</v>
      </c>
      <c r="R8" s="624">
        <v>0</v>
      </c>
      <c r="S8" s="301">
        <f t="shared" si="1"/>
        <v>605.5350000000002</v>
      </c>
      <c r="T8" s="301">
        <f t="shared" si="2"/>
        <v>201.84500000000006</v>
      </c>
      <c r="U8" s="301">
        <f t="shared" si="3"/>
        <v>835.33500000000015</v>
      </c>
      <c r="V8" s="301">
        <f t="shared" si="4"/>
        <v>278.44500000000005</v>
      </c>
      <c r="W8" s="301">
        <f t="shared" si="5"/>
        <v>229.79999999999998</v>
      </c>
      <c r="X8" s="301">
        <f t="shared" si="6"/>
        <v>76.599999999999994</v>
      </c>
      <c r="Y8" s="321">
        <f t="shared" si="7"/>
        <v>1.9500000000000002</v>
      </c>
      <c r="Z8" s="329">
        <f t="shared" si="8"/>
        <v>28.014199999999995</v>
      </c>
    </row>
    <row r="9" spans="1:40" x14ac:dyDescent="0.25">
      <c r="B9" s="5" t="s">
        <v>230</v>
      </c>
      <c r="C9" s="300" t="s">
        <v>231</v>
      </c>
      <c r="D9" s="624">
        <v>3.4456290687853081E-2</v>
      </c>
      <c r="E9" s="301">
        <f>'Livestock GM'!AY$50</f>
        <v>470.27139403706616</v>
      </c>
      <c r="F9" s="301">
        <f>'Livestock GM'!AY$49</f>
        <v>115.79499999999985</v>
      </c>
      <c r="G9" s="301">
        <f>'Livestock GM'!AY$38</f>
        <v>1523.5948428686536</v>
      </c>
      <c r="H9" s="301">
        <f>'Livestock GM'!AY$37</f>
        <v>375.15499999999986</v>
      </c>
      <c r="I9" s="301">
        <f>'Livestock GM'!AY$47</f>
        <v>1053.3234488315873</v>
      </c>
      <c r="J9" s="301">
        <f>'Livestock GM'!AY$46</f>
        <v>259.36</v>
      </c>
      <c r="K9" s="302">
        <f>'Livestock GM'!AY$10*'Livestock GM'!AY$11</f>
        <v>2.6398066075745366</v>
      </c>
      <c r="L9" s="303">
        <f>'Livestock GM'!AY$9</f>
        <v>32.436999999999998</v>
      </c>
      <c r="M9" s="1"/>
      <c r="N9" s="1"/>
      <c r="P9" s="5" t="s">
        <v>230</v>
      </c>
      <c r="Q9" s="300" t="s">
        <v>231</v>
      </c>
      <c r="R9" s="624">
        <v>0</v>
      </c>
      <c r="S9" s="301">
        <f t="shared" si="1"/>
        <v>470.27139403706616</v>
      </c>
      <c r="T9" s="301">
        <f t="shared" si="2"/>
        <v>115.79499999999985</v>
      </c>
      <c r="U9" s="301">
        <f t="shared" si="3"/>
        <v>1523.5948428686536</v>
      </c>
      <c r="V9" s="301">
        <f t="shared" si="4"/>
        <v>375.15499999999986</v>
      </c>
      <c r="W9" s="301">
        <f t="shared" si="5"/>
        <v>1053.3234488315873</v>
      </c>
      <c r="X9" s="301">
        <f t="shared" si="6"/>
        <v>259.36</v>
      </c>
      <c r="Y9" s="321">
        <f t="shared" si="7"/>
        <v>2.6398066075745366</v>
      </c>
      <c r="Z9" s="329">
        <f t="shared" si="8"/>
        <v>32.436999999999998</v>
      </c>
    </row>
    <row r="10" spans="1:40" x14ac:dyDescent="0.25">
      <c r="B10" s="5" t="s">
        <v>232</v>
      </c>
      <c r="C10" s="300" t="s">
        <v>233</v>
      </c>
      <c r="D10" s="624">
        <v>0.31010661619067775</v>
      </c>
      <c r="E10" s="301">
        <f>'Livestock GM'!P$50</f>
        <v>687.31499999999994</v>
      </c>
      <c r="F10" s="301">
        <f>'Livestock GM'!P$49</f>
        <v>229.10499999999999</v>
      </c>
      <c r="G10" s="301">
        <f>'Livestock GM'!P$38</f>
        <v>1002.765</v>
      </c>
      <c r="H10" s="301">
        <f>'Livestock GM'!P$37</f>
        <v>334.255</v>
      </c>
      <c r="I10" s="301">
        <f>'Livestock GM'!P$47</f>
        <v>315.45000000000005</v>
      </c>
      <c r="J10" s="301">
        <f>'Livestock GM'!P$46</f>
        <v>105.15</v>
      </c>
      <c r="K10" s="302">
        <f>'Livestock GM'!P$10*'Livestock GM'!P$11</f>
        <v>1.9500000000000002</v>
      </c>
      <c r="L10" s="303">
        <f>'Livestock GM'!P$9</f>
        <v>32.343000000000004</v>
      </c>
      <c r="M10" s="1"/>
      <c r="N10" s="1"/>
      <c r="P10" s="5" t="s">
        <v>232</v>
      </c>
      <c r="Q10" s="300" t="s">
        <v>233</v>
      </c>
      <c r="R10" s="624">
        <v>0</v>
      </c>
      <c r="S10" s="301">
        <f t="shared" si="1"/>
        <v>687.31499999999994</v>
      </c>
      <c r="T10" s="301">
        <f t="shared" si="2"/>
        <v>229.10499999999999</v>
      </c>
      <c r="U10" s="301">
        <f t="shared" si="3"/>
        <v>1002.765</v>
      </c>
      <c r="V10" s="301">
        <f t="shared" si="4"/>
        <v>334.255</v>
      </c>
      <c r="W10" s="301">
        <f t="shared" si="5"/>
        <v>315.45000000000005</v>
      </c>
      <c r="X10" s="301">
        <f t="shared" si="6"/>
        <v>105.15</v>
      </c>
      <c r="Y10" s="321">
        <f t="shared" si="7"/>
        <v>1.9500000000000002</v>
      </c>
      <c r="Z10" s="329">
        <f t="shared" si="8"/>
        <v>32.343000000000004</v>
      </c>
    </row>
    <row r="11" spans="1:40" x14ac:dyDescent="0.25">
      <c r="B11" s="5" t="s">
        <v>234</v>
      </c>
      <c r="C11" s="300" t="s">
        <v>235</v>
      </c>
      <c r="D11" s="624">
        <v>0</v>
      </c>
      <c r="E11" s="301">
        <f>'Livestock GM'!DF$50</f>
        <v>516.63157894736833</v>
      </c>
      <c r="F11" s="301">
        <f>'Livestock GM'!DF$49</f>
        <v>387.4736842105263</v>
      </c>
      <c r="G11" s="301">
        <f>'Livestock GM'!DF$38</f>
        <v>773.33333333333326</v>
      </c>
      <c r="H11" s="301">
        <f>'Livestock GM'!DF$37</f>
        <v>580</v>
      </c>
      <c r="I11" s="301">
        <f>'Livestock GM'!DF$47</f>
        <v>256.70175438596493</v>
      </c>
      <c r="J11" s="301">
        <f>'Livestock GM'!DF$46</f>
        <v>192.5263157894737</v>
      </c>
      <c r="K11" s="302">
        <f>'Livestock GM'!DF$10*'Livestock GM'!DF$11</f>
        <v>1</v>
      </c>
      <c r="L11" s="303">
        <f>'Livestock GM'!DF$9</f>
        <v>68.650526315789477</v>
      </c>
      <c r="M11" s="1"/>
      <c r="N11" s="1"/>
      <c r="P11" s="5" t="str">
        <f>B11</f>
        <v>DF</v>
      </c>
      <c r="Q11" s="300" t="s">
        <v>235</v>
      </c>
      <c r="R11" s="624">
        <v>0.21</v>
      </c>
      <c r="S11" s="301">
        <f t="shared" si="1"/>
        <v>516.63157894736833</v>
      </c>
      <c r="T11" s="301">
        <f t="shared" si="2"/>
        <v>387.4736842105263</v>
      </c>
      <c r="U11" s="301">
        <f t="shared" si="3"/>
        <v>773.33333333333326</v>
      </c>
      <c r="V11" s="301">
        <f t="shared" si="4"/>
        <v>580</v>
      </c>
      <c r="W11" s="301">
        <f t="shared" si="5"/>
        <v>256.70175438596493</v>
      </c>
      <c r="X11" s="301">
        <f t="shared" si="6"/>
        <v>192.5263157894737</v>
      </c>
      <c r="Y11" s="321">
        <f t="shared" si="7"/>
        <v>1</v>
      </c>
      <c r="Z11" s="329">
        <f t="shared" si="8"/>
        <v>68.650526315789477</v>
      </c>
    </row>
    <row r="12" spans="1:40" x14ac:dyDescent="0.25">
      <c r="B12" s="5" t="s">
        <v>236</v>
      </c>
      <c r="C12" s="300" t="s">
        <v>237</v>
      </c>
      <c r="D12" s="624">
        <v>0</v>
      </c>
      <c r="E12" s="301">
        <f>'Livestock GM'!DL$50</f>
        <v>918.85473684210535</v>
      </c>
      <c r="F12" s="301">
        <f>'Livestock GM'!DL$49</f>
        <v>717.8552631578948</v>
      </c>
      <c r="G12" s="301">
        <f>'Livestock GM'!DL$38</f>
        <v>1280</v>
      </c>
      <c r="H12" s="301">
        <f>'Livestock GM'!DL$37</f>
        <v>1000</v>
      </c>
      <c r="I12" s="301">
        <f>'Livestock GM'!DL$47</f>
        <v>361.14526315789476</v>
      </c>
      <c r="J12" s="301">
        <f>'Livestock GM'!DL$46</f>
        <v>282.14473684210526</v>
      </c>
      <c r="K12" s="302">
        <f>'Livestock GM'!DL$10*'Livestock GM'!DL$11</f>
        <v>0.96</v>
      </c>
      <c r="L12" s="303">
        <f>'Livestock GM'!DL$9</f>
        <v>27.502894736842105</v>
      </c>
      <c r="M12" s="1"/>
      <c r="N12" s="1"/>
      <c r="P12" s="5" t="str">
        <f>B12</f>
        <v>DL</v>
      </c>
      <c r="Q12" s="300" t="str">
        <f>C12</f>
        <v>Agroecological beef finishers</v>
      </c>
      <c r="R12" s="624">
        <v>0.48</v>
      </c>
      <c r="S12" s="301">
        <f t="shared" si="1"/>
        <v>918.85473684210535</v>
      </c>
      <c r="T12" s="301">
        <f t="shared" si="2"/>
        <v>717.8552631578948</v>
      </c>
      <c r="U12" s="301">
        <f t="shared" si="3"/>
        <v>1280</v>
      </c>
      <c r="V12" s="301">
        <f t="shared" si="4"/>
        <v>1000</v>
      </c>
      <c r="W12" s="301">
        <f t="shared" si="5"/>
        <v>361.14526315789476</v>
      </c>
      <c r="X12" s="301">
        <f t="shared" si="6"/>
        <v>282.14473684210526</v>
      </c>
      <c r="Y12" s="321">
        <f t="shared" si="7"/>
        <v>0.96</v>
      </c>
      <c r="Z12" s="329">
        <f t="shared" si="8"/>
        <v>27.502894736842105</v>
      </c>
    </row>
    <row r="13" spans="1:40" x14ac:dyDescent="0.25">
      <c r="B13" s="5" t="s">
        <v>238</v>
      </c>
      <c r="C13" s="300" t="s">
        <v>239</v>
      </c>
      <c r="D13" s="624">
        <v>0.18652451174576309</v>
      </c>
      <c r="E13" s="301">
        <f>'Livestock GM'!BO$50</f>
        <v>642.71350000000007</v>
      </c>
      <c r="F13" s="301">
        <f>'Livestock GM'!BO$49</f>
        <v>64.271350000000012</v>
      </c>
      <c r="G13" s="301">
        <f>'Livestock GM'!BO$38</f>
        <v>1026.6800000000003</v>
      </c>
      <c r="H13" s="301">
        <f>'Livestock GM'!BO$37</f>
        <v>102.66800000000002</v>
      </c>
      <c r="I13" s="301">
        <f>'Livestock GM'!BO$47</f>
        <v>383.9665</v>
      </c>
      <c r="J13" s="301">
        <f>'Livestock GM'!BO$46</f>
        <v>38.396650000000001</v>
      </c>
      <c r="K13" s="302">
        <f>'Livestock GM'!BO$10*'Livestock GM'!BO$11</f>
        <v>1.1000000000000001</v>
      </c>
      <c r="L13" s="303">
        <f>'Livestock GM'!BO$9</f>
        <v>6.5679330000000009</v>
      </c>
      <c r="M13" s="1"/>
      <c r="N13" s="1"/>
      <c r="P13" s="5" t="s">
        <v>238</v>
      </c>
      <c r="Q13" s="300" t="str">
        <f t="shared" ref="Q13:Q16" si="9">C13</f>
        <v>Lowland Spring Lamb Production</v>
      </c>
      <c r="R13" s="624">
        <v>0</v>
      </c>
      <c r="S13" s="301">
        <f t="shared" si="1"/>
        <v>642.71350000000007</v>
      </c>
      <c r="T13" s="301">
        <f t="shared" si="2"/>
        <v>64.271350000000012</v>
      </c>
      <c r="U13" s="301">
        <f t="shared" si="3"/>
        <v>1026.6800000000003</v>
      </c>
      <c r="V13" s="301">
        <f t="shared" si="4"/>
        <v>102.66800000000002</v>
      </c>
      <c r="W13" s="301">
        <f t="shared" si="5"/>
        <v>383.9665</v>
      </c>
      <c r="X13" s="301">
        <f t="shared" si="6"/>
        <v>38.396650000000001</v>
      </c>
      <c r="Y13" s="321">
        <f t="shared" si="7"/>
        <v>1.1000000000000001</v>
      </c>
      <c r="Z13" s="329">
        <f t="shared" si="8"/>
        <v>6.5679330000000009</v>
      </c>
    </row>
    <row r="14" spans="1:40" x14ac:dyDescent="0.25">
      <c r="B14" s="5" t="s">
        <v>240</v>
      </c>
      <c r="C14" s="300" t="s">
        <v>241</v>
      </c>
      <c r="D14" s="624">
        <v>2.4869934899435082E-2</v>
      </c>
      <c r="E14" s="301">
        <f>'Livestock GM'!BJ$50</f>
        <v>517.89</v>
      </c>
      <c r="F14" s="301">
        <f>'Livestock GM'!BJ$49</f>
        <v>34.525999999999996</v>
      </c>
      <c r="G14" s="301">
        <f>'Livestock GM'!BJ$38</f>
        <v>800.94</v>
      </c>
      <c r="H14" s="301">
        <f>'Livestock GM'!BJ$37</f>
        <v>53.396000000000001</v>
      </c>
      <c r="I14" s="301">
        <f>'Livestock GM'!BJ$47</f>
        <v>283.05</v>
      </c>
      <c r="J14" s="301">
        <f>'Livestock GM'!BJ$46</f>
        <v>18.87</v>
      </c>
      <c r="K14" s="302">
        <f>'Livestock GM'!BJ$10*'Livestock GM'!BJ$11</f>
        <v>1.65</v>
      </c>
      <c r="L14" s="303">
        <f>'Livestock GM'!BJ$9</f>
        <v>3.8214000000000001</v>
      </c>
      <c r="M14" s="1"/>
      <c r="N14" s="1"/>
      <c r="P14" s="5" t="s">
        <v>240</v>
      </c>
      <c r="Q14" s="300" t="str">
        <f t="shared" si="9"/>
        <v>Lowland Rearing Ewe-lambs</v>
      </c>
      <c r="R14" s="624">
        <v>0</v>
      </c>
      <c r="S14" s="301">
        <f t="shared" si="1"/>
        <v>517.89</v>
      </c>
      <c r="T14" s="301">
        <f t="shared" si="2"/>
        <v>34.525999999999996</v>
      </c>
      <c r="U14" s="301">
        <f t="shared" si="3"/>
        <v>800.94</v>
      </c>
      <c r="V14" s="301">
        <f t="shared" si="4"/>
        <v>53.396000000000001</v>
      </c>
      <c r="W14" s="301">
        <f t="shared" si="5"/>
        <v>283.05</v>
      </c>
      <c r="X14" s="301">
        <f t="shared" si="6"/>
        <v>18.87</v>
      </c>
      <c r="Y14" s="321">
        <f t="shared" si="7"/>
        <v>1.65</v>
      </c>
      <c r="Z14" s="329">
        <f t="shared" si="8"/>
        <v>3.8214000000000001</v>
      </c>
    </row>
    <row r="15" spans="1:40" x14ac:dyDescent="0.25">
      <c r="B15" s="5" t="s">
        <v>242</v>
      </c>
      <c r="C15" s="300" t="s">
        <v>243</v>
      </c>
      <c r="D15" s="624">
        <v>9.9479739597740327E-2</v>
      </c>
      <c r="E15" s="301">
        <f>'Livestock GM'!BT$50</f>
        <v>745.07999999999993</v>
      </c>
      <c r="F15" s="301">
        <f>'Livestock GM'!BT$49</f>
        <v>26.61</v>
      </c>
      <c r="G15" s="301">
        <f>'Livestock GM'!BT$38</f>
        <v>1107.3999999999999</v>
      </c>
      <c r="H15" s="301">
        <f>'Livestock GM'!BT$37</f>
        <v>39.549999999999997</v>
      </c>
      <c r="I15" s="301">
        <f>'Livestock GM'!BT$47</f>
        <v>362.32</v>
      </c>
      <c r="J15" s="301">
        <f>'Livestock GM'!BT$46</f>
        <v>12.94</v>
      </c>
      <c r="K15" s="302">
        <f>'Livestock GM'!BT$10*'Livestock GM'!BT$11</f>
        <v>1.1200000000000001</v>
      </c>
      <c r="L15" s="303">
        <f>'Livestock GM'!BT$9</f>
        <v>2.4588000000000001</v>
      </c>
      <c r="M15" s="1"/>
      <c r="N15" s="1"/>
      <c r="P15" s="5" t="s">
        <v>242</v>
      </c>
      <c r="Q15" s="300" t="str">
        <f t="shared" si="9"/>
        <v>Store Lamb finishing in the lowlands</v>
      </c>
      <c r="R15" s="624">
        <v>0</v>
      </c>
      <c r="S15" s="301">
        <f t="shared" si="1"/>
        <v>745.07999999999993</v>
      </c>
      <c r="T15" s="301">
        <f t="shared" si="2"/>
        <v>26.61</v>
      </c>
      <c r="U15" s="301">
        <f t="shared" si="3"/>
        <v>1107.3999999999999</v>
      </c>
      <c r="V15" s="301">
        <f t="shared" si="4"/>
        <v>39.549999999999997</v>
      </c>
      <c r="W15" s="301">
        <f t="shared" si="5"/>
        <v>362.32</v>
      </c>
      <c r="X15" s="301">
        <f t="shared" si="6"/>
        <v>12.94</v>
      </c>
      <c r="Y15" s="321">
        <f t="shared" si="7"/>
        <v>1.1200000000000001</v>
      </c>
      <c r="Z15" s="329">
        <f t="shared" si="8"/>
        <v>2.4588000000000001</v>
      </c>
    </row>
    <row r="16" spans="1:40" x14ac:dyDescent="0.25">
      <c r="B16" s="5" t="s">
        <v>244</v>
      </c>
      <c r="C16" s="300" t="s">
        <v>245</v>
      </c>
      <c r="D16" s="624">
        <v>0</v>
      </c>
      <c r="E16" s="301">
        <f>'Livestock GM'!DO$50</f>
        <v>328.8</v>
      </c>
      <c r="F16" s="301">
        <f>'Livestock GM'!DO$49</f>
        <v>68.5</v>
      </c>
      <c r="G16" s="301">
        <f>'Livestock GM'!DO$38</f>
        <v>487.2</v>
      </c>
      <c r="H16" s="301">
        <f>'Livestock GM'!DO$37</f>
        <v>101.5</v>
      </c>
      <c r="I16" s="301">
        <f>'Livestock GM'!DO$47</f>
        <v>158.4</v>
      </c>
      <c r="J16" s="301">
        <f>'Livestock GM'!DO$46</f>
        <v>33</v>
      </c>
      <c r="K16" s="302">
        <f>'Livestock GM'!DO$10*'Livestock GM'!DO$11</f>
        <v>0.52800000000000002</v>
      </c>
      <c r="L16" s="303">
        <f>'Livestock GM'!DO$9</f>
        <v>7.8568000000000007</v>
      </c>
      <c r="M16" s="1"/>
      <c r="N16" s="1"/>
      <c r="P16" s="5"/>
      <c r="Q16" s="300" t="str">
        <f t="shared" si="9"/>
        <v>Agroecological lowland ewes - spring lamb production</v>
      </c>
      <c r="R16" s="624">
        <v>0.31</v>
      </c>
      <c r="S16" s="301">
        <f t="shared" si="1"/>
        <v>328.8</v>
      </c>
      <c r="T16" s="301">
        <f t="shared" si="2"/>
        <v>68.5</v>
      </c>
      <c r="U16" s="301">
        <f t="shared" si="3"/>
        <v>487.2</v>
      </c>
      <c r="V16" s="301">
        <f t="shared" si="4"/>
        <v>101.5</v>
      </c>
      <c r="W16" s="301">
        <f t="shared" si="5"/>
        <v>158.4</v>
      </c>
      <c r="X16" s="301">
        <f t="shared" si="6"/>
        <v>33</v>
      </c>
      <c r="Y16" s="321">
        <f t="shared" si="7"/>
        <v>0.52800000000000002</v>
      </c>
      <c r="Z16" s="329">
        <f t="shared" si="8"/>
        <v>7.8568000000000007</v>
      </c>
    </row>
    <row r="17" spans="1:52" ht="11" thickBot="1" x14ac:dyDescent="0.3">
      <c r="B17" s="5"/>
      <c r="C17" s="89"/>
      <c r="D17" s="300"/>
      <c r="E17" s="304"/>
      <c r="F17" s="304"/>
      <c r="G17" s="304"/>
      <c r="H17" s="304"/>
      <c r="I17" s="304"/>
      <c r="J17" s="304"/>
      <c r="K17" s="305"/>
      <c r="L17" s="44"/>
      <c r="M17" s="1"/>
      <c r="N17" s="1"/>
      <c r="P17" s="5"/>
      <c r="Q17" s="89"/>
      <c r="R17" s="300"/>
      <c r="S17" s="304"/>
      <c r="T17" s="304"/>
      <c r="U17" s="304"/>
      <c r="V17" s="304"/>
      <c r="W17" s="304"/>
      <c r="X17" s="304"/>
      <c r="Y17" s="305"/>
      <c r="Z17" s="47"/>
    </row>
    <row r="18" spans="1:52" ht="11" thickBot="1" x14ac:dyDescent="0.3">
      <c r="B18" s="306"/>
      <c r="C18" s="307" t="s">
        <v>246</v>
      </c>
      <c r="D18" s="308">
        <f>SUM(D4:D17)</f>
        <v>1</v>
      </c>
      <c r="E18" s="309">
        <f>SUMPRODUCT($D$4:$D$17,E4:E17)</f>
        <v>576.88906038827349</v>
      </c>
      <c r="F18" s="309"/>
      <c r="G18" s="309">
        <f>SUMPRODUCT($D$4:$D$17,G4:G17)</f>
        <v>956.88562629162107</v>
      </c>
      <c r="H18" s="309"/>
      <c r="I18" s="309">
        <f>SUMPRODUCT($D$4:$D$17,I4:I17)</f>
        <v>379.99656590334769</v>
      </c>
      <c r="J18" s="309"/>
      <c r="K18" s="309">
        <f>SUMPRODUCT($D$4:$D$17,K4:K17)</f>
        <v>1.5918215022590498</v>
      </c>
      <c r="L18" s="310">
        <f>SUMPRODUCT($D$4:$D$17,L4:L17)</f>
        <v>31.66638309645975</v>
      </c>
      <c r="M18" s="1"/>
      <c r="N18" s="1"/>
      <c r="P18" s="306"/>
      <c r="Q18" s="307" t="s">
        <v>246</v>
      </c>
      <c r="R18" s="308">
        <f>SUM(R4:R17)</f>
        <v>1</v>
      </c>
      <c r="S18" s="309">
        <f>SUMPRODUCT($R$4:$R$16,S4:S16)</f>
        <v>651.47090526315787</v>
      </c>
      <c r="T18" s="309"/>
      <c r="U18" s="309">
        <f>SUMPRODUCT($R$4:$R$16,U4:U16)</f>
        <v>927.83199999999988</v>
      </c>
      <c r="V18" s="309"/>
      <c r="W18" s="309">
        <f>SUMPRODUCT($R$4:$R$16,W4:W16)</f>
        <v>276.36109473684212</v>
      </c>
      <c r="X18" s="309"/>
      <c r="Y18" s="309">
        <f>SUMPRODUCT($R$4:$R$16,Y4:Y16)</f>
        <v>0.83448</v>
      </c>
      <c r="Z18" s="310">
        <f>SUMPRODUCT($R$4:$R$16,Z4:Z16)</f>
        <v>30.053608000000004</v>
      </c>
      <c r="AB18" s="347" t="s">
        <v>247</v>
      </c>
    </row>
    <row r="19" spans="1:52" s="235" customFormat="1" x14ac:dyDescent="0.25">
      <c r="B19" s="290"/>
      <c r="C19" s="340"/>
      <c r="D19" s="92"/>
      <c r="E19" s="341"/>
      <c r="F19" s="341"/>
      <c r="G19" s="341"/>
      <c r="H19" s="341"/>
      <c r="I19" s="341"/>
      <c r="J19" s="341"/>
      <c r="K19" s="342"/>
      <c r="L19" s="342"/>
      <c r="M19" s="290"/>
      <c r="N19" s="290"/>
      <c r="P19" s="290"/>
      <c r="Q19" s="340"/>
      <c r="R19" s="92"/>
      <c r="S19" s="341"/>
      <c r="T19" s="341"/>
      <c r="U19" s="341"/>
      <c r="V19" s="341"/>
      <c r="W19" s="341"/>
      <c r="X19" s="341"/>
      <c r="Y19" s="342"/>
      <c r="Z19" s="342"/>
      <c r="AA19" s="345"/>
      <c r="AB19" s="267"/>
      <c r="AC19" s="2"/>
      <c r="AD19" s="2"/>
      <c r="AE19" s="2"/>
      <c r="AF19" s="2"/>
      <c r="AG19" s="2"/>
      <c r="AH19" s="2"/>
      <c r="AI19" s="2"/>
      <c r="AJ19" s="2"/>
      <c r="AK19" s="2"/>
      <c r="AL19" s="2"/>
      <c r="AM19" s="2"/>
      <c r="AN19" s="2"/>
      <c r="AO19" s="2"/>
      <c r="AP19" s="2"/>
      <c r="AQ19" s="2"/>
      <c r="AR19" s="2"/>
      <c r="AS19" s="2"/>
      <c r="AT19" s="2"/>
      <c r="AU19" s="2"/>
      <c r="AV19" s="2"/>
      <c r="AW19" s="2"/>
      <c r="AX19" s="2"/>
      <c r="AY19" s="2"/>
      <c r="AZ19" s="2"/>
    </row>
    <row r="20" spans="1:52" s="235" customFormat="1" x14ac:dyDescent="0.25">
      <c r="B20" s="290"/>
      <c r="C20" s="340"/>
      <c r="D20" s="92"/>
      <c r="E20" s="341"/>
      <c r="F20" s="341"/>
      <c r="G20" s="341"/>
      <c r="H20" s="341"/>
      <c r="I20" s="341"/>
      <c r="J20" s="341"/>
      <c r="K20" s="342"/>
      <c r="L20" s="342"/>
      <c r="M20" s="290"/>
      <c r="N20" s="290"/>
      <c r="P20" s="290"/>
      <c r="Q20" s="340"/>
      <c r="R20" s="92"/>
      <c r="S20" s="341"/>
      <c r="T20" s="341"/>
      <c r="U20" s="341"/>
      <c r="V20" s="341"/>
      <c r="W20" s="341"/>
      <c r="X20" s="341"/>
      <c r="Y20" s="342"/>
      <c r="Z20" s="342"/>
      <c r="AA20" s="345"/>
      <c r="AB20" s="267"/>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s="235" customFormat="1" ht="11" thickBot="1" x14ac:dyDescent="0.3">
      <c r="AA21" s="345"/>
      <c r="AB21" s="267"/>
      <c r="AC21" s="2"/>
      <c r="AD21" s="2"/>
      <c r="AE21" s="2"/>
      <c r="AF21" s="2"/>
      <c r="AG21" s="2"/>
      <c r="AH21" s="2"/>
      <c r="AI21" s="2"/>
      <c r="AJ21" s="2"/>
      <c r="AK21" s="2"/>
      <c r="AL21" s="2"/>
      <c r="AM21" s="2"/>
      <c r="AN21" s="2"/>
      <c r="AO21" s="2"/>
      <c r="AP21" s="2"/>
      <c r="AQ21" s="2"/>
      <c r="AR21" s="2"/>
      <c r="AS21" s="2"/>
      <c r="AT21" s="2"/>
      <c r="AU21" s="2"/>
      <c r="AV21" s="2"/>
      <c r="AW21" s="2"/>
      <c r="AX21" s="2"/>
      <c r="AY21" s="2"/>
      <c r="AZ21" s="2"/>
    </row>
    <row r="22" spans="1:52" ht="32" thickBot="1" x14ac:dyDescent="0.3">
      <c r="B22" s="311" t="s">
        <v>89</v>
      </c>
      <c r="C22" s="315"/>
      <c r="D22" s="313" t="s">
        <v>198</v>
      </c>
      <c r="E22" s="313" t="s">
        <v>199</v>
      </c>
      <c r="F22" s="313" t="s">
        <v>200</v>
      </c>
      <c r="G22" s="313" t="s">
        <v>201</v>
      </c>
      <c r="H22" s="313" t="s">
        <v>202</v>
      </c>
      <c r="I22" s="313" t="s">
        <v>203</v>
      </c>
      <c r="J22" s="313" t="s">
        <v>204</v>
      </c>
      <c r="K22" s="313" t="s">
        <v>215</v>
      </c>
      <c r="L22" s="314" t="s">
        <v>216</v>
      </c>
      <c r="M22" s="91" t="s">
        <v>248</v>
      </c>
      <c r="N22" s="1"/>
      <c r="P22" s="311" t="s">
        <v>89</v>
      </c>
      <c r="Q22" s="315"/>
      <c r="R22" s="313" t="s">
        <v>198</v>
      </c>
      <c r="S22" s="313" t="s">
        <v>199</v>
      </c>
      <c r="T22" s="313" t="s">
        <v>200</v>
      </c>
      <c r="U22" s="313" t="s">
        <v>201</v>
      </c>
      <c r="V22" s="313" t="s">
        <v>202</v>
      </c>
      <c r="W22" s="313" t="s">
        <v>203</v>
      </c>
      <c r="X22" s="313" t="s">
        <v>204</v>
      </c>
      <c r="Y22" s="313" t="s">
        <v>215</v>
      </c>
      <c r="Z22" s="314" t="s">
        <v>216</v>
      </c>
    </row>
    <row r="23" spans="1:52" x14ac:dyDescent="0.25">
      <c r="B23" s="241" t="s">
        <v>249</v>
      </c>
      <c r="C23" s="316" t="s">
        <v>250</v>
      </c>
      <c r="D23" s="625">
        <v>0.41178392957453003</v>
      </c>
      <c r="E23" s="317">
        <f>'Livestock GM'!BY$50</f>
        <v>338.31907499999994</v>
      </c>
      <c r="F23" s="317">
        <f>'Livestock GM'!BY$49</f>
        <v>45.10920999999999</v>
      </c>
      <c r="G23" s="317">
        <f>'Livestock GM'!BY$38</f>
        <v>552.06907499999988</v>
      </c>
      <c r="H23" s="317">
        <f>'Livestock GM'!BY$37</f>
        <v>73.60920999999999</v>
      </c>
      <c r="I23" s="317">
        <f>'Livestock GM'!BY$47</f>
        <v>213.75</v>
      </c>
      <c r="J23" s="317">
        <f>'Livestock GM'!BY$46</f>
        <v>28.5</v>
      </c>
      <c r="K23" s="318">
        <f>'Livestock GM'!BY$10*'Livestock GM'!BY$11</f>
        <v>0.6</v>
      </c>
      <c r="L23" s="319">
        <f>'Livestock GM'!BY$9</f>
        <v>5.97</v>
      </c>
      <c r="M23" s="1" t="s">
        <v>222</v>
      </c>
      <c r="N23" s="90">
        <v>0.51472991196816253</v>
      </c>
      <c r="P23" s="241" t="s">
        <v>249</v>
      </c>
      <c r="Q23" s="316" t="str">
        <f>C23</f>
        <v>Upland breeding ewe</v>
      </c>
      <c r="R23" s="625">
        <v>0</v>
      </c>
      <c r="S23" s="317">
        <f>E23</f>
        <v>338.31907499999994</v>
      </c>
      <c r="T23" s="317">
        <f t="shared" ref="T23:Z23" si="10">F23</f>
        <v>45.10920999999999</v>
      </c>
      <c r="U23" s="317">
        <f t="shared" si="10"/>
        <v>552.06907499999988</v>
      </c>
      <c r="V23" s="317">
        <f t="shared" si="10"/>
        <v>73.60920999999999</v>
      </c>
      <c r="W23" s="317">
        <f t="shared" si="10"/>
        <v>213.75</v>
      </c>
      <c r="X23" s="317">
        <f t="shared" si="10"/>
        <v>28.5</v>
      </c>
      <c r="Y23" s="318">
        <f t="shared" si="10"/>
        <v>0.6</v>
      </c>
      <c r="Z23" s="330">
        <f t="shared" si="10"/>
        <v>5.97</v>
      </c>
    </row>
    <row r="24" spans="1:52" x14ac:dyDescent="0.25">
      <c r="B24" s="320" t="s">
        <v>251</v>
      </c>
      <c r="C24" s="300" t="s">
        <v>252</v>
      </c>
      <c r="D24" s="624">
        <v>0.10294598239363251</v>
      </c>
      <c r="E24" s="301">
        <f>'Livestock GM'!CD$50</f>
        <v>345.15</v>
      </c>
      <c r="F24" s="301">
        <f>'Livestock GM'!CD$49</f>
        <v>23.009999999999998</v>
      </c>
      <c r="G24" s="301">
        <f>'Livestock GM'!CD$38</f>
        <v>671.85</v>
      </c>
      <c r="H24" s="301">
        <f>'Livestock GM'!CD$37</f>
        <v>44.79</v>
      </c>
      <c r="I24" s="301">
        <f>'Livestock GM'!CD$47</f>
        <v>326.70000000000005</v>
      </c>
      <c r="J24" s="301">
        <f>'Livestock GM'!CD$46</f>
        <v>21.78</v>
      </c>
      <c r="K24" s="321">
        <f>'Livestock GM'!CD$10*'Livestock GM'!CD$11</f>
        <v>0.89999999999999991</v>
      </c>
      <c r="L24" s="303">
        <f>'Livestock GM'!CD$9</f>
        <v>0.44560000000000005</v>
      </c>
      <c r="M24" s="1" t="s">
        <v>225</v>
      </c>
      <c r="N24" s="90">
        <v>0.48527008803183747</v>
      </c>
      <c r="P24" s="320" t="s">
        <v>251</v>
      </c>
      <c r="Q24" s="300" t="str">
        <f t="shared" ref="Q24:Q30" si="11">C24</f>
        <v>Hill store lamb production from self-contained flock</v>
      </c>
      <c r="R24" s="624">
        <v>0</v>
      </c>
      <c r="S24" s="301">
        <f t="shared" ref="S24:S30" si="12">E24</f>
        <v>345.15</v>
      </c>
      <c r="T24" s="301">
        <f t="shared" ref="T24:T30" si="13">F24</f>
        <v>23.009999999999998</v>
      </c>
      <c r="U24" s="301">
        <f t="shared" ref="U24:U30" si="14">G24</f>
        <v>671.85</v>
      </c>
      <c r="V24" s="301">
        <f t="shared" ref="V24:V30" si="15">H24</f>
        <v>44.79</v>
      </c>
      <c r="W24" s="301">
        <f t="shared" ref="W24:W30" si="16">I24</f>
        <v>326.70000000000005</v>
      </c>
      <c r="X24" s="301">
        <f t="shared" ref="X24:X30" si="17">J24</f>
        <v>21.78</v>
      </c>
      <c r="Y24" s="321">
        <f t="shared" ref="Y24:Y30" si="18">K24</f>
        <v>0.89999999999999991</v>
      </c>
      <c r="Z24" s="329">
        <f t="shared" ref="Z24:Z30" si="19">L24</f>
        <v>0.44560000000000005</v>
      </c>
    </row>
    <row r="25" spans="1:52" x14ac:dyDescent="0.25">
      <c r="B25" s="320" t="s">
        <v>253</v>
      </c>
      <c r="C25" s="300" t="s">
        <v>254</v>
      </c>
      <c r="D25" s="624">
        <v>0.18559452489638695</v>
      </c>
      <c r="E25" s="301">
        <f>'Livestock GM'!AO$50</f>
        <v>261.30905059523803</v>
      </c>
      <c r="F25" s="301">
        <f>'Livestock GM'!AO$49</f>
        <v>209.04724047619044</v>
      </c>
      <c r="G25" s="301">
        <f>'Livestock GM'!AO$38</f>
        <v>531.74523809523805</v>
      </c>
      <c r="H25" s="301">
        <f>'Livestock GM'!AO$37</f>
        <v>425.39619047619044</v>
      </c>
      <c r="I25" s="301">
        <f>'Livestock GM'!AO$47</f>
        <v>270.43618750000002</v>
      </c>
      <c r="J25" s="301">
        <f>'Livestock GM'!AO$46</f>
        <v>216.34895</v>
      </c>
      <c r="K25" s="321">
        <f>'Livestock GM'!AO$10*'Livestock GM'!AO$11</f>
        <v>0.9375</v>
      </c>
      <c r="L25" s="303">
        <f>'Livestock GM'!AO$9</f>
        <v>71.126979000000006</v>
      </c>
      <c r="M25" s="1"/>
      <c r="N25" s="89"/>
      <c r="O25" s="290"/>
      <c r="P25" s="320" t="s">
        <v>253</v>
      </c>
      <c r="Q25" s="300" t="str">
        <f t="shared" si="11"/>
        <v>LFA Autumn Calving Suckler Cows</v>
      </c>
      <c r="R25" s="624">
        <v>0</v>
      </c>
      <c r="S25" s="301">
        <f t="shared" si="12"/>
        <v>261.30905059523803</v>
      </c>
      <c r="T25" s="301">
        <f t="shared" si="13"/>
        <v>209.04724047619044</v>
      </c>
      <c r="U25" s="301">
        <f t="shared" si="14"/>
        <v>531.74523809523805</v>
      </c>
      <c r="V25" s="301">
        <f t="shared" si="15"/>
        <v>425.39619047619044</v>
      </c>
      <c r="W25" s="301">
        <f t="shared" si="16"/>
        <v>270.43618750000002</v>
      </c>
      <c r="X25" s="301">
        <f t="shared" si="17"/>
        <v>216.34895</v>
      </c>
      <c r="Y25" s="321">
        <f t="shared" si="18"/>
        <v>0.9375</v>
      </c>
      <c r="Z25" s="329">
        <f t="shared" si="19"/>
        <v>71.126979000000006</v>
      </c>
    </row>
    <row r="26" spans="1:52" x14ac:dyDescent="0.25">
      <c r="B26" s="320" t="s">
        <v>255</v>
      </c>
      <c r="C26" s="300" t="s">
        <v>256</v>
      </c>
      <c r="D26" s="624">
        <v>0.29967556313545052</v>
      </c>
      <c r="E26" s="301">
        <f>'Livestock GM'!AJ$50</f>
        <v>216.00533333333334</v>
      </c>
      <c r="F26" s="301">
        <f>'Livestock GM'!AJ$49</f>
        <v>135.00333333333333</v>
      </c>
      <c r="G26" s="301">
        <f>'Livestock GM'!AJ$38</f>
        <v>484.78933333333339</v>
      </c>
      <c r="H26" s="301">
        <f>'Livestock GM'!AJ$37</f>
        <v>302.99333333333334</v>
      </c>
      <c r="I26" s="301">
        <f>'Livestock GM'!AJ$47</f>
        <v>268.78400000000005</v>
      </c>
      <c r="J26" s="301">
        <f>'Livestock GM'!AJ$46</f>
        <v>167.99</v>
      </c>
      <c r="K26" s="321">
        <f>'Livestock GM'!AJ$10*'Livestock GM'!AJ$11</f>
        <v>1.2000000000000002</v>
      </c>
      <c r="L26" s="303">
        <f>'Livestock GM'!AJ$9</f>
        <v>70.159800000000004</v>
      </c>
      <c r="M26" s="1"/>
      <c r="N26" s="1"/>
      <c r="O26" s="290"/>
      <c r="P26" s="320" t="s">
        <v>255</v>
      </c>
      <c r="Q26" s="300" t="str">
        <f t="shared" si="11"/>
        <v>LFA Spring Calving Suckler Cows</v>
      </c>
      <c r="R26" s="624">
        <v>0</v>
      </c>
      <c r="S26" s="301">
        <f t="shared" si="12"/>
        <v>216.00533333333334</v>
      </c>
      <c r="T26" s="301">
        <f t="shared" si="13"/>
        <v>135.00333333333333</v>
      </c>
      <c r="U26" s="301">
        <f t="shared" si="14"/>
        <v>484.78933333333339</v>
      </c>
      <c r="V26" s="301">
        <f t="shared" si="15"/>
        <v>302.99333333333334</v>
      </c>
      <c r="W26" s="301">
        <f t="shared" si="16"/>
        <v>268.78400000000005</v>
      </c>
      <c r="X26" s="301">
        <f t="shared" si="17"/>
        <v>167.99</v>
      </c>
      <c r="Y26" s="321">
        <f t="shared" si="18"/>
        <v>1.2000000000000002</v>
      </c>
      <c r="Z26" s="329">
        <f t="shared" si="19"/>
        <v>70.159800000000004</v>
      </c>
    </row>
    <row r="27" spans="1:52" s="175" customFormat="1" ht="24.65" customHeight="1" x14ac:dyDescent="0.25">
      <c r="A27" s="339"/>
      <c r="B27" s="320" t="s">
        <v>257</v>
      </c>
      <c r="C27" s="322" t="s">
        <v>258</v>
      </c>
      <c r="D27" s="626">
        <v>0</v>
      </c>
      <c r="E27" s="323">
        <f>'Livestock GM'!BC$50</f>
        <v>118.99666666666661</v>
      </c>
      <c r="F27" s="323">
        <f>'Livestock GM'!BC$49</f>
        <v>118.99666666666661</v>
      </c>
      <c r="G27" s="323">
        <f>'Livestock GM'!BC$38</f>
        <v>284.35666666666663</v>
      </c>
      <c r="H27" s="323">
        <f>'Livestock GM'!BC$37</f>
        <v>284.35666666666663</v>
      </c>
      <c r="I27" s="323">
        <f>'Livestock GM'!BC$47</f>
        <v>165.36</v>
      </c>
      <c r="J27" s="323">
        <f>'Livestock GM'!BC$46</f>
        <v>165.36</v>
      </c>
      <c r="K27" s="324">
        <f>'Livestock GM'!BC$10*'Livestock GM'!BC$11</f>
        <v>0.8</v>
      </c>
      <c r="L27" s="325">
        <f>'Livestock GM'!BC$9</f>
        <v>57.307200000000002</v>
      </c>
      <c r="M27" s="130"/>
      <c r="N27" s="130"/>
      <c r="O27" s="273"/>
      <c r="P27" s="320" t="s">
        <v>257</v>
      </c>
      <c r="Q27" s="322" t="str">
        <f t="shared" si="11"/>
        <v>Hardy native breeds on the hill producing stores. Spring calving. Long horn, Shorthorn, Highland cattle.</v>
      </c>
      <c r="R27" s="626">
        <v>0.25</v>
      </c>
      <c r="S27" s="301">
        <f t="shared" si="12"/>
        <v>118.99666666666661</v>
      </c>
      <c r="T27" s="301">
        <f t="shared" si="13"/>
        <v>118.99666666666661</v>
      </c>
      <c r="U27" s="301">
        <f t="shared" si="14"/>
        <v>284.35666666666663</v>
      </c>
      <c r="V27" s="301">
        <f t="shared" si="15"/>
        <v>284.35666666666663</v>
      </c>
      <c r="W27" s="301">
        <f t="shared" si="16"/>
        <v>165.36</v>
      </c>
      <c r="X27" s="301">
        <f t="shared" si="17"/>
        <v>165.36</v>
      </c>
      <c r="Y27" s="321">
        <f t="shared" si="18"/>
        <v>0.8</v>
      </c>
      <c r="Z27" s="329">
        <f t="shared" si="19"/>
        <v>57.307200000000002</v>
      </c>
      <c r="AA27" s="346"/>
      <c r="AB27" s="349"/>
    </row>
    <row r="28" spans="1:52" x14ac:dyDescent="0.25">
      <c r="B28" s="320" t="s">
        <v>259</v>
      </c>
      <c r="C28" s="300" t="s">
        <v>260</v>
      </c>
      <c r="D28" s="624">
        <v>0</v>
      </c>
      <c r="E28" s="301">
        <f>'Livestock GM'!BF$50</f>
        <v>378.77499999999998</v>
      </c>
      <c r="F28" s="301">
        <f>'Livestock GM'!BF$49</f>
        <v>303.02</v>
      </c>
      <c r="G28" s="301">
        <f>'Livestock GM'!BF$38</f>
        <v>595.77499999999998</v>
      </c>
      <c r="H28" s="301">
        <f>'Livestock GM'!BF$37</f>
        <v>476.62</v>
      </c>
      <c r="I28" s="301">
        <f>'Livestock GM'!BF$47</f>
        <v>217</v>
      </c>
      <c r="J28" s="301">
        <f>'Livestock GM'!BF$46</f>
        <v>173.6</v>
      </c>
      <c r="K28" s="321">
        <f>'Livestock GM'!BF$10*'Livestock GM'!BF$11</f>
        <v>1</v>
      </c>
      <c r="L28" s="303">
        <f>'Livestock GM'!BF$9</f>
        <v>23.231999999999999</v>
      </c>
      <c r="M28" s="1"/>
      <c r="N28" s="1"/>
      <c r="O28" s="290"/>
      <c r="P28" s="320" t="str">
        <f>B28</f>
        <v>BE</v>
      </c>
      <c r="Q28" s="300" t="str">
        <f t="shared" si="11"/>
        <v>Finishing progeny (stores) from hardy native breeds</v>
      </c>
      <c r="R28" s="624">
        <v>0.25</v>
      </c>
      <c r="S28" s="301">
        <f t="shared" si="12"/>
        <v>378.77499999999998</v>
      </c>
      <c r="T28" s="301">
        <f t="shared" si="13"/>
        <v>303.02</v>
      </c>
      <c r="U28" s="301">
        <f t="shared" si="14"/>
        <v>595.77499999999998</v>
      </c>
      <c r="V28" s="301">
        <f t="shared" si="15"/>
        <v>476.62</v>
      </c>
      <c r="W28" s="301">
        <f t="shared" si="16"/>
        <v>217</v>
      </c>
      <c r="X28" s="301">
        <f t="shared" si="17"/>
        <v>173.6</v>
      </c>
      <c r="Y28" s="321">
        <f t="shared" si="18"/>
        <v>1</v>
      </c>
      <c r="Z28" s="329">
        <f t="shared" si="19"/>
        <v>23.231999999999999</v>
      </c>
    </row>
    <row r="29" spans="1:52" x14ac:dyDescent="0.25">
      <c r="B29" s="320" t="s">
        <v>261</v>
      </c>
      <c r="C29" s="300" t="s">
        <v>973</v>
      </c>
      <c r="D29" s="624">
        <v>0</v>
      </c>
      <c r="E29" s="301">
        <f>'Livestock GM'!DI$50</f>
        <v>239.70394736842104</v>
      </c>
      <c r="F29" s="301">
        <f>'Livestock GM'!DI$49</f>
        <v>319.60526315789474</v>
      </c>
      <c r="G29" s="301">
        <f>'Livestock GM'!DI$38</f>
        <v>393.75</v>
      </c>
      <c r="H29" s="301">
        <f>'Livestock GM'!DI$37</f>
        <v>525</v>
      </c>
      <c r="I29" s="301">
        <f>'Livestock GM'!DI$47</f>
        <v>154.04605263157896</v>
      </c>
      <c r="J29" s="301">
        <f>'Livestock GM'!DI$46</f>
        <v>205.39473684210526</v>
      </c>
      <c r="K29" s="321">
        <f>'Livestock GM'!DI$10*'Livestock GM'!DI$11</f>
        <v>0.5625</v>
      </c>
      <c r="L29" s="303">
        <f>'Livestock GM'!DI$9</f>
        <v>68.90789473684211</v>
      </c>
      <c r="M29" s="1"/>
      <c r="N29" s="1"/>
      <c r="O29" s="290"/>
      <c r="P29" s="320" t="str">
        <f t="shared" ref="P29:P30" si="20">B29</f>
        <v>DI</v>
      </c>
      <c r="Q29" s="300" t="str">
        <f t="shared" si="11"/>
        <v>Agroecological LFA sucker cows</v>
      </c>
      <c r="R29" s="624">
        <v>0.25</v>
      </c>
      <c r="S29" s="301">
        <f t="shared" si="12"/>
        <v>239.70394736842104</v>
      </c>
      <c r="T29" s="301">
        <f t="shared" si="13"/>
        <v>319.60526315789474</v>
      </c>
      <c r="U29" s="301">
        <f t="shared" si="14"/>
        <v>393.75</v>
      </c>
      <c r="V29" s="301">
        <f t="shared" si="15"/>
        <v>525</v>
      </c>
      <c r="W29" s="301">
        <f t="shared" si="16"/>
        <v>154.04605263157896</v>
      </c>
      <c r="X29" s="301">
        <f t="shared" si="17"/>
        <v>205.39473684210526</v>
      </c>
      <c r="Y29" s="321">
        <f t="shared" si="18"/>
        <v>0.5625</v>
      </c>
      <c r="Z29" s="329">
        <f t="shared" si="19"/>
        <v>68.90789473684211</v>
      </c>
    </row>
    <row r="30" spans="1:52" x14ac:dyDescent="0.25">
      <c r="B30" s="320" t="s">
        <v>263</v>
      </c>
      <c r="C30" s="300" t="s">
        <v>264</v>
      </c>
      <c r="D30" s="624">
        <v>0</v>
      </c>
      <c r="E30" s="301">
        <f>'Livestock GM'!DR$50</f>
        <v>150.20000000000005</v>
      </c>
      <c r="F30" s="301">
        <f>'Livestock GM'!DR$49</f>
        <v>30.040000000000006</v>
      </c>
      <c r="G30" s="301">
        <f>'Livestock GM'!DR$38</f>
        <v>340.20000000000005</v>
      </c>
      <c r="H30" s="301">
        <f>'Livestock GM'!DR$37</f>
        <v>68.040000000000006</v>
      </c>
      <c r="I30" s="301">
        <f>'Livestock GM'!DR$47</f>
        <v>190</v>
      </c>
      <c r="J30" s="301">
        <f>'Livestock GM'!DR$46</f>
        <v>38</v>
      </c>
      <c r="K30" s="321">
        <f>'Livestock GM'!DR$10*'Livestock GM'!DR$11</f>
        <v>0.4</v>
      </c>
      <c r="L30" s="303">
        <f>'Livestock GM'!DR$9</f>
        <v>6.5360000000000005</v>
      </c>
      <c r="M30" s="1"/>
      <c r="N30" s="1"/>
      <c r="O30" s="290"/>
      <c r="P30" s="320" t="str">
        <f t="shared" si="20"/>
        <v>DR</v>
      </c>
      <c r="Q30" s="300" t="str">
        <f t="shared" si="11"/>
        <v>Agroecological LFA ewes</v>
      </c>
      <c r="R30" s="624">
        <v>0.25</v>
      </c>
      <c r="S30" s="301">
        <f t="shared" si="12"/>
        <v>150.20000000000005</v>
      </c>
      <c r="T30" s="301">
        <f t="shared" si="13"/>
        <v>30.040000000000006</v>
      </c>
      <c r="U30" s="301">
        <f t="shared" si="14"/>
        <v>340.20000000000005</v>
      </c>
      <c r="V30" s="301">
        <f t="shared" si="15"/>
        <v>68.040000000000006</v>
      </c>
      <c r="W30" s="301">
        <f t="shared" si="16"/>
        <v>190</v>
      </c>
      <c r="X30" s="301">
        <f t="shared" si="17"/>
        <v>38</v>
      </c>
      <c r="Y30" s="321">
        <f t="shared" si="18"/>
        <v>0.4</v>
      </c>
      <c r="Z30" s="329">
        <f t="shared" si="19"/>
        <v>6.5360000000000005</v>
      </c>
    </row>
    <row r="31" spans="1:52" ht="11" thickBot="1" x14ac:dyDescent="0.3">
      <c r="B31" s="326"/>
      <c r="C31" s="300"/>
      <c r="D31" s="1"/>
      <c r="E31" s="1"/>
      <c r="F31" s="1"/>
      <c r="G31" s="1"/>
      <c r="H31" s="1"/>
      <c r="I31" s="1"/>
      <c r="J31" s="1"/>
      <c r="K31" s="1"/>
      <c r="L31" s="6"/>
      <c r="M31" s="1"/>
      <c r="N31" s="1"/>
      <c r="O31" s="290"/>
      <c r="P31" s="327"/>
      <c r="Q31" s="331"/>
      <c r="R31" s="332"/>
      <c r="S31" s="332"/>
      <c r="T31" s="332"/>
      <c r="U31" s="332"/>
      <c r="V31" s="332"/>
      <c r="W31" s="332"/>
      <c r="X31" s="332"/>
      <c r="Y31" s="332"/>
      <c r="Z31" s="333"/>
    </row>
    <row r="32" spans="1:52" ht="11" thickBot="1" x14ac:dyDescent="0.3">
      <c r="B32" s="328"/>
      <c r="C32" s="307" t="s">
        <v>246</v>
      </c>
      <c r="D32" s="308">
        <f>SUM(D23:D31)</f>
        <v>1</v>
      </c>
      <c r="E32" s="309">
        <f>SUMPRODUCT($D$23:$D$31,E23:E31)</f>
        <v>288.07521297995885</v>
      </c>
      <c r="F32" s="309"/>
      <c r="G32" s="309">
        <f t="shared" ref="G32:L32" si="21">SUMPRODUCT($D$23:$D$31,G23:G31)</f>
        <v>540.46595267016608</v>
      </c>
      <c r="H32" s="309"/>
      <c r="I32" s="309">
        <f t="shared" si="21"/>
        <v>252.3907396902072</v>
      </c>
      <c r="J32" s="309"/>
      <c r="K32" s="309">
        <f t="shared" si="21"/>
        <v>0.8733272847518907</v>
      </c>
      <c r="L32" s="310">
        <f t="shared" si="21"/>
        <v>36.730178238605419</v>
      </c>
      <c r="M32" s="1"/>
      <c r="N32" s="1"/>
      <c r="O32" s="290"/>
      <c r="P32" s="328"/>
      <c r="Q32" s="307" t="s">
        <v>246</v>
      </c>
      <c r="R32" s="308">
        <f>SUM(R23:R31)</f>
        <v>1</v>
      </c>
      <c r="S32" s="309">
        <f>SUMPRODUCT($R$23:$R$30,S23:S30)</f>
        <v>221.9189035087719</v>
      </c>
      <c r="T32" s="309"/>
      <c r="U32" s="309">
        <f t="shared" ref="U32:Z32" si="22">SUMPRODUCT($R$23:$R$30,U23:U30)</f>
        <v>403.52041666666668</v>
      </c>
      <c r="V32" s="309"/>
      <c r="W32" s="309">
        <f t="shared" si="22"/>
        <v>181.60151315789474</v>
      </c>
      <c r="X32" s="309"/>
      <c r="Y32" s="309">
        <f t="shared" si="22"/>
        <v>0.69062499999999993</v>
      </c>
      <c r="Z32" s="310">
        <f t="shared" si="22"/>
        <v>38.995773684210526</v>
      </c>
    </row>
    <row r="33" spans="2:52" s="235" customFormat="1" x14ac:dyDescent="0.25">
      <c r="B33" s="343"/>
      <c r="C33" s="340"/>
      <c r="D33" s="344"/>
      <c r="E33" s="341"/>
      <c r="F33" s="341"/>
      <c r="G33" s="341"/>
      <c r="H33" s="341"/>
      <c r="I33" s="341"/>
      <c r="J33" s="341"/>
      <c r="K33" s="290"/>
      <c r="L33" s="290"/>
      <c r="M33" s="290"/>
      <c r="N33" s="290"/>
      <c r="O33" s="290"/>
      <c r="P33" s="343"/>
      <c r="Q33" s="340"/>
      <c r="R33" s="344"/>
      <c r="S33" s="341"/>
      <c r="T33" s="341"/>
      <c r="U33" s="341"/>
      <c r="V33" s="341"/>
      <c r="W33" s="341"/>
      <c r="X33" s="341"/>
      <c r="Y33" s="290"/>
      <c r="Z33" s="290"/>
      <c r="AA33" s="345"/>
      <c r="AB33" s="267"/>
      <c r="AC33" s="2"/>
      <c r="AD33" s="2"/>
      <c r="AE33" s="2"/>
      <c r="AF33" s="2"/>
      <c r="AG33" s="2"/>
      <c r="AH33" s="2"/>
      <c r="AI33" s="2"/>
      <c r="AJ33" s="2"/>
      <c r="AK33" s="2"/>
      <c r="AL33" s="2"/>
      <c r="AM33" s="2"/>
      <c r="AN33" s="2"/>
      <c r="AO33" s="2"/>
      <c r="AP33" s="2"/>
      <c r="AQ33" s="2"/>
      <c r="AR33" s="2"/>
      <c r="AS33" s="2"/>
      <c r="AT33" s="2"/>
      <c r="AU33" s="2"/>
      <c r="AV33" s="2"/>
      <c r="AW33" s="2"/>
      <c r="AX33" s="2"/>
      <c r="AY33" s="2"/>
      <c r="AZ33" s="2"/>
    </row>
    <row r="34" spans="2:52" s="235" customFormat="1" x14ac:dyDescent="0.25">
      <c r="B34" s="343"/>
      <c r="C34" s="340"/>
      <c r="D34" s="92"/>
      <c r="E34" s="341"/>
      <c r="F34" s="341"/>
      <c r="G34" s="341"/>
      <c r="H34" s="341"/>
      <c r="I34" s="341"/>
      <c r="J34" s="341"/>
      <c r="K34" s="290"/>
      <c r="L34" s="290"/>
      <c r="M34" s="290"/>
      <c r="N34" s="290"/>
      <c r="O34" s="290"/>
      <c r="P34" s="343"/>
      <c r="Q34" s="340"/>
      <c r="R34" s="92"/>
      <c r="S34" s="341"/>
      <c r="T34" s="341"/>
      <c r="U34" s="341"/>
      <c r="V34" s="341"/>
      <c r="W34" s="341"/>
      <c r="X34" s="341"/>
      <c r="Y34" s="290"/>
      <c r="Z34" s="290"/>
      <c r="AA34" s="345"/>
      <c r="AB34" s="267"/>
      <c r="AC34" s="2"/>
      <c r="AD34" s="2"/>
      <c r="AE34" s="2"/>
      <c r="AF34" s="2"/>
      <c r="AG34" s="2"/>
      <c r="AH34" s="2"/>
      <c r="AI34" s="2"/>
      <c r="AJ34" s="2"/>
      <c r="AK34" s="2"/>
      <c r="AL34" s="2"/>
      <c r="AM34" s="2"/>
      <c r="AN34" s="2"/>
      <c r="AO34" s="2"/>
      <c r="AP34" s="2"/>
      <c r="AQ34" s="2"/>
      <c r="AR34" s="2"/>
      <c r="AS34" s="2"/>
      <c r="AT34" s="2"/>
      <c r="AU34" s="2"/>
      <c r="AV34" s="2"/>
      <c r="AW34" s="2"/>
      <c r="AX34" s="2"/>
      <c r="AY34" s="2"/>
      <c r="AZ34" s="2"/>
    </row>
    <row r="35" spans="2:52" s="235" customFormat="1" ht="11" thickBot="1" x14ac:dyDescent="0.3">
      <c r="AA35" s="345"/>
      <c r="AB35" s="267"/>
      <c r="AC35" s="2"/>
      <c r="AD35" s="2"/>
      <c r="AE35" s="2"/>
      <c r="AF35" s="2"/>
      <c r="AG35" s="2"/>
      <c r="AH35" s="2"/>
      <c r="AI35" s="2"/>
      <c r="AJ35" s="2"/>
      <c r="AK35" s="2"/>
      <c r="AL35" s="2"/>
      <c r="AM35" s="2"/>
      <c r="AN35" s="2"/>
      <c r="AO35" s="2"/>
      <c r="AP35" s="2"/>
      <c r="AQ35" s="2"/>
      <c r="AR35" s="2"/>
      <c r="AS35" s="2"/>
      <c r="AT35" s="2"/>
      <c r="AU35" s="2"/>
      <c r="AV35" s="2"/>
      <c r="AW35" s="2"/>
      <c r="AX35" s="2"/>
      <c r="AY35" s="2"/>
      <c r="AZ35" s="2"/>
    </row>
    <row r="36" spans="2:52" ht="32" thickBot="1" x14ac:dyDescent="0.3">
      <c r="B36" s="311" t="s">
        <v>265</v>
      </c>
      <c r="C36" s="315"/>
      <c r="D36" s="313" t="s">
        <v>198</v>
      </c>
      <c r="E36" s="313" t="s">
        <v>199</v>
      </c>
      <c r="F36" s="313" t="s">
        <v>200</v>
      </c>
      <c r="G36" s="313" t="s">
        <v>201</v>
      </c>
      <c r="H36" s="313" t="s">
        <v>202</v>
      </c>
      <c r="I36" s="313" t="s">
        <v>203</v>
      </c>
      <c r="J36" s="313" t="s">
        <v>204</v>
      </c>
      <c r="K36" s="313" t="s">
        <v>215</v>
      </c>
      <c r="L36" s="314" t="s">
        <v>216</v>
      </c>
      <c r="M36" s="3" t="s">
        <v>266</v>
      </c>
      <c r="N36" s="1"/>
      <c r="P36" s="311" t="s">
        <v>265</v>
      </c>
      <c r="Q36" s="315"/>
      <c r="R36" s="313" t="s">
        <v>198</v>
      </c>
      <c r="S36" s="313" t="s">
        <v>199</v>
      </c>
      <c r="T36" s="313" t="s">
        <v>200</v>
      </c>
      <c r="U36" s="313" t="s">
        <v>201</v>
      </c>
      <c r="V36" s="313" t="s">
        <v>202</v>
      </c>
      <c r="W36" s="313" t="s">
        <v>203</v>
      </c>
      <c r="X36" s="313" t="s">
        <v>204</v>
      </c>
      <c r="Y36" s="313" t="s">
        <v>215</v>
      </c>
      <c r="Z36" s="314" t="s">
        <v>216</v>
      </c>
    </row>
    <row r="37" spans="2:52" x14ac:dyDescent="0.25">
      <c r="B37" s="320" t="s">
        <v>267</v>
      </c>
      <c r="C37" s="300" t="s">
        <v>268</v>
      </c>
      <c r="D37" s="624">
        <v>0.64124999999999999</v>
      </c>
      <c r="E37" s="301">
        <f>'Livestock GM'!DY41</f>
        <v>2561.6383333333329</v>
      </c>
      <c r="F37" s="301">
        <f>'Livestock GM'!DY40</f>
        <v>1219.8277777777776</v>
      </c>
      <c r="G37" s="301">
        <f>'Livestock GM'!DY24</f>
        <v>4487.3383333333331</v>
      </c>
      <c r="H37" s="301">
        <f>'Livestock GM'!DY23</f>
        <v>2136.8277777777776</v>
      </c>
      <c r="I37" s="301">
        <f>'Livestock GM'!DY38</f>
        <v>1925.7</v>
      </c>
      <c r="J37" s="301">
        <f>'Livestock GM'!DY37</f>
        <v>917</v>
      </c>
      <c r="K37" s="321">
        <f>'Livestock GM'!DY45</f>
        <v>2.1</v>
      </c>
      <c r="L37" s="329">
        <f>'Livestock GM'!DY53</f>
        <v>37.056666666666665</v>
      </c>
      <c r="M37" s="1" t="s">
        <v>269</v>
      </c>
      <c r="N37" s="1"/>
      <c r="P37" s="241" t="s">
        <v>267</v>
      </c>
      <c r="Q37" s="316" t="str">
        <f>C37</f>
        <v>Dairy Cows - Holstein</v>
      </c>
      <c r="R37" s="625">
        <v>0</v>
      </c>
      <c r="S37" s="317">
        <f>E37</f>
        <v>2561.6383333333329</v>
      </c>
      <c r="T37" s="317">
        <f t="shared" ref="T37:Z37" si="23">F37</f>
        <v>1219.8277777777776</v>
      </c>
      <c r="U37" s="317">
        <f t="shared" si="23"/>
        <v>4487.3383333333331</v>
      </c>
      <c r="V37" s="317">
        <f t="shared" si="23"/>
        <v>2136.8277777777776</v>
      </c>
      <c r="W37" s="317">
        <f t="shared" si="23"/>
        <v>1925.7</v>
      </c>
      <c r="X37" s="317">
        <f t="shared" si="23"/>
        <v>917</v>
      </c>
      <c r="Y37" s="318">
        <f t="shared" si="23"/>
        <v>2.1</v>
      </c>
      <c r="Z37" s="330">
        <f t="shared" si="23"/>
        <v>37.056666666666665</v>
      </c>
    </row>
    <row r="38" spans="2:52" x14ac:dyDescent="0.25">
      <c r="B38" s="320" t="s">
        <v>270</v>
      </c>
      <c r="C38" s="300" t="s">
        <v>271</v>
      </c>
      <c r="D38" s="627">
        <v>7.1249999999999994E-2</v>
      </c>
      <c r="E38" s="301">
        <f>'Livestock GM'!ED41</f>
        <v>3023.3791756854262</v>
      </c>
      <c r="F38" s="301">
        <f>'Livestock GM'!ED40</f>
        <v>1209.3516702741704</v>
      </c>
      <c r="G38" s="301">
        <f>'Livestock GM'!ED24</f>
        <v>4582.2791756854258</v>
      </c>
      <c r="H38" s="301">
        <f>'Livestock GM'!ED23</f>
        <v>1832.9116702741703</v>
      </c>
      <c r="I38" s="301">
        <f>'Livestock GM'!ED38</f>
        <v>1558.8999999999999</v>
      </c>
      <c r="J38" s="301">
        <f>'Livestock GM'!ED37</f>
        <v>623.55999999999995</v>
      </c>
      <c r="K38" s="321">
        <f>'Livestock GM'!ED45</f>
        <v>2.1749999999999998</v>
      </c>
      <c r="L38" s="329">
        <f>'Livestock GM'!ED53</f>
        <v>33.078533333333333</v>
      </c>
      <c r="M38" s="1" t="s">
        <v>272</v>
      </c>
      <c r="P38" s="320" t="s">
        <v>270</v>
      </c>
      <c r="Q38" s="300" t="str">
        <f t="shared" ref="Q38:Q43" si="24">C38</f>
        <v>Dairy Cows - Channel Island</v>
      </c>
      <c r="R38" s="627">
        <v>0</v>
      </c>
      <c r="S38" s="301">
        <f t="shared" ref="S38:S43" si="25">E38</f>
        <v>3023.3791756854262</v>
      </c>
      <c r="T38" s="301">
        <f t="shared" ref="T38:T43" si="26">F38</f>
        <v>1209.3516702741704</v>
      </c>
      <c r="U38" s="301">
        <f t="shared" ref="U38:U43" si="27">G38</f>
        <v>4582.2791756854258</v>
      </c>
      <c r="V38" s="301">
        <f t="shared" ref="V38:V43" si="28">H38</f>
        <v>1832.9116702741703</v>
      </c>
      <c r="W38" s="301">
        <f t="shared" ref="W38:W43" si="29">I38</f>
        <v>1558.8999999999999</v>
      </c>
      <c r="X38" s="301">
        <f t="shared" ref="X38:X43" si="30">J38</f>
        <v>623.55999999999995</v>
      </c>
      <c r="Y38" s="321">
        <f t="shared" ref="Y38:Y43" si="31">K38</f>
        <v>2.1749999999999998</v>
      </c>
      <c r="Z38" s="329">
        <f t="shared" ref="Z38:Z43" si="32">L38</f>
        <v>33.078533333333333</v>
      </c>
    </row>
    <row r="39" spans="2:52" x14ac:dyDescent="0.25">
      <c r="B39" s="320" t="s">
        <v>273</v>
      </c>
      <c r="C39" s="300" t="s">
        <v>274</v>
      </c>
      <c r="D39" s="627">
        <v>0.23749999999999999</v>
      </c>
      <c r="E39" s="301">
        <f>'Livestock GM'!F$50</f>
        <v>1117.4151519999998</v>
      </c>
      <c r="F39" s="301">
        <f>'Livestock GM'!F$49</f>
        <v>798.15367999999989</v>
      </c>
      <c r="G39" s="301">
        <f>'Livestock GM'!F$38</f>
        <v>1738.5899999999997</v>
      </c>
      <c r="H39" s="301">
        <f>'Livestock GM'!F$37</f>
        <v>1241.8499999999999</v>
      </c>
      <c r="I39" s="301">
        <f>'Livestock GM'!F$47</f>
        <v>621.174848</v>
      </c>
      <c r="J39" s="301">
        <f>'Livestock GM'!F$46</f>
        <v>443.69632000000001</v>
      </c>
      <c r="K39" s="321">
        <f>'Livestock GM'!F$10*'Livestock GM'!F$11</f>
        <v>0.83533333333333326</v>
      </c>
      <c r="L39" s="303">
        <f>'Livestock GM'!F$9</f>
        <v>15.673926400000001</v>
      </c>
      <c r="M39" s="93" t="s">
        <v>275</v>
      </c>
      <c r="P39" s="320" t="s">
        <v>273</v>
      </c>
      <c r="Q39" s="300" t="str">
        <f t="shared" si="24"/>
        <v>Dairy replacements – Holstein</v>
      </c>
      <c r="R39" s="627">
        <v>0</v>
      </c>
      <c r="S39" s="301">
        <f t="shared" si="25"/>
        <v>1117.4151519999998</v>
      </c>
      <c r="T39" s="301">
        <f t="shared" si="26"/>
        <v>798.15367999999989</v>
      </c>
      <c r="U39" s="301">
        <f t="shared" si="27"/>
        <v>1738.5899999999997</v>
      </c>
      <c r="V39" s="301">
        <f t="shared" si="28"/>
        <v>1241.8499999999999</v>
      </c>
      <c r="W39" s="301">
        <f t="shared" si="29"/>
        <v>621.174848</v>
      </c>
      <c r="X39" s="301">
        <f t="shared" si="30"/>
        <v>443.69632000000001</v>
      </c>
      <c r="Y39" s="321">
        <f t="shared" si="31"/>
        <v>0.83533333333333326</v>
      </c>
      <c r="Z39" s="329">
        <f t="shared" si="32"/>
        <v>15.673926400000001</v>
      </c>
    </row>
    <row r="40" spans="2:52" x14ac:dyDescent="0.25">
      <c r="B40" s="320" t="s">
        <v>232</v>
      </c>
      <c r="C40" s="300" t="s">
        <v>233</v>
      </c>
      <c r="D40" s="624">
        <v>0.05</v>
      </c>
      <c r="E40" s="301">
        <f>'Livestock GM'!P$50</f>
        <v>687.31499999999994</v>
      </c>
      <c r="F40" s="301">
        <f>'Livestock GM'!P$49</f>
        <v>229.10499999999999</v>
      </c>
      <c r="G40" s="301">
        <f>'Livestock GM'!P$38</f>
        <v>1002.765</v>
      </c>
      <c r="H40" s="301">
        <f>'Livestock GM'!P$37</f>
        <v>334.255</v>
      </c>
      <c r="I40" s="301">
        <f>'Livestock GM'!P$47</f>
        <v>315.45000000000005</v>
      </c>
      <c r="J40" s="301">
        <f>'Livestock GM'!P$46</f>
        <v>105.15</v>
      </c>
      <c r="K40" s="321">
        <f>'Livestock GM'!P$10*'Livestock GM'!P$11</f>
        <v>1.9500000000000002</v>
      </c>
      <c r="L40" s="303">
        <f>'Livestock GM'!P$9</f>
        <v>32.343000000000004</v>
      </c>
      <c r="M40" s="1"/>
      <c r="P40" s="320" t="s">
        <v>232</v>
      </c>
      <c r="Q40" s="300" t="str">
        <f t="shared" si="24"/>
        <v>18 to 20 month beef from dairy bred calves</v>
      </c>
      <c r="R40" s="624">
        <v>0</v>
      </c>
      <c r="S40" s="301">
        <f t="shared" si="25"/>
        <v>687.31499999999994</v>
      </c>
      <c r="T40" s="301">
        <f t="shared" si="26"/>
        <v>229.10499999999999</v>
      </c>
      <c r="U40" s="301">
        <f t="shared" si="27"/>
        <v>1002.765</v>
      </c>
      <c r="V40" s="301">
        <f t="shared" si="28"/>
        <v>334.255</v>
      </c>
      <c r="W40" s="301">
        <f t="shared" si="29"/>
        <v>315.45000000000005</v>
      </c>
      <c r="X40" s="301">
        <f t="shared" si="30"/>
        <v>105.15</v>
      </c>
      <c r="Y40" s="321">
        <f t="shared" si="31"/>
        <v>1.9500000000000002</v>
      </c>
      <c r="Z40" s="329">
        <f t="shared" si="32"/>
        <v>32.343000000000004</v>
      </c>
    </row>
    <row r="41" spans="2:52" x14ac:dyDescent="0.25">
      <c r="B41" s="320" t="s">
        <v>276</v>
      </c>
      <c r="C41" s="300" t="s">
        <v>277</v>
      </c>
      <c r="D41" s="624">
        <v>0</v>
      </c>
      <c r="E41" s="301" t="e">
        <f>'Livestock GM'!CZ$50</f>
        <v>#DIV/0!</v>
      </c>
      <c r="F41" s="301" t="e">
        <f>'Livestock GM'!CZ$49</f>
        <v>#DIV/0!</v>
      </c>
      <c r="G41" s="301">
        <f>'Livestock GM'!CZ$38</f>
        <v>2139</v>
      </c>
      <c r="H41" s="301">
        <f>'Livestock GM'!CZ$37</f>
        <v>2139</v>
      </c>
      <c r="I41" s="301" t="e">
        <f>'Livestock GM'!CZ$47</f>
        <v>#DIV/0!</v>
      </c>
      <c r="J41" s="301" t="e">
        <f>'Livestock GM'!CZ$46</f>
        <v>#DIV/0!</v>
      </c>
      <c r="K41" s="321">
        <f>'Livestock GM'!CZ$10*'Livestock GM'!CZ$11</f>
        <v>1</v>
      </c>
      <c r="L41" s="303" t="e">
        <f>'Livestock GM'!CZ$9</f>
        <v>#DIV/0!</v>
      </c>
      <c r="M41" s="1"/>
      <c r="P41" s="320" t="str">
        <f>B41</f>
        <v>CZ</v>
      </c>
      <c r="Q41" s="300" t="str">
        <f t="shared" si="24"/>
        <v>Agroecological dairy cows</v>
      </c>
      <c r="R41" s="624">
        <v>0.65</v>
      </c>
      <c r="S41" s="301" t="e">
        <f t="shared" si="25"/>
        <v>#DIV/0!</v>
      </c>
      <c r="T41" s="301" t="e">
        <f t="shared" si="26"/>
        <v>#DIV/0!</v>
      </c>
      <c r="U41" s="301">
        <f t="shared" si="27"/>
        <v>2139</v>
      </c>
      <c r="V41" s="301">
        <f t="shared" si="28"/>
        <v>2139</v>
      </c>
      <c r="W41" s="301" t="e">
        <f t="shared" si="29"/>
        <v>#DIV/0!</v>
      </c>
      <c r="X41" s="301" t="e">
        <f t="shared" si="30"/>
        <v>#DIV/0!</v>
      </c>
      <c r="Y41" s="321">
        <f t="shared" si="31"/>
        <v>1</v>
      </c>
      <c r="Z41" s="329" t="e">
        <f t="shared" si="32"/>
        <v>#DIV/0!</v>
      </c>
    </row>
    <row r="42" spans="2:52" x14ac:dyDescent="0.25">
      <c r="B42" s="320" t="s">
        <v>278</v>
      </c>
      <c r="C42" s="300" t="s">
        <v>279</v>
      </c>
      <c r="D42" s="624">
        <v>0</v>
      </c>
      <c r="E42" s="301" t="e">
        <f>'Livestock GM'!DC$50</f>
        <v>#DIV/0!</v>
      </c>
      <c r="F42" s="301" t="e">
        <f>'Livestock GM'!DC$49</f>
        <v>#DIV/0!</v>
      </c>
      <c r="G42" s="301">
        <f>'Livestock GM'!DC$38</f>
        <v>1942.4999999999998</v>
      </c>
      <c r="H42" s="301">
        <f>'Livestock GM'!DC$37</f>
        <v>1387.5</v>
      </c>
      <c r="I42" s="301" t="e">
        <f>'Livestock GM'!DC$47</f>
        <v>#DIV/0!</v>
      </c>
      <c r="J42" s="301" t="e">
        <f>'Livestock GM'!DC$46</f>
        <v>#DIV/0!</v>
      </c>
      <c r="K42" s="321">
        <f>'Livestock GM'!DC$10*'Livestock GM'!DC$11</f>
        <v>0.83533333333333326</v>
      </c>
      <c r="L42" s="303" t="e">
        <f>'Livestock GM'!DC$9</f>
        <v>#DIV/0!</v>
      </c>
      <c r="M42" s="1"/>
      <c r="P42" s="320" t="str">
        <f t="shared" ref="P42:P43" si="33">B42</f>
        <v>DC</v>
      </c>
      <c r="Q42" s="300" t="str">
        <f t="shared" si="24"/>
        <v>Agroecological dairy replacements</v>
      </c>
      <c r="R42" s="624">
        <v>0.15</v>
      </c>
      <c r="S42" s="301" t="e">
        <f t="shared" si="25"/>
        <v>#DIV/0!</v>
      </c>
      <c r="T42" s="301" t="e">
        <f t="shared" si="26"/>
        <v>#DIV/0!</v>
      </c>
      <c r="U42" s="301">
        <f t="shared" si="27"/>
        <v>1942.4999999999998</v>
      </c>
      <c r="V42" s="301">
        <f t="shared" si="28"/>
        <v>1387.5</v>
      </c>
      <c r="W42" s="301" t="e">
        <f t="shared" si="29"/>
        <v>#DIV/0!</v>
      </c>
      <c r="X42" s="301" t="e">
        <f t="shared" si="30"/>
        <v>#DIV/0!</v>
      </c>
      <c r="Y42" s="321">
        <f t="shared" si="31"/>
        <v>0.83533333333333326</v>
      </c>
      <c r="Z42" s="329" t="e">
        <f t="shared" si="32"/>
        <v>#DIV/0!</v>
      </c>
    </row>
    <row r="43" spans="2:52" x14ac:dyDescent="0.25">
      <c r="B43" s="320" t="s">
        <v>236</v>
      </c>
      <c r="C43" s="300" t="s">
        <v>237</v>
      </c>
      <c r="D43" s="624">
        <v>0</v>
      </c>
      <c r="E43" s="301">
        <f t="shared" ref="E43:L43" si="34">E12</f>
        <v>918.85473684210535</v>
      </c>
      <c r="F43" s="301">
        <f t="shared" si="34"/>
        <v>717.8552631578948</v>
      </c>
      <c r="G43" s="301">
        <f t="shared" si="34"/>
        <v>1280</v>
      </c>
      <c r="H43" s="301">
        <f t="shared" si="34"/>
        <v>1000</v>
      </c>
      <c r="I43" s="301">
        <f t="shared" si="34"/>
        <v>361.14526315789476</v>
      </c>
      <c r="J43" s="301">
        <f t="shared" si="34"/>
        <v>282.14473684210526</v>
      </c>
      <c r="K43" s="321">
        <f t="shared" si="34"/>
        <v>0.96</v>
      </c>
      <c r="L43" s="329">
        <f t="shared" si="34"/>
        <v>27.502894736842105</v>
      </c>
      <c r="M43" s="1"/>
      <c r="P43" s="320" t="str">
        <f t="shared" si="33"/>
        <v>DL</v>
      </c>
      <c r="Q43" s="300" t="str">
        <f t="shared" si="24"/>
        <v>Agroecological beef finishers</v>
      </c>
      <c r="R43" s="624">
        <v>0.2</v>
      </c>
      <c r="S43" s="301">
        <f t="shared" si="25"/>
        <v>918.85473684210535</v>
      </c>
      <c r="T43" s="301">
        <f t="shared" si="26"/>
        <v>717.8552631578948</v>
      </c>
      <c r="U43" s="301">
        <f t="shared" si="27"/>
        <v>1280</v>
      </c>
      <c r="V43" s="301">
        <f t="shared" si="28"/>
        <v>1000</v>
      </c>
      <c r="W43" s="301">
        <f t="shared" si="29"/>
        <v>361.14526315789476</v>
      </c>
      <c r="X43" s="301">
        <f t="shared" si="30"/>
        <v>282.14473684210526</v>
      </c>
      <c r="Y43" s="321">
        <f t="shared" si="31"/>
        <v>0.96</v>
      </c>
      <c r="Z43" s="329">
        <f t="shared" si="32"/>
        <v>27.502894736842105</v>
      </c>
    </row>
    <row r="44" spans="2:52" ht="11" thickBot="1" x14ac:dyDescent="0.3">
      <c r="B44" s="320"/>
      <c r="C44" s="300"/>
      <c r="D44" s="72"/>
      <c r="E44" s="301"/>
      <c r="F44" s="301"/>
      <c r="G44" s="301"/>
      <c r="H44" s="301"/>
      <c r="I44" s="301"/>
      <c r="J44" s="301"/>
      <c r="K44" s="321"/>
      <c r="L44" s="303"/>
      <c r="M44" s="1"/>
      <c r="P44" s="334"/>
      <c r="Q44" s="331"/>
      <c r="R44" s="335"/>
      <c r="S44" s="336"/>
      <c r="T44" s="336"/>
      <c r="U44" s="336"/>
      <c r="V44" s="336"/>
      <c r="W44" s="336"/>
      <c r="X44" s="336"/>
      <c r="Y44" s="336"/>
      <c r="Z44" s="337"/>
      <c r="AB44" s="347" t="s">
        <v>280</v>
      </c>
    </row>
    <row r="45" spans="2:52" ht="11" thickBot="1" x14ac:dyDescent="0.3">
      <c r="B45" s="328"/>
      <c r="C45" s="307" t="s">
        <v>246</v>
      </c>
      <c r="D45" s="308">
        <f>SUM(D37:D44)</f>
        <v>1</v>
      </c>
      <c r="E45" s="309" t="e">
        <f>SUMPRODUCT($D$37:$D$44,E37:E44)</f>
        <v>#DIV/0!</v>
      </c>
      <c r="F45" s="309"/>
      <c r="G45" s="309">
        <f>SUMPRODUCT($D$37:$D$44,G37:G44)</f>
        <v>3667.0464725175866</v>
      </c>
      <c r="H45" s="309"/>
      <c r="I45" s="309" t="e">
        <f t="shared" ref="I45:L45" si="35">SUMPRODUCT($D$37:$D$44,I37:I44)</f>
        <v>#DIV/0!</v>
      </c>
      <c r="J45" s="309"/>
      <c r="K45" s="309">
        <f t="shared" si="35"/>
        <v>1.7974854166666663</v>
      </c>
      <c r="L45" s="310" t="e">
        <f t="shared" si="35"/>
        <v>#DIV/0!</v>
      </c>
      <c r="M45" s="1"/>
      <c r="P45" s="328"/>
      <c r="Q45" s="307" t="s">
        <v>246</v>
      </c>
      <c r="R45" s="308">
        <f>SUM(R37:R44)</f>
        <v>1</v>
      </c>
      <c r="S45" s="338" t="e">
        <f>SUMPRODUCT($R$37:$R$43,S37:S43)</f>
        <v>#DIV/0!</v>
      </c>
      <c r="T45" s="338"/>
      <c r="U45" s="338">
        <f t="shared" ref="U45:Z45" si="36">SUMPRODUCT($R$37:$R$43,U37:U43)</f>
        <v>1937.7250000000001</v>
      </c>
      <c r="V45" s="338"/>
      <c r="W45" s="338" t="e">
        <f t="shared" si="36"/>
        <v>#DIV/0!</v>
      </c>
      <c r="X45" s="338"/>
      <c r="Y45" s="309">
        <f t="shared" si="36"/>
        <v>0.96730000000000005</v>
      </c>
      <c r="Z45" s="310" t="e">
        <f t="shared" si="36"/>
        <v>#DIV/0!</v>
      </c>
      <c r="AB45" s="347" t="s">
        <v>281</v>
      </c>
    </row>
    <row r="46" spans="2:52" s="235" customFormat="1" x14ac:dyDescent="0.25">
      <c r="B46" s="343"/>
      <c r="C46" s="340"/>
      <c r="D46" s="92"/>
      <c r="E46" s="341"/>
      <c r="F46" s="341"/>
      <c r="G46" s="341"/>
      <c r="H46" s="341"/>
      <c r="I46" s="341"/>
      <c r="J46" s="341"/>
      <c r="K46" s="290"/>
      <c r="L46" s="290"/>
      <c r="M46" s="290"/>
      <c r="AA46" s="345"/>
      <c r="AB46" s="267"/>
      <c r="AC46" s="2"/>
      <c r="AD46" s="2"/>
      <c r="AE46" s="2"/>
      <c r="AF46" s="2"/>
      <c r="AG46" s="2"/>
      <c r="AH46" s="2"/>
      <c r="AI46" s="2"/>
      <c r="AJ46" s="2"/>
      <c r="AK46" s="2"/>
      <c r="AL46" s="2"/>
      <c r="AM46" s="2"/>
      <c r="AN46" s="2"/>
      <c r="AO46" s="2"/>
      <c r="AP46" s="2"/>
      <c r="AQ46" s="2"/>
      <c r="AR46" s="2"/>
      <c r="AS46" s="2"/>
      <c r="AT46" s="2"/>
      <c r="AU46" s="2"/>
      <c r="AV46" s="2"/>
      <c r="AW46" s="2"/>
      <c r="AX46" s="2"/>
      <c r="AY46" s="2"/>
      <c r="AZ46" s="2"/>
    </row>
    <row r="47" spans="2:52" s="235" customFormat="1" x14ac:dyDescent="0.25">
      <c r="B47" s="343"/>
      <c r="C47" s="340"/>
      <c r="D47" s="92"/>
      <c r="E47" s="341"/>
      <c r="F47" s="341"/>
      <c r="G47" s="341"/>
      <c r="H47" s="341"/>
      <c r="I47" s="341"/>
      <c r="J47" s="341"/>
      <c r="K47" s="290"/>
      <c r="L47" s="290"/>
      <c r="M47" s="290"/>
      <c r="AA47" s="345"/>
      <c r="AB47" s="267"/>
      <c r="AC47" s="2"/>
      <c r="AD47" s="2"/>
      <c r="AE47" s="2"/>
      <c r="AF47" s="2"/>
      <c r="AG47" s="2"/>
      <c r="AH47" s="2"/>
      <c r="AI47" s="2"/>
      <c r="AJ47" s="2"/>
      <c r="AK47" s="2"/>
      <c r="AL47" s="2"/>
      <c r="AM47" s="2"/>
      <c r="AN47" s="2"/>
      <c r="AO47" s="2"/>
      <c r="AP47" s="2"/>
      <c r="AQ47" s="2"/>
      <c r="AR47" s="2"/>
      <c r="AS47" s="2"/>
      <c r="AT47" s="2"/>
      <c r="AU47" s="2"/>
      <c r="AV47" s="2"/>
      <c r="AW47" s="2"/>
      <c r="AX47" s="2"/>
      <c r="AY47" s="2"/>
      <c r="AZ47" s="2"/>
    </row>
    <row r="48" spans="2:52" s="235" customFormat="1" x14ac:dyDescent="0.25">
      <c r="AA48" s="345"/>
      <c r="AB48" s="267"/>
      <c r="AC48" s="2"/>
      <c r="AD48" s="2"/>
      <c r="AE48" s="2"/>
      <c r="AF48" s="2"/>
      <c r="AG48" s="2"/>
      <c r="AH48" s="2"/>
      <c r="AI48" s="2"/>
      <c r="AJ48" s="2"/>
      <c r="AK48" s="2"/>
      <c r="AL48" s="2"/>
      <c r="AM48" s="2"/>
      <c r="AN48" s="2"/>
      <c r="AO48" s="2"/>
      <c r="AP48" s="2"/>
      <c r="AQ48" s="2"/>
      <c r="AR48" s="2"/>
      <c r="AS48" s="2"/>
      <c r="AT48" s="2"/>
      <c r="AU48" s="2"/>
      <c r="AV48" s="2"/>
      <c r="AW48" s="2"/>
      <c r="AX48" s="2"/>
      <c r="AY48" s="2"/>
      <c r="AZ48" s="2"/>
    </row>
    <row r="49" spans="2:52" s="235" customFormat="1" x14ac:dyDescent="0.25">
      <c r="B49" s="237"/>
      <c r="C49" s="237"/>
      <c r="AA49" s="345"/>
      <c r="AB49" s="267"/>
      <c r="AC49" s="2"/>
      <c r="AD49" s="2"/>
      <c r="AE49" s="2"/>
      <c r="AF49" s="2"/>
      <c r="AG49" s="2"/>
      <c r="AH49" s="2"/>
      <c r="AI49" s="2"/>
      <c r="AJ49" s="2"/>
      <c r="AK49" s="2"/>
      <c r="AL49" s="2"/>
      <c r="AM49" s="2"/>
      <c r="AN49" s="2"/>
      <c r="AO49" s="2"/>
      <c r="AP49" s="2"/>
      <c r="AQ49" s="2"/>
      <c r="AR49" s="2"/>
      <c r="AS49" s="2"/>
      <c r="AT49" s="2"/>
      <c r="AU49" s="2"/>
      <c r="AV49" s="2"/>
      <c r="AW49" s="2"/>
      <c r="AX49" s="2"/>
      <c r="AY49" s="2"/>
      <c r="AZ49" s="2"/>
    </row>
    <row r="50" spans="2:52" s="235" customFormat="1" x14ac:dyDescent="0.25">
      <c r="AA50" s="345"/>
      <c r="AB50" s="267"/>
      <c r="AC50" s="2"/>
      <c r="AD50" s="2"/>
      <c r="AE50" s="2"/>
      <c r="AF50" s="2"/>
      <c r="AG50" s="2"/>
      <c r="AH50" s="2"/>
      <c r="AI50" s="2"/>
      <c r="AJ50" s="2"/>
      <c r="AK50" s="2"/>
      <c r="AL50" s="2"/>
      <c r="AM50" s="2"/>
      <c r="AN50" s="2"/>
      <c r="AO50" s="2"/>
      <c r="AP50" s="2"/>
      <c r="AQ50" s="2"/>
      <c r="AR50" s="2"/>
      <c r="AS50" s="2"/>
      <c r="AT50" s="2"/>
      <c r="AU50" s="2"/>
      <c r="AV50" s="2"/>
      <c r="AW50" s="2"/>
      <c r="AX50" s="2"/>
      <c r="AY50" s="2"/>
      <c r="AZ50" s="2"/>
    </row>
    <row r="51" spans="2:52" s="235" customFormat="1" x14ac:dyDescent="0.25">
      <c r="D51" s="645"/>
      <c r="AA51" s="345"/>
      <c r="AB51" s="267"/>
      <c r="AC51" s="2"/>
      <c r="AD51" s="2"/>
      <c r="AE51" s="2"/>
      <c r="AF51" s="2"/>
      <c r="AG51" s="2"/>
      <c r="AH51" s="2"/>
      <c r="AI51" s="2"/>
      <c r="AJ51" s="2"/>
      <c r="AK51" s="2"/>
      <c r="AL51" s="2"/>
      <c r="AM51" s="2"/>
      <c r="AN51" s="2"/>
      <c r="AO51" s="2"/>
      <c r="AP51" s="2"/>
      <c r="AQ51" s="2"/>
      <c r="AR51" s="2"/>
      <c r="AS51" s="2"/>
      <c r="AT51" s="2"/>
      <c r="AU51" s="2"/>
      <c r="AV51" s="2"/>
      <c r="AW51" s="2"/>
      <c r="AX51" s="2"/>
      <c r="AY51" s="2"/>
      <c r="AZ51" s="2"/>
    </row>
    <row r="52" spans="2:52" s="235" customFormat="1" x14ac:dyDescent="0.25">
      <c r="AA52" s="345"/>
      <c r="AB52" s="267"/>
      <c r="AC52" s="2"/>
      <c r="AD52" s="2"/>
      <c r="AE52" s="2"/>
      <c r="AF52" s="2"/>
      <c r="AG52" s="2"/>
      <c r="AH52" s="2"/>
      <c r="AI52" s="2"/>
      <c r="AJ52" s="2"/>
      <c r="AK52" s="2"/>
      <c r="AL52" s="2"/>
      <c r="AM52" s="2"/>
      <c r="AN52" s="2"/>
      <c r="AO52" s="2"/>
      <c r="AP52" s="2"/>
      <c r="AQ52" s="2"/>
      <c r="AR52" s="2"/>
      <c r="AS52" s="2"/>
      <c r="AT52" s="2"/>
      <c r="AU52" s="2"/>
      <c r="AV52" s="2"/>
      <c r="AW52" s="2"/>
      <c r="AX52" s="2"/>
      <c r="AY52" s="2"/>
      <c r="AZ52" s="2"/>
    </row>
    <row r="53" spans="2:52" s="235" customFormat="1" x14ac:dyDescent="0.25">
      <c r="D53" s="645"/>
      <c r="AA53" s="345"/>
      <c r="AB53" s="267"/>
      <c r="AC53" s="2"/>
      <c r="AD53" s="2"/>
      <c r="AE53" s="2"/>
      <c r="AF53" s="2"/>
      <c r="AG53" s="2"/>
      <c r="AH53" s="2"/>
      <c r="AI53" s="2"/>
      <c r="AJ53" s="2"/>
      <c r="AK53" s="2"/>
      <c r="AL53" s="2"/>
      <c r="AM53" s="2"/>
      <c r="AN53" s="2"/>
      <c r="AO53" s="2"/>
      <c r="AP53" s="2"/>
      <c r="AQ53" s="2"/>
      <c r="AR53" s="2"/>
      <c r="AS53" s="2"/>
      <c r="AT53" s="2"/>
      <c r="AU53" s="2"/>
      <c r="AV53" s="2"/>
      <c r="AW53" s="2"/>
      <c r="AX53" s="2"/>
      <c r="AY53" s="2"/>
      <c r="AZ53" s="2"/>
    </row>
    <row r="54" spans="2:52" s="235" customFormat="1" x14ac:dyDescent="0.25">
      <c r="D54" s="645"/>
      <c r="AA54" s="345"/>
      <c r="AB54" s="267"/>
      <c r="AC54" s="2"/>
      <c r="AD54" s="2"/>
      <c r="AE54" s="2"/>
      <c r="AF54" s="2"/>
      <c r="AG54" s="2"/>
      <c r="AH54" s="2"/>
      <c r="AI54" s="2"/>
      <c r="AJ54" s="2"/>
      <c r="AK54" s="2"/>
      <c r="AL54" s="2"/>
      <c r="AM54" s="2"/>
      <c r="AN54" s="2"/>
      <c r="AO54" s="2"/>
      <c r="AP54" s="2"/>
      <c r="AQ54" s="2"/>
      <c r="AR54" s="2"/>
      <c r="AS54" s="2"/>
      <c r="AT54" s="2"/>
      <c r="AU54" s="2"/>
      <c r="AV54" s="2"/>
      <c r="AW54" s="2"/>
      <c r="AX54" s="2"/>
      <c r="AY54" s="2"/>
      <c r="AZ54" s="2"/>
    </row>
    <row r="55" spans="2:52" s="235" customFormat="1" x14ac:dyDescent="0.25">
      <c r="D55" s="645"/>
      <c r="AA55" s="345"/>
      <c r="AB55" s="267"/>
      <c r="AC55" s="2"/>
      <c r="AD55" s="2"/>
      <c r="AE55" s="2"/>
      <c r="AF55" s="2"/>
      <c r="AG55" s="2"/>
      <c r="AH55" s="2"/>
      <c r="AI55" s="2"/>
      <c r="AJ55" s="2"/>
      <c r="AK55" s="2"/>
      <c r="AL55" s="2"/>
      <c r="AM55" s="2"/>
      <c r="AN55" s="2"/>
      <c r="AO55" s="2"/>
      <c r="AP55" s="2"/>
      <c r="AQ55" s="2"/>
      <c r="AR55" s="2"/>
      <c r="AS55" s="2"/>
      <c r="AT55" s="2"/>
      <c r="AU55" s="2"/>
      <c r="AV55" s="2"/>
      <c r="AW55" s="2"/>
      <c r="AX55" s="2"/>
      <c r="AY55" s="2"/>
      <c r="AZ55" s="2"/>
    </row>
    <row r="56" spans="2:52" s="235" customFormat="1" x14ac:dyDescent="0.25">
      <c r="AA56" s="345"/>
      <c r="AB56" s="267"/>
      <c r="AC56" s="2"/>
      <c r="AD56" s="2"/>
      <c r="AE56" s="2"/>
      <c r="AF56" s="2"/>
      <c r="AG56" s="2"/>
      <c r="AH56" s="2"/>
      <c r="AI56" s="2"/>
      <c r="AJ56" s="2"/>
      <c r="AK56" s="2"/>
      <c r="AL56" s="2"/>
      <c r="AM56" s="2"/>
      <c r="AN56" s="2"/>
      <c r="AO56" s="2"/>
      <c r="AP56" s="2"/>
      <c r="AQ56" s="2"/>
      <c r="AR56" s="2"/>
      <c r="AS56" s="2"/>
      <c r="AT56" s="2"/>
      <c r="AU56" s="2"/>
      <c r="AV56" s="2"/>
      <c r="AW56" s="2"/>
      <c r="AX56" s="2"/>
      <c r="AY56" s="2"/>
      <c r="AZ56" s="2"/>
    </row>
    <row r="57" spans="2:52" s="235" customFormat="1" x14ac:dyDescent="0.25">
      <c r="AA57" s="345"/>
      <c r="AB57" s="267"/>
      <c r="AC57" s="2"/>
      <c r="AD57" s="2"/>
      <c r="AE57" s="2"/>
      <c r="AF57" s="2"/>
      <c r="AG57" s="2"/>
      <c r="AH57" s="2"/>
      <c r="AI57" s="2"/>
      <c r="AJ57" s="2"/>
      <c r="AK57" s="2"/>
      <c r="AL57" s="2"/>
      <c r="AM57" s="2"/>
      <c r="AN57" s="2"/>
      <c r="AO57" s="2"/>
      <c r="AP57" s="2"/>
      <c r="AQ57" s="2"/>
      <c r="AR57" s="2"/>
      <c r="AS57" s="2"/>
      <c r="AT57" s="2"/>
      <c r="AU57" s="2"/>
      <c r="AV57" s="2"/>
      <c r="AW57" s="2"/>
      <c r="AX57" s="2"/>
      <c r="AY57" s="2"/>
      <c r="AZ57" s="2"/>
    </row>
    <row r="58" spans="2:52" s="235" customFormat="1" x14ac:dyDescent="0.25">
      <c r="AA58" s="345"/>
      <c r="AB58" s="267"/>
      <c r="AC58" s="2"/>
      <c r="AD58" s="2"/>
      <c r="AE58" s="2"/>
      <c r="AF58" s="2"/>
      <c r="AG58" s="2"/>
      <c r="AH58" s="2"/>
      <c r="AI58" s="2"/>
      <c r="AJ58" s="2"/>
      <c r="AK58" s="2"/>
      <c r="AL58" s="2"/>
      <c r="AM58" s="2"/>
      <c r="AN58" s="2"/>
      <c r="AO58" s="2"/>
      <c r="AP58" s="2"/>
      <c r="AQ58" s="2"/>
      <c r="AR58" s="2"/>
      <c r="AS58" s="2"/>
      <c r="AT58" s="2"/>
      <c r="AU58" s="2"/>
      <c r="AV58" s="2"/>
      <c r="AW58" s="2"/>
      <c r="AX58" s="2"/>
      <c r="AY58" s="2"/>
      <c r="AZ58" s="2"/>
    </row>
    <row r="59" spans="2:52" s="235" customFormat="1" x14ac:dyDescent="0.25">
      <c r="AA59" s="345"/>
      <c r="AB59" s="267"/>
      <c r="AC59" s="2"/>
      <c r="AD59" s="2"/>
      <c r="AE59" s="2"/>
      <c r="AF59" s="2"/>
      <c r="AG59" s="2"/>
      <c r="AH59" s="2"/>
      <c r="AI59" s="2"/>
      <c r="AJ59" s="2"/>
      <c r="AK59" s="2"/>
      <c r="AL59" s="2"/>
      <c r="AM59" s="2"/>
      <c r="AN59" s="2"/>
      <c r="AO59" s="2"/>
      <c r="AP59" s="2"/>
      <c r="AQ59" s="2"/>
      <c r="AR59" s="2"/>
      <c r="AS59" s="2"/>
      <c r="AT59" s="2"/>
      <c r="AU59" s="2"/>
      <c r="AV59" s="2"/>
      <c r="AW59" s="2"/>
      <c r="AX59" s="2"/>
      <c r="AY59" s="2"/>
      <c r="AZ59" s="2"/>
    </row>
    <row r="60" spans="2:52" s="235" customFormat="1" x14ac:dyDescent="0.25">
      <c r="AA60" s="345"/>
      <c r="AB60" s="267"/>
      <c r="AC60" s="2"/>
      <c r="AD60" s="2"/>
      <c r="AE60" s="2"/>
      <c r="AF60" s="2"/>
      <c r="AG60" s="2"/>
      <c r="AH60" s="2"/>
      <c r="AI60" s="2"/>
      <c r="AJ60" s="2"/>
      <c r="AK60" s="2"/>
      <c r="AL60" s="2"/>
      <c r="AM60" s="2"/>
      <c r="AN60" s="2"/>
      <c r="AO60" s="2"/>
      <c r="AP60" s="2"/>
      <c r="AQ60" s="2"/>
      <c r="AR60" s="2"/>
      <c r="AS60" s="2"/>
      <c r="AT60" s="2"/>
      <c r="AU60" s="2"/>
      <c r="AV60" s="2"/>
      <c r="AW60" s="2"/>
      <c r="AX60" s="2"/>
      <c r="AY60" s="2"/>
      <c r="AZ60" s="2"/>
    </row>
    <row r="61" spans="2:52" s="235" customFormat="1" x14ac:dyDescent="0.25">
      <c r="AA61" s="345"/>
      <c r="AB61" s="267"/>
      <c r="AC61" s="2"/>
      <c r="AD61" s="2"/>
      <c r="AE61" s="2"/>
      <c r="AF61" s="2"/>
      <c r="AG61" s="2"/>
      <c r="AH61" s="2"/>
      <c r="AI61" s="2"/>
      <c r="AJ61" s="2"/>
      <c r="AK61" s="2"/>
      <c r="AL61" s="2"/>
      <c r="AM61" s="2"/>
      <c r="AN61" s="2"/>
    </row>
    <row r="62" spans="2:52" s="235" customFormat="1" x14ac:dyDescent="0.25">
      <c r="AA62" s="345"/>
      <c r="AB62" s="267"/>
      <c r="AC62" s="2"/>
      <c r="AD62" s="2"/>
      <c r="AE62" s="2"/>
      <c r="AF62" s="2"/>
      <c r="AG62" s="2"/>
      <c r="AH62" s="2"/>
      <c r="AI62" s="2"/>
      <c r="AJ62" s="2"/>
      <c r="AK62" s="2"/>
      <c r="AL62" s="2"/>
      <c r="AM62" s="2"/>
      <c r="AN62" s="2"/>
    </row>
    <row r="63" spans="2:52" s="235" customFormat="1" x14ac:dyDescent="0.25">
      <c r="AA63" s="345"/>
      <c r="AB63" s="267"/>
      <c r="AC63" s="2"/>
      <c r="AD63" s="2"/>
      <c r="AE63" s="2"/>
      <c r="AF63" s="2"/>
      <c r="AG63" s="2"/>
      <c r="AH63" s="2"/>
      <c r="AI63" s="2"/>
      <c r="AJ63" s="2"/>
      <c r="AK63" s="2"/>
      <c r="AL63" s="2"/>
      <c r="AM63" s="2"/>
      <c r="AN63" s="2"/>
    </row>
    <row r="64" spans="2:52" s="235" customFormat="1" x14ac:dyDescent="0.25">
      <c r="AA64" s="345"/>
      <c r="AB64" s="267"/>
      <c r="AC64" s="2"/>
      <c r="AD64" s="2"/>
      <c r="AE64" s="2"/>
      <c r="AF64" s="2"/>
      <c r="AG64" s="2"/>
      <c r="AH64" s="2"/>
      <c r="AI64" s="2"/>
      <c r="AJ64" s="2"/>
      <c r="AK64" s="2"/>
      <c r="AL64" s="2"/>
      <c r="AM64" s="2"/>
      <c r="AN64" s="2"/>
    </row>
    <row r="65" spans="27:40" s="235" customFormat="1" x14ac:dyDescent="0.25">
      <c r="AA65" s="345"/>
      <c r="AB65" s="267"/>
      <c r="AC65" s="2"/>
      <c r="AD65" s="2"/>
      <c r="AE65" s="2"/>
      <c r="AF65" s="2"/>
      <c r="AG65" s="2"/>
      <c r="AH65" s="2"/>
      <c r="AI65" s="2"/>
      <c r="AJ65" s="2"/>
      <c r="AK65" s="2"/>
      <c r="AL65" s="2"/>
      <c r="AM65" s="2"/>
      <c r="AN65" s="2"/>
    </row>
    <row r="66" spans="27:40" s="235" customFormat="1" x14ac:dyDescent="0.25">
      <c r="AA66" s="345"/>
      <c r="AB66" s="267"/>
      <c r="AC66" s="2"/>
      <c r="AD66" s="2"/>
      <c r="AE66" s="2"/>
      <c r="AF66" s="2"/>
      <c r="AG66" s="2"/>
      <c r="AH66" s="2"/>
      <c r="AI66" s="2"/>
      <c r="AJ66" s="2"/>
      <c r="AK66" s="2"/>
      <c r="AL66" s="2"/>
      <c r="AM66" s="2"/>
      <c r="AN66" s="2"/>
    </row>
    <row r="67" spans="27:40" s="235" customFormat="1" x14ac:dyDescent="0.25">
      <c r="AA67" s="345"/>
      <c r="AB67" s="267"/>
      <c r="AC67" s="2"/>
      <c r="AD67" s="2"/>
      <c r="AE67" s="2"/>
      <c r="AF67" s="2"/>
      <c r="AG67" s="2"/>
      <c r="AH67" s="2"/>
      <c r="AI67" s="2"/>
      <c r="AJ67" s="2"/>
      <c r="AK67" s="2"/>
      <c r="AL67" s="2"/>
      <c r="AM67" s="2"/>
      <c r="AN67" s="2"/>
    </row>
    <row r="68" spans="27:40" s="235" customFormat="1" x14ac:dyDescent="0.25">
      <c r="AA68" s="345"/>
      <c r="AB68" s="267"/>
      <c r="AC68" s="2"/>
      <c r="AD68" s="2"/>
      <c r="AE68" s="2"/>
      <c r="AF68" s="2"/>
      <c r="AG68" s="2"/>
      <c r="AH68" s="2"/>
      <c r="AI68" s="2"/>
      <c r="AJ68" s="2"/>
      <c r="AK68" s="2"/>
      <c r="AL68" s="2"/>
      <c r="AM68" s="2"/>
      <c r="AN68" s="2"/>
    </row>
    <row r="69" spans="27:40" s="235" customFormat="1" x14ac:dyDescent="0.25">
      <c r="AA69" s="345"/>
      <c r="AB69" s="267"/>
      <c r="AC69" s="2"/>
      <c r="AD69" s="2"/>
      <c r="AE69" s="2"/>
      <c r="AF69" s="2"/>
      <c r="AG69" s="2"/>
      <c r="AH69" s="2"/>
      <c r="AI69" s="2"/>
      <c r="AJ69" s="2"/>
      <c r="AK69" s="2"/>
      <c r="AL69" s="2"/>
      <c r="AM69" s="2"/>
      <c r="AN69" s="2"/>
    </row>
    <row r="70" spans="27:40" s="235" customFormat="1" x14ac:dyDescent="0.25">
      <c r="AA70" s="345"/>
      <c r="AB70" s="267"/>
      <c r="AC70" s="2"/>
      <c r="AD70" s="2"/>
      <c r="AE70" s="2"/>
      <c r="AF70" s="2"/>
      <c r="AG70" s="2"/>
      <c r="AH70" s="2"/>
      <c r="AI70" s="2"/>
      <c r="AJ70" s="2"/>
      <c r="AK70" s="2"/>
      <c r="AL70" s="2"/>
      <c r="AM70" s="2"/>
      <c r="AN70" s="2"/>
    </row>
    <row r="71" spans="27:40" s="235" customFormat="1" x14ac:dyDescent="0.25">
      <c r="AA71" s="345"/>
      <c r="AB71" s="267"/>
      <c r="AC71" s="2"/>
      <c r="AD71" s="2"/>
      <c r="AE71" s="2"/>
      <c r="AF71" s="2"/>
      <c r="AG71" s="2"/>
      <c r="AH71" s="2"/>
      <c r="AI71" s="2"/>
      <c r="AJ71" s="2"/>
      <c r="AK71" s="2"/>
      <c r="AL71" s="2"/>
      <c r="AM71" s="2"/>
      <c r="AN71" s="2"/>
    </row>
    <row r="72" spans="27:40" s="235" customFormat="1" x14ac:dyDescent="0.25">
      <c r="AA72" s="345"/>
      <c r="AB72" s="267"/>
      <c r="AC72" s="2"/>
      <c r="AD72" s="2"/>
      <c r="AE72" s="2"/>
      <c r="AF72" s="2"/>
      <c r="AG72" s="2"/>
      <c r="AH72" s="2"/>
      <c r="AI72" s="2"/>
      <c r="AJ72" s="2"/>
      <c r="AK72" s="2"/>
      <c r="AL72" s="2"/>
      <c r="AM72" s="2"/>
      <c r="AN72" s="2"/>
    </row>
    <row r="73" spans="27:40" s="235" customFormat="1" x14ac:dyDescent="0.25">
      <c r="AA73" s="345"/>
      <c r="AB73" s="267"/>
      <c r="AC73" s="2"/>
      <c r="AD73" s="2"/>
      <c r="AE73" s="2"/>
      <c r="AF73" s="2"/>
      <c r="AG73" s="2"/>
      <c r="AH73" s="2"/>
      <c r="AI73" s="2"/>
      <c r="AJ73" s="2"/>
      <c r="AK73" s="2"/>
      <c r="AL73" s="2"/>
      <c r="AM73" s="2"/>
      <c r="AN73" s="2"/>
    </row>
    <row r="74" spans="27:40" s="235" customFormat="1" x14ac:dyDescent="0.25">
      <c r="AA74" s="345"/>
      <c r="AB74" s="267"/>
      <c r="AC74" s="2"/>
      <c r="AD74" s="2"/>
      <c r="AE74" s="2"/>
      <c r="AF74" s="2"/>
      <c r="AG74" s="2"/>
      <c r="AH74" s="2"/>
      <c r="AI74" s="2"/>
      <c r="AJ74" s="2"/>
      <c r="AK74" s="2"/>
      <c r="AL74" s="2"/>
      <c r="AM74" s="2"/>
      <c r="AN74" s="2"/>
    </row>
    <row r="75" spans="27:40" s="235" customFormat="1" x14ac:dyDescent="0.25">
      <c r="AA75" s="345"/>
      <c r="AB75" s="267"/>
      <c r="AC75" s="2"/>
      <c r="AD75" s="2"/>
      <c r="AE75" s="2"/>
      <c r="AF75" s="2"/>
      <c r="AG75" s="2"/>
      <c r="AH75" s="2"/>
      <c r="AI75" s="2"/>
      <c r="AJ75" s="2"/>
      <c r="AK75" s="2"/>
      <c r="AL75" s="2"/>
      <c r="AM75" s="2"/>
      <c r="AN75" s="2"/>
    </row>
    <row r="76" spans="27:40" s="235" customFormat="1" x14ac:dyDescent="0.25">
      <c r="AA76" s="345"/>
      <c r="AB76" s="267"/>
      <c r="AC76" s="2"/>
      <c r="AD76" s="2"/>
      <c r="AE76" s="2"/>
      <c r="AF76" s="2"/>
      <c r="AG76" s="2"/>
      <c r="AH76" s="2"/>
      <c r="AI76" s="2"/>
      <c r="AJ76" s="2"/>
      <c r="AK76" s="2"/>
      <c r="AL76" s="2"/>
      <c r="AM76" s="2"/>
      <c r="AN76" s="2"/>
    </row>
    <row r="77" spans="27:40" s="235" customFormat="1" x14ac:dyDescent="0.25">
      <c r="AA77" s="345"/>
      <c r="AB77" s="267"/>
      <c r="AC77" s="2"/>
      <c r="AD77" s="2"/>
      <c r="AE77" s="2"/>
      <c r="AF77" s="2"/>
      <c r="AG77" s="2"/>
      <c r="AH77" s="2"/>
      <c r="AI77" s="2"/>
      <c r="AJ77" s="2"/>
      <c r="AK77" s="2"/>
      <c r="AL77" s="2"/>
      <c r="AM77" s="2"/>
      <c r="AN77" s="2"/>
    </row>
    <row r="78" spans="27:40" s="235" customFormat="1" x14ac:dyDescent="0.25">
      <c r="AA78" s="345"/>
      <c r="AB78" s="267"/>
      <c r="AC78" s="2"/>
      <c r="AD78" s="2"/>
      <c r="AE78" s="2"/>
      <c r="AF78" s="2"/>
      <c r="AG78" s="2"/>
      <c r="AH78" s="2"/>
      <c r="AI78" s="2"/>
      <c r="AJ78" s="2"/>
      <c r="AK78" s="2"/>
      <c r="AL78" s="2"/>
      <c r="AM78" s="2"/>
      <c r="AN78" s="2"/>
    </row>
    <row r="79" spans="27:40" s="235" customFormat="1" x14ac:dyDescent="0.25">
      <c r="AA79" s="345"/>
      <c r="AB79" s="267"/>
      <c r="AC79" s="2"/>
      <c r="AD79" s="2"/>
      <c r="AE79" s="2"/>
      <c r="AF79" s="2"/>
      <c r="AG79" s="2"/>
      <c r="AH79" s="2"/>
      <c r="AI79" s="2"/>
      <c r="AJ79" s="2"/>
      <c r="AK79" s="2"/>
      <c r="AL79" s="2"/>
      <c r="AM79" s="2"/>
      <c r="AN79" s="2"/>
    </row>
    <row r="80" spans="27:40" s="235" customFormat="1" x14ac:dyDescent="0.25">
      <c r="AA80" s="345"/>
      <c r="AB80" s="267"/>
      <c r="AC80" s="2"/>
      <c r="AD80" s="2"/>
      <c r="AE80" s="2"/>
      <c r="AF80" s="2"/>
      <c r="AG80" s="2"/>
      <c r="AH80" s="2"/>
      <c r="AI80" s="2"/>
      <c r="AJ80" s="2"/>
      <c r="AK80" s="2"/>
      <c r="AL80" s="2"/>
      <c r="AM80" s="2"/>
      <c r="AN80" s="2"/>
    </row>
    <row r="81" spans="27:40" s="235" customFormat="1" x14ac:dyDescent="0.25">
      <c r="AA81" s="345"/>
      <c r="AB81" s="267"/>
      <c r="AC81" s="2"/>
      <c r="AD81" s="2"/>
      <c r="AE81" s="2"/>
      <c r="AF81" s="2"/>
      <c r="AG81" s="2"/>
      <c r="AH81" s="2"/>
      <c r="AI81" s="2"/>
      <c r="AJ81" s="2"/>
      <c r="AK81" s="2"/>
      <c r="AL81" s="2"/>
      <c r="AM81" s="2"/>
      <c r="AN81" s="2"/>
    </row>
    <row r="82" spans="27:40" s="235" customFormat="1" x14ac:dyDescent="0.25">
      <c r="AA82" s="345"/>
      <c r="AB82" s="267"/>
      <c r="AC82" s="2"/>
      <c r="AD82" s="2"/>
      <c r="AE82" s="2"/>
      <c r="AF82" s="2"/>
      <c r="AG82" s="2"/>
      <c r="AH82" s="2"/>
      <c r="AI82" s="2"/>
      <c r="AJ82" s="2"/>
      <c r="AK82" s="2"/>
      <c r="AL82" s="2"/>
      <c r="AM82" s="2"/>
      <c r="AN82" s="2"/>
    </row>
    <row r="83" spans="27:40" s="235" customFormat="1" x14ac:dyDescent="0.25">
      <c r="AA83" s="345"/>
      <c r="AB83" s="267"/>
      <c r="AC83" s="2"/>
      <c r="AD83" s="2"/>
      <c r="AE83" s="2"/>
      <c r="AF83" s="2"/>
      <c r="AG83" s="2"/>
      <c r="AH83" s="2"/>
      <c r="AI83" s="2"/>
      <c r="AJ83" s="2"/>
      <c r="AK83" s="2"/>
      <c r="AL83" s="2"/>
      <c r="AM83" s="2"/>
      <c r="AN83" s="2"/>
    </row>
    <row r="84" spans="27:40" s="235" customFormat="1" x14ac:dyDescent="0.25">
      <c r="AA84" s="345"/>
      <c r="AB84" s="267"/>
      <c r="AC84" s="2"/>
      <c r="AD84" s="2"/>
      <c r="AE84" s="2"/>
      <c r="AF84" s="2"/>
      <c r="AG84" s="2"/>
      <c r="AH84" s="2"/>
      <c r="AI84" s="2"/>
      <c r="AJ84" s="2"/>
      <c r="AK84" s="2"/>
      <c r="AL84" s="2"/>
      <c r="AM84" s="2"/>
      <c r="AN84" s="2"/>
    </row>
    <row r="85" spans="27:40" s="235" customFormat="1" x14ac:dyDescent="0.25">
      <c r="AA85" s="345"/>
      <c r="AB85" s="267"/>
      <c r="AC85" s="2"/>
      <c r="AD85" s="2"/>
      <c r="AE85" s="2"/>
      <c r="AF85" s="2"/>
      <c r="AG85" s="2"/>
      <c r="AH85" s="2"/>
      <c r="AI85" s="2"/>
      <c r="AJ85" s="2"/>
      <c r="AK85" s="2"/>
      <c r="AL85" s="2"/>
      <c r="AM85" s="2"/>
      <c r="AN85" s="2"/>
    </row>
    <row r="86" spans="27:40" s="235" customFormat="1" x14ac:dyDescent="0.25">
      <c r="AA86" s="345"/>
      <c r="AB86" s="267"/>
      <c r="AC86" s="2"/>
      <c r="AD86" s="2"/>
      <c r="AE86" s="2"/>
      <c r="AF86" s="2"/>
      <c r="AG86" s="2"/>
      <c r="AH86" s="2"/>
      <c r="AI86" s="2"/>
      <c r="AJ86" s="2"/>
      <c r="AK86" s="2"/>
      <c r="AL86" s="2"/>
      <c r="AM86" s="2"/>
      <c r="AN86" s="2"/>
    </row>
    <row r="87" spans="27:40" s="235" customFormat="1" x14ac:dyDescent="0.25">
      <c r="AA87" s="345"/>
      <c r="AB87" s="267"/>
      <c r="AC87" s="2"/>
      <c r="AD87" s="2"/>
      <c r="AE87" s="2"/>
      <c r="AF87" s="2"/>
      <c r="AG87" s="2"/>
      <c r="AH87" s="2"/>
      <c r="AI87" s="2"/>
      <c r="AJ87" s="2"/>
      <c r="AK87" s="2"/>
      <c r="AL87" s="2"/>
      <c r="AM87" s="2"/>
      <c r="AN87" s="2"/>
    </row>
    <row r="88" spans="27:40" s="235" customFormat="1" x14ac:dyDescent="0.25">
      <c r="AA88" s="345"/>
      <c r="AB88" s="267"/>
      <c r="AC88" s="2"/>
      <c r="AD88" s="2"/>
      <c r="AE88" s="2"/>
      <c r="AF88" s="2"/>
      <c r="AG88" s="2"/>
      <c r="AH88" s="2"/>
      <c r="AI88" s="2"/>
      <c r="AJ88" s="2"/>
      <c r="AK88" s="2"/>
      <c r="AL88" s="2"/>
      <c r="AM88" s="2"/>
      <c r="AN88" s="2"/>
    </row>
    <row r="89" spans="27:40" s="235" customFormat="1" x14ac:dyDescent="0.25">
      <c r="AA89" s="345"/>
      <c r="AB89" s="267"/>
      <c r="AC89" s="2"/>
      <c r="AD89" s="2"/>
      <c r="AE89" s="2"/>
      <c r="AF89" s="2"/>
      <c r="AG89" s="2"/>
      <c r="AH89" s="2"/>
      <c r="AI89" s="2"/>
      <c r="AJ89" s="2"/>
      <c r="AK89" s="2"/>
      <c r="AL89" s="2"/>
      <c r="AM89" s="2"/>
      <c r="AN89" s="2"/>
    </row>
    <row r="90" spans="27:40" s="235" customFormat="1" x14ac:dyDescent="0.25">
      <c r="AA90" s="345"/>
      <c r="AB90" s="267"/>
      <c r="AC90" s="2"/>
      <c r="AD90" s="2"/>
      <c r="AE90" s="2"/>
      <c r="AF90" s="2"/>
      <c r="AG90" s="2"/>
      <c r="AH90" s="2"/>
      <c r="AI90" s="2"/>
      <c r="AJ90" s="2"/>
      <c r="AK90" s="2"/>
      <c r="AL90" s="2"/>
      <c r="AM90" s="2"/>
      <c r="AN90" s="2"/>
    </row>
    <row r="91" spans="27:40" s="235" customFormat="1" x14ac:dyDescent="0.25">
      <c r="AA91" s="345"/>
      <c r="AB91" s="267"/>
      <c r="AC91" s="2"/>
      <c r="AD91" s="2"/>
      <c r="AE91" s="2"/>
      <c r="AF91" s="2"/>
      <c r="AG91" s="2"/>
      <c r="AH91" s="2"/>
      <c r="AI91" s="2"/>
      <c r="AJ91" s="2"/>
      <c r="AK91" s="2"/>
      <c r="AL91" s="2"/>
      <c r="AM91" s="2"/>
      <c r="AN91" s="2"/>
    </row>
    <row r="92" spans="27:40" s="235" customFormat="1" x14ac:dyDescent="0.25">
      <c r="AA92" s="345"/>
      <c r="AB92" s="267"/>
      <c r="AC92" s="2"/>
      <c r="AD92" s="2"/>
      <c r="AE92" s="2"/>
      <c r="AF92" s="2"/>
      <c r="AG92" s="2"/>
      <c r="AH92" s="2"/>
      <c r="AI92" s="2"/>
      <c r="AJ92" s="2"/>
      <c r="AK92" s="2"/>
      <c r="AL92" s="2"/>
      <c r="AM92" s="2"/>
      <c r="AN92" s="2"/>
    </row>
    <row r="93" spans="27:40" s="235" customFormat="1" x14ac:dyDescent="0.25">
      <c r="AA93" s="345"/>
      <c r="AB93" s="267"/>
      <c r="AC93" s="2"/>
      <c r="AD93" s="2"/>
      <c r="AE93" s="2"/>
      <c r="AF93" s="2"/>
      <c r="AG93" s="2"/>
      <c r="AH93" s="2"/>
      <c r="AI93" s="2"/>
      <c r="AJ93" s="2"/>
      <c r="AK93" s="2"/>
      <c r="AL93" s="2"/>
      <c r="AM93" s="2"/>
      <c r="AN93" s="2"/>
    </row>
    <row r="94" spans="27:40" s="235" customFormat="1" x14ac:dyDescent="0.25">
      <c r="AA94" s="345"/>
      <c r="AB94" s="267"/>
      <c r="AC94" s="2"/>
      <c r="AD94" s="2"/>
      <c r="AE94" s="2"/>
      <c r="AF94" s="2"/>
      <c r="AG94" s="2"/>
      <c r="AH94" s="2"/>
      <c r="AI94" s="2"/>
      <c r="AJ94" s="2"/>
      <c r="AK94" s="2"/>
      <c r="AL94" s="2"/>
      <c r="AM94" s="2"/>
      <c r="AN94" s="2"/>
    </row>
    <row r="95" spans="27:40" s="235" customFormat="1" x14ac:dyDescent="0.25">
      <c r="AA95" s="345"/>
      <c r="AB95" s="267"/>
      <c r="AC95" s="2"/>
      <c r="AD95" s="2"/>
      <c r="AE95" s="2"/>
      <c r="AF95" s="2"/>
      <c r="AG95" s="2"/>
      <c r="AH95" s="2"/>
      <c r="AI95" s="2"/>
      <c r="AJ95" s="2"/>
      <c r="AK95" s="2"/>
      <c r="AL95" s="2"/>
      <c r="AM95" s="2"/>
      <c r="AN95" s="2"/>
    </row>
    <row r="96" spans="27:40" s="235" customFormat="1" x14ac:dyDescent="0.25">
      <c r="AA96" s="345"/>
      <c r="AB96" s="267"/>
      <c r="AC96" s="2"/>
      <c r="AD96" s="2"/>
      <c r="AE96" s="2"/>
      <c r="AF96" s="2"/>
      <c r="AG96" s="2"/>
      <c r="AH96" s="2"/>
      <c r="AI96" s="2"/>
      <c r="AJ96" s="2"/>
      <c r="AK96" s="2"/>
      <c r="AL96" s="2"/>
      <c r="AM96" s="2"/>
      <c r="AN96" s="2"/>
    </row>
    <row r="97" spans="27:40" s="235" customFormat="1" x14ac:dyDescent="0.25">
      <c r="AA97" s="345"/>
      <c r="AB97" s="267"/>
      <c r="AC97" s="2"/>
      <c r="AD97" s="2"/>
      <c r="AE97" s="2"/>
      <c r="AF97" s="2"/>
      <c r="AG97" s="2"/>
      <c r="AH97" s="2"/>
      <c r="AI97" s="2"/>
      <c r="AJ97" s="2"/>
      <c r="AK97" s="2"/>
      <c r="AL97" s="2"/>
      <c r="AM97" s="2"/>
      <c r="AN97" s="2"/>
    </row>
    <row r="98" spans="27:40" s="235" customFormat="1" x14ac:dyDescent="0.25">
      <c r="AA98" s="345"/>
      <c r="AB98" s="267"/>
      <c r="AC98" s="2"/>
      <c r="AD98" s="2"/>
      <c r="AE98" s="2"/>
      <c r="AF98" s="2"/>
      <c r="AG98" s="2"/>
      <c r="AH98" s="2"/>
      <c r="AI98" s="2"/>
      <c r="AJ98" s="2"/>
      <c r="AK98" s="2"/>
      <c r="AL98" s="2"/>
      <c r="AM98" s="2"/>
      <c r="AN98" s="2"/>
    </row>
    <row r="99" spans="27:40" s="235" customFormat="1" x14ac:dyDescent="0.25">
      <c r="AA99" s="345"/>
      <c r="AB99" s="267"/>
      <c r="AC99" s="2"/>
      <c r="AD99" s="2"/>
      <c r="AE99" s="2"/>
      <c r="AF99" s="2"/>
      <c r="AG99" s="2"/>
      <c r="AH99" s="2"/>
      <c r="AI99" s="2"/>
      <c r="AJ99" s="2"/>
      <c r="AK99" s="2"/>
      <c r="AL99" s="2"/>
      <c r="AM99" s="2"/>
      <c r="AN99" s="2"/>
    </row>
    <row r="100" spans="27:40" s="235" customFormat="1" x14ac:dyDescent="0.25">
      <c r="AA100" s="345"/>
      <c r="AB100" s="267"/>
      <c r="AC100" s="2"/>
      <c r="AD100" s="2"/>
      <c r="AE100" s="2"/>
      <c r="AF100" s="2"/>
      <c r="AG100" s="2"/>
      <c r="AH100" s="2"/>
      <c r="AI100" s="2"/>
      <c r="AJ100" s="2"/>
      <c r="AK100" s="2"/>
      <c r="AL100" s="2"/>
      <c r="AM100" s="2"/>
      <c r="AN100" s="2"/>
    </row>
    <row r="101" spans="27:40" s="235" customFormat="1" x14ac:dyDescent="0.25">
      <c r="AA101" s="345"/>
      <c r="AB101" s="267"/>
      <c r="AC101" s="2"/>
      <c r="AD101" s="2"/>
      <c r="AE101" s="2"/>
      <c r="AF101" s="2"/>
      <c r="AG101" s="2"/>
      <c r="AH101" s="2"/>
      <c r="AI101" s="2"/>
      <c r="AJ101" s="2"/>
      <c r="AK101" s="2"/>
      <c r="AL101" s="2"/>
      <c r="AM101" s="2"/>
      <c r="AN101" s="2"/>
    </row>
    <row r="102" spans="27:40" s="235" customFormat="1" x14ac:dyDescent="0.25">
      <c r="AA102" s="345"/>
      <c r="AB102" s="267"/>
      <c r="AC102" s="2"/>
      <c r="AD102" s="2"/>
      <c r="AE102" s="2"/>
      <c r="AF102" s="2"/>
      <c r="AG102" s="2"/>
      <c r="AH102" s="2"/>
      <c r="AI102" s="2"/>
      <c r="AJ102" s="2"/>
      <c r="AK102" s="2"/>
      <c r="AL102" s="2"/>
      <c r="AM102" s="2"/>
      <c r="AN102" s="2"/>
    </row>
    <row r="103" spans="27:40" s="235" customFormat="1" x14ac:dyDescent="0.25">
      <c r="AA103" s="345"/>
      <c r="AB103" s="267"/>
      <c r="AC103" s="2"/>
      <c r="AD103" s="2"/>
      <c r="AE103" s="2"/>
      <c r="AF103" s="2"/>
      <c r="AG103" s="2"/>
      <c r="AH103" s="2"/>
      <c r="AI103" s="2"/>
      <c r="AJ103" s="2"/>
      <c r="AK103" s="2"/>
      <c r="AL103" s="2"/>
      <c r="AM103" s="2"/>
      <c r="AN103" s="2"/>
    </row>
    <row r="104" spans="27:40" s="235" customFormat="1" x14ac:dyDescent="0.25">
      <c r="AA104" s="345"/>
      <c r="AB104" s="267"/>
      <c r="AC104" s="2"/>
      <c r="AD104" s="2"/>
      <c r="AE104" s="2"/>
      <c r="AF104" s="2"/>
      <c r="AG104" s="2"/>
      <c r="AH104" s="2"/>
      <c r="AI104" s="2"/>
      <c r="AJ104" s="2"/>
      <c r="AK104" s="2"/>
      <c r="AL104" s="2"/>
      <c r="AM104" s="2"/>
      <c r="AN104" s="2"/>
    </row>
    <row r="105" spans="27:40" s="235" customFormat="1" x14ac:dyDescent="0.25">
      <c r="AA105" s="345"/>
      <c r="AB105" s="267"/>
      <c r="AC105" s="2"/>
      <c r="AD105" s="2"/>
      <c r="AE105" s="2"/>
      <c r="AF105" s="2"/>
      <c r="AG105" s="2"/>
      <c r="AH105" s="2"/>
      <c r="AI105" s="2"/>
      <c r="AJ105" s="2"/>
      <c r="AK105" s="2"/>
      <c r="AL105" s="2"/>
      <c r="AM105" s="2"/>
      <c r="AN105" s="2"/>
    </row>
    <row r="106" spans="27:40" s="235" customFormat="1" x14ac:dyDescent="0.25">
      <c r="AA106" s="345"/>
      <c r="AB106" s="267"/>
      <c r="AC106" s="2"/>
      <c r="AD106" s="2"/>
      <c r="AE106" s="2"/>
      <c r="AF106" s="2"/>
      <c r="AG106" s="2"/>
      <c r="AH106" s="2"/>
      <c r="AI106" s="2"/>
      <c r="AJ106" s="2"/>
      <c r="AK106" s="2"/>
      <c r="AL106" s="2"/>
      <c r="AM106" s="2"/>
      <c r="AN106" s="2"/>
    </row>
    <row r="107" spans="27:40" s="235" customFormat="1" x14ac:dyDescent="0.25">
      <c r="AA107" s="345"/>
      <c r="AB107" s="267"/>
      <c r="AC107" s="2"/>
      <c r="AD107" s="2"/>
      <c r="AE107" s="2"/>
      <c r="AF107" s="2"/>
      <c r="AG107" s="2"/>
      <c r="AH107" s="2"/>
      <c r="AI107" s="2"/>
      <c r="AJ107" s="2"/>
      <c r="AK107" s="2"/>
      <c r="AL107" s="2"/>
      <c r="AM107" s="2"/>
      <c r="AN107" s="2"/>
    </row>
    <row r="108" spans="27:40" s="235" customFormat="1" x14ac:dyDescent="0.25">
      <c r="AA108" s="345"/>
      <c r="AB108" s="267"/>
      <c r="AC108" s="2"/>
      <c r="AD108" s="2"/>
      <c r="AE108" s="2"/>
      <c r="AF108" s="2"/>
      <c r="AG108" s="2"/>
      <c r="AH108" s="2"/>
      <c r="AI108" s="2"/>
      <c r="AJ108" s="2"/>
      <c r="AK108" s="2"/>
      <c r="AL108" s="2"/>
      <c r="AM108" s="2"/>
      <c r="AN108" s="2"/>
    </row>
    <row r="109" spans="27:40" s="235" customFormat="1" x14ac:dyDescent="0.25">
      <c r="AA109" s="345"/>
      <c r="AB109" s="267"/>
      <c r="AC109" s="2"/>
      <c r="AD109" s="2"/>
      <c r="AE109" s="2"/>
      <c r="AF109" s="2"/>
      <c r="AG109" s="2"/>
      <c r="AH109" s="2"/>
      <c r="AI109" s="2"/>
      <c r="AJ109" s="2"/>
      <c r="AK109" s="2"/>
      <c r="AL109" s="2"/>
      <c r="AM109" s="2"/>
      <c r="AN109" s="2"/>
    </row>
    <row r="110" spans="27:40" s="235" customFormat="1" x14ac:dyDescent="0.25">
      <c r="AA110" s="345"/>
      <c r="AB110" s="267"/>
      <c r="AC110" s="2"/>
      <c r="AD110" s="2"/>
      <c r="AE110" s="2"/>
      <c r="AF110" s="2"/>
      <c r="AG110" s="2"/>
      <c r="AH110" s="2"/>
      <c r="AI110" s="2"/>
      <c r="AJ110" s="2"/>
      <c r="AK110" s="2"/>
      <c r="AL110" s="2"/>
      <c r="AM110" s="2"/>
      <c r="AN110" s="2"/>
    </row>
    <row r="111" spans="27:40" s="235" customFormat="1" x14ac:dyDescent="0.25">
      <c r="AA111" s="345"/>
      <c r="AB111" s="267"/>
      <c r="AC111" s="2"/>
      <c r="AD111" s="2"/>
      <c r="AE111" s="2"/>
      <c r="AF111" s="2"/>
      <c r="AG111" s="2"/>
      <c r="AH111" s="2"/>
      <c r="AI111" s="2"/>
      <c r="AJ111" s="2"/>
      <c r="AK111" s="2"/>
      <c r="AL111" s="2"/>
      <c r="AM111" s="2"/>
      <c r="AN111" s="2"/>
    </row>
    <row r="112" spans="27:40" s="235" customFormat="1" x14ac:dyDescent="0.25">
      <c r="AA112" s="345"/>
      <c r="AB112" s="267"/>
      <c r="AC112" s="2"/>
      <c r="AD112" s="2"/>
      <c r="AE112" s="2"/>
      <c r="AF112" s="2"/>
      <c r="AG112" s="2"/>
      <c r="AH112" s="2"/>
      <c r="AI112" s="2"/>
      <c r="AJ112" s="2"/>
      <c r="AK112" s="2"/>
      <c r="AL112" s="2"/>
      <c r="AM112" s="2"/>
      <c r="AN112" s="2"/>
    </row>
    <row r="113" spans="27:40" s="235" customFormat="1" x14ac:dyDescent="0.25">
      <c r="AA113" s="345"/>
      <c r="AB113" s="267"/>
      <c r="AC113" s="2"/>
      <c r="AD113" s="2"/>
      <c r="AE113" s="2"/>
      <c r="AF113" s="2"/>
      <c r="AG113" s="2"/>
      <c r="AH113" s="2"/>
      <c r="AI113" s="2"/>
      <c r="AJ113" s="2"/>
      <c r="AK113" s="2"/>
      <c r="AL113" s="2"/>
      <c r="AM113" s="2"/>
      <c r="AN113" s="2"/>
    </row>
    <row r="114" spans="27:40" s="235" customFormat="1" x14ac:dyDescent="0.25">
      <c r="AA114" s="345"/>
      <c r="AB114" s="267"/>
      <c r="AC114" s="2"/>
      <c r="AD114" s="2"/>
      <c r="AE114" s="2"/>
      <c r="AF114" s="2"/>
      <c r="AG114" s="2"/>
      <c r="AH114" s="2"/>
      <c r="AI114" s="2"/>
      <c r="AJ114" s="2"/>
      <c r="AK114" s="2"/>
      <c r="AL114" s="2"/>
      <c r="AM114" s="2"/>
      <c r="AN114" s="2"/>
    </row>
    <row r="115" spans="27:40" s="235" customFormat="1" x14ac:dyDescent="0.25">
      <c r="AA115" s="345"/>
      <c r="AB115" s="267"/>
      <c r="AC115" s="2"/>
      <c r="AD115" s="2"/>
      <c r="AE115" s="2"/>
      <c r="AF115" s="2"/>
      <c r="AG115" s="2"/>
      <c r="AH115" s="2"/>
      <c r="AI115" s="2"/>
      <c r="AJ115" s="2"/>
      <c r="AK115" s="2"/>
      <c r="AL115" s="2"/>
      <c r="AM115" s="2"/>
      <c r="AN115" s="2"/>
    </row>
    <row r="116" spans="27:40" s="235" customFormat="1" x14ac:dyDescent="0.25">
      <c r="AA116" s="345"/>
      <c r="AB116" s="267"/>
      <c r="AC116" s="2"/>
      <c r="AD116" s="2"/>
      <c r="AE116" s="2"/>
      <c r="AF116" s="2"/>
      <c r="AG116" s="2"/>
      <c r="AH116" s="2"/>
      <c r="AI116" s="2"/>
      <c r="AJ116" s="2"/>
      <c r="AK116" s="2"/>
      <c r="AL116" s="2"/>
      <c r="AM116" s="2"/>
      <c r="AN116" s="2"/>
    </row>
    <row r="117" spans="27:40" s="235" customFormat="1" x14ac:dyDescent="0.25">
      <c r="AA117" s="345"/>
      <c r="AB117" s="267"/>
      <c r="AC117" s="2"/>
      <c r="AD117" s="2"/>
      <c r="AE117" s="2"/>
      <c r="AF117" s="2"/>
      <c r="AG117" s="2"/>
      <c r="AH117" s="2"/>
      <c r="AI117" s="2"/>
      <c r="AJ117" s="2"/>
      <c r="AK117" s="2"/>
      <c r="AL117" s="2"/>
      <c r="AM117" s="2"/>
      <c r="AN117" s="2"/>
    </row>
    <row r="118" spans="27:40" s="235" customFormat="1" x14ac:dyDescent="0.25">
      <c r="AA118" s="345"/>
      <c r="AB118" s="267"/>
      <c r="AC118" s="2"/>
      <c r="AD118" s="2"/>
      <c r="AE118" s="2"/>
      <c r="AF118" s="2"/>
      <c r="AG118" s="2"/>
      <c r="AH118" s="2"/>
      <c r="AI118" s="2"/>
      <c r="AJ118" s="2"/>
      <c r="AK118" s="2"/>
      <c r="AL118" s="2"/>
      <c r="AM118" s="2"/>
      <c r="AN118" s="2"/>
    </row>
    <row r="119" spans="27:40" s="235" customFormat="1" x14ac:dyDescent="0.25">
      <c r="AA119" s="345"/>
      <c r="AB119" s="267"/>
      <c r="AC119" s="2"/>
      <c r="AD119" s="2"/>
      <c r="AE119" s="2"/>
      <c r="AF119" s="2"/>
      <c r="AG119" s="2"/>
      <c r="AH119" s="2"/>
      <c r="AI119" s="2"/>
      <c r="AJ119" s="2"/>
      <c r="AK119" s="2"/>
      <c r="AL119" s="2"/>
      <c r="AM119" s="2"/>
      <c r="AN119" s="2"/>
    </row>
    <row r="120" spans="27:40" s="235" customFormat="1" x14ac:dyDescent="0.25">
      <c r="AA120" s="345"/>
      <c r="AB120" s="267"/>
      <c r="AC120" s="2"/>
      <c r="AD120" s="2"/>
      <c r="AE120" s="2"/>
      <c r="AF120" s="2"/>
      <c r="AG120" s="2"/>
      <c r="AH120" s="2"/>
      <c r="AI120" s="2"/>
      <c r="AJ120" s="2"/>
      <c r="AK120" s="2"/>
      <c r="AL120" s="2"/>
      <c r="AM120" s="2"/>
      <c r="AN120" s="2"/>
    </row>
    <row r="121" spans="27:40" s="235" customFormat="1" x14ac:dyDescent="0.25">
      <c r="AA121" s="345"/>
      <c r="AB121" s="267"/>
      <c r="AC121" s="2"/>
      <c r="AD121" s="2"/>
      <c r="AE121" s="2"/>
      <c r="AF121" s="2"/>
      <c r="AG121" s="2"/>
      <c r="AH121" s="2"/>
      <c r="AI121" s="2"/>
      <c r="AJ121" s="2"/>
      <c r="AK121" s="2"/>
      <c r="AL121" s="2"/>
      <c r="AM121" s="2"/>
      <c r="AN121" s="2"/>
    </row>
    <row r="122" spans="27:40" s="235" customFormat="1" x14ac:dyDescent="0.25">
      <c r="AA122" s="345"/>
      <c r="AB122" s="267"/>
      <c r="AC122" s="2"/>
      <c r="AD122" s="2"/>
      <c r="AE122" s="2"/>
      <c r="AF122" s="2"/>
      <c r="AG122" s="2"/>
      <c r="AH122" s="2"/>
      <c r="AI122" s="2"/>
      <c r="AJ122" s="2"/>
      <c r="AK122" s="2"/>
      <c r="AL122" s="2"/>
      <c r="AM122" s="2"/>
      <c r="AN122" s="2"/>
    </row>
    <row r="123" spans="27:40" s="235" customFormat="1" x14ac:dyDescent="0.25">
      <c r="AA123" s="345"/>
      <c r="AB123" s="267"/>
      <c r="AC123" s="2"/>
      <c r="AD123" s="2"/>
      <c r="AE123" s="2"/>
      <c r="AF123" s="2"/>
      <c r="AG123" s="2"/>
      <c r="AH123" s="2"/>
      <c r="AI123" s="2"/>
      <c r="AJ123" s="2"/>
      <c r="AK123" s="2"/>
      <c r="AL123" s="2"/>
      <c r="AM123" s="2"/>
      <c r="AN123" s="2"/>
    </row>
    <row r="124" spans="27:40" s="235" customFormat="1" x14ac:dyDescent="0.25">
      <c r="AA124" s="345"/>
      <c r="AB124" s="267"/>
      <c r="AC124" s="2"/>
      <c r="AD124" s="2"/>
      <c r="AE124" s="2"/>
      <c r="AF124" s="2"/>
      <c r="AG124" s="2"/>
      <c r="AH124" s="2"/>
      <c r="AI124" s="2"/>
      <c r="AJ124" s="2"/>
      <c r="AK124" s="2"/>
      <c r="AL124" s="2"/>
      <c r="AM124" s="2"/>
      <c r="AN124" s="2"/>
    </row>
    <row r="125" spans="27:40" s="235" customFormat="1" x14ac:dyDescent="0.25">
      <c r="AA125" s="345"/>
      <c r="AB125" s="267"/>
      <c r="AC125" s="2"/>
      <c r="AD125" s="2"/>
      <c r="AE125" s="2"/>
      <c r="AF125" s="2"/>
      <c r="AG125" s="2"/>
      <c r="AH125" s="2"/>
      <c r="AI125" s="2"/>
      <c r="AJ125" s="2"/>
      <c r="AK125" s="2"/>
      <c r="AL125" s="2"/>
      <c r="AM125" s="2"/>
      <c r="AN125" s="2"/>
    </row>
    <row r="126" spans="27:40" s="235" customFormat="1" x14ac:dyDescent="0.25">
      <c r="AA126" s="345"/>
      <c r="AB126" s="267"/>
      <c r="AC126" s="2"/>
      <c r="AD126" s="2"/>
      <c r="AE126" s="2"/>
      <c r="AF126" s="2"/>
      <c r="AG126" s="2"/>
      <c r="AH126" s="2"/>
      <c r="AI126" s="2"/>
      <c r="AJ126" s="2"/>
      <c r="AK126" s="2"/>
      <c r="AL126" s="2"/>
      <c r="AM126" s="2"/>
      <c r="AN126" s="2"/>
    </row>
    <row r="127" spans="27:40" s="235" customFormat="1" x14ac:dyDescent="0.25">
      <c r="AA127" s="345"/>
      <c r="AB127" s="267"/>
      <c r="AC127" s="2"/>
      <c r="AD127" s="2"/>
      <c r="AE127" s="2"/>
      <c r="AF127" s="2"/>
      <c r="AG127" s="2"/>
      <c r="AH127" s="2"/>
      <c r="AI127" s="2"/>
      <c r="AJ127" s="2"/>
      <c r="AK127" s="2"/>
      <c r="AL127" s="2"/>
      <c r="AM127" s="2"/>
      <c r="AN127" s="2"/>
    </row>
    <row r="128" spans="27:40" s="235" customFormat="1" x14ac:dyDescent="0.25">
      <c r="AA128" s="345"/>
      <c r="AB128" s="267"/>
      <c r="AC128" s="2"/>
      <c r="AD128" s="2"/>
      <c r="AE128" s="2"/>
      <c r="AF128" s="2"/>
      <c r="AG128" s="2"/>
      <c r="AH128" s="2"/>
      <c r="AI128" s="2"/>
      <c r="AJ128" s="2"/>
      <c r="AK128" s="2"/>
      <c r="AL128" s="2"/>
      <c r="AM128" s="2"/>
      <c r="AN128" s="2"/>
    </row>
    <row r="129" spans="27:40" s="235" customFormat="1" x14ac:dyDescent="0.25">
      <c r="AA129" s="345"/>
      <c r="AB129" s="267"/>
      <c r="AC129" s="2"/>
      <c r="AD129" s="2"/>
      <c r="AE129" s="2"/>
      <c r="AF129" s="2"/>
      <c r="AG129" s="2"/>
      <c r="AH129" s="2"/>
      <c r="AI129" s="2"/>
      <c r="AJ129" s="2"/>
      <c r="AK129" s="2"/>
      <c r="AL129" s="2"/>
      <c r="AM129" s="2"/>
      <c r="AN129" s="2"/>
    </row>
    <row r="130" spans="27:40" s="235" customFormat="1" x14ac:dyDescent="0.25">
      <c r="AA130" s="345"/>
      <c r="AB130" s="267"/>
      <c r="AC130" s="2"/>
      <c r="AD130" s="2"/>
      <c r="AE130" s="2"/>
      <c r="AF130" s="2"/>
      <c r="AG130" s="2"/>
      <c r="AH130" s="2"/>
      <c r="AI130" s="2"/>
      <c r="AJ130" s="2"/>
      <c r="AK130" s="2"/>
      <c r="AL130" s="2"/>
      <c r="AM130" s="2"/>
      <c r="AN130" s="2"/>
    </row>
    <row r="131" spans="27:40" s="235" customFormat="1" x14ac:dyDescent="0.25">
      <c r="AA131" s="345"/>
      <c r="AB131" s="267"/>
      <c r="AC131" s="2"/>
      <c r="AD131" s="2"/>
      <c r="AE131" s="2"/>
      <c r="AF131" s="2"/>
      <c r="AG131" s="2"/>
      <c r="AH131" s="2"/>
      <c r="AI131" s="2"/>
      <c r="AJ131" s="2"/>
      <c r="AK131" s="2"/>
      <c r="AL131" s="2"/>
      <c r="AM131" s="2"/>
      <c r="AN131" s="2"/>
    </row>
    <row r="132" spans="27:40" s="235" customFormat="1" x14ac:dyDescent="0.25">
      <c r="AA132" s="345"/>
      <c r="AB132" s="267"/>
      <c r="AC132" s="2"/>
      <c r="AD132" s="2"/>
      <c r="AE132" s="2"/>
      <c r="AF132" s="2"/>
      <c r="AG132" s="2"/>
      <c r="AH132" s="2"/>
      <c r="AI132" s="2"/>
      <c r="AJ132" s="2"/>
      <c r="AK132" s="2"/>
      <c r="AL132" s="2"/>
      <c r="AM132" s="2"/>
      <c r="AN132" s="2"/>
    </row>
    <row r="133" spans="27:40" s="235" customFormat="1" x14ac:dyDescent="0.25">
      <c r="AA133" s="345"/>
      <c r="AB133" s="267"/>
      <c r="AC133" s="2"/>
      <c r="AD133" s="2"/>
      <c r="AE133" s="2"/>
      <c r="AF133" s="2"/>
      <c r="AG133" s="2"/>
      <c r="AH133" s="2"/>
      <c r="AI133" s="2"/>
      <c r="AJ133" s="2"/>
      <c r="AK133" s="2"/>
      <c r="AL133" s="2"/>
      <c r="AM133" s="2"/>
      <c r="AN133" s="2"/>
    </row>
    <row r="134" spans="27:40" s="235" customFormat="1" x14ac:dyDescent="0.25">
      <c r="AA134" s="345"/>
      <c r="AB134" s="267"/>
      <c r="AC134" s="2"/>
      <c r="AD134" s="2"/>
      <c r="AE134" s="2"/>
      <c r="AF134" s="2"/>
      <c r="AG134" s="2"/>
      <c r="AH134" s="2"/>
      <c r="AI134" s="2"/>
      <c r="AJ134" s="2"/>
      <c r="AK134" s="2"/>
      <c r="AL134" s="2"/>
      <c r="AM134" s="2"/>
      <c r="AN134" s="2"/>
    </row>
    <row r="135" spans="27:40" s="235" customFormat="1" x14ac:dyDescent="0.25">
      <c r="AA135" s="345"/>
      <c r="AB135" s="267"/>
      <c r="AC135" s="2"/>
      <c r="AD135" s="2"/>
      <c r="AE135" s="2"/>
      <c r="AF135" s="2"/>
      <c r="AG135" s="2"/>
      <c r="AH135" s="2"/>
      <c r="AI135" s="2"/>
      <c r="AJ135" s="2"/>
      <c r="AK135" s="2"/>
      <c r="AL135" s="2"/>
      <c r="AM135" s="2"/>
      <c r="AN135" s="2"/>
    </row>
    <row r="136" spans="27:40" s="235" customFormat="1" x14ac:dyDescent="0.25">
      <c r="AA136" s="345"/>
      <c r="AB136" s="267"/>
      <c r="AC136" s="2"/>
      <c r="AD136" s="2"/>
      <c r="AE136" s="2"/>
      <c r="AF136" s="2"/>
      <c r="AG136" s="2"/>
      <c r="AH136" s="2"/>
      <c r="AI136" s="2"/>
      <c r="AJ136" s="2"/>
      <c r="AK136" s="2"/>
      <c r="AL136" s="2"/>
      <c r="AM136" s="2"/>
      <c r="AN136" s="2"/>
    </row>
    <row r="137" spans="27:40" s="235" customFormat="1" x14ac:dyDescent="0.25">
      <c r="AA137" s="345"/>
      <c r="AB137" s="267"/>
      <c r="AC137" s="2"/>
      <c r="AD137" s="2"/>
      <c r="AE137" s="2"/>
      <c r="AF137" s="2"/>
      <c r="AG137" s="2"/>
      <c r="AH137" s="2"/>
      <c r="AI137" s="2"/>
      <c r="AJ137" s="2"/>
      <c r="AK137" s="2"/>
      <c r="AL137" s="2"/>
      <c r="AM137" s="2"/>
      <c r="AN137" s="2"/>
    </row>
    <row r="138" spans="27:40" s="235" customFormat="1" x14ac:dyDescent="0.25">
      <c r="AA138" s="345"/>
      <c r="AB138" s="267"/>
      <c r="AC138" s="2"/>
      <c r="AD138" s="2"/>
      <c r="AE138" s="2"/>
      <c r="AF138" s="2"/>
      <c r="AG138" s="2"/>
      <c r="AH138" s="2"/>
      <c r="AI138" s="2"/>
      <c r="AJ138" s="2"/>
      <c r="AK138" s="2"/>
      <c r="AL138" s="2"/>
      <c r="AM138" s="2"/>
      <c r="AN138" s="2"/>
    </row>
    <row r="139" spans="27:40" s="235" customFormat="1" x14ac:dyDescent="0.25">
      <c r="AA139" s="345"/>
      <c r="AB139" s="267"/>
      <c r="AC139" s="2"/>
      <c r="AD139" s="2"/>
      <c r="AE139" s="2"/>
      <c r="AF139" s="2"/>
      <c r="AG139" s="2"/>
      <c r="AH139" s="2"/>
      <c r="AI139" s="2"/>
      <c r="AJ139" s="2"/>
      <c r="AK139" s="2"/>
      <c r="AL139" s="2"/>
      <c r="AM139" s="2"/>
      <c r="AN139" s="2"/>
    </row>
    <row r="140" spans="27:40" s="235" customFormat="1" x14ac:dyDescent="0.25">
      <c r="AA140" s="345"/>
      <c r="AB140" s="267"/>
      <c r="AC140" s="2"/>
      <c r="AD140" s="2"/>
      <c r="AE140" s="2"/>
      <c r="AF140" s="2"/>
      <c r="AG140" s="2"/>
      <c r="AH140" s="2"/>
      <c r="AI140" s="2"/>
      <c r="AJ140" s="2"/>
      <c r="AK140" s="2"/>
      <c r="AL140" s="2"/>
      <c r="AM140" s="2"/>
      <c r="AN140" s="2"/>
    </row>
    <row r="141" spans="27:40" s="235" customFormat="1" x14ac:dyDescent="0.25">
      <c r="AA141" s="345"/>
      <c r="AB141" s="267"/>
      <c r="AC141" s="2"/>
      <c r="AD141" s="2"/>
      <c r="AE141" s="2"/>
      <c r="AF141" s="2"/>
      <c r="AG141" s="2"/>
      <c r="AH141" s="2"/>
      <c r="AI141" s="2"/>
      <c r="AJ141" s="2"/>
      <c r="AK141" s="2"/>
      <c r="AL141" s="2"/>
      <c r="AM141" s="2"/>
      <c r="AN141" s="2"/>
    </row>
    <row r="142" spans="27:40" s="235" customFormat="1" x14ac:dyDescent="0.25">
      <c r="AA142" s="345"/>
      <c r="AB142" s="267"/>
      <c r="AC142" s="2"/>
      <c r="AD142" s="2"/>
      <c r="AE142" s="2"/>
      <c r="AF142" s="2"/>
      <c r="AG142" s="2"/>
      <c r="AH142" s="2"/>
      <c r="AI142" s="2"/>
      <c r="AJ142" s="2"/>
      <c r="AK142" s="2"/>
      <c r="AL142" s="2"/>
      <c r="AM142" s="2"/>
      <c r="AN142" s="2"/>
    </row>
    <row r="143" spans="27:40" s="235" customFormat="1" x14ac:dyDescent="0.25">
      <c r="AA143" s="345"/>
      <c r="AB143" s="267"/>
      <c r="AC143" s="2"/>
      <c r="AD143" s="2"/>
      <c r="AE143" s="2"/>
      <c r="AF143" s="2"/>
      <c r="AG143" s="2"/>
      <c r="AH143" s="2"/>
      <c r="AI143" s="2"/>
      <c r="AJ143" s="2"/>
      <c r="AK143" s="2"/>
      <c r="AL143" s="2"/>
      <c r="AM143" s="2"/>
      <c r="AN143" s="2"/>
    </row>
    <row r="144" spans="27:40" s="235" customFormat="1" x14ac:dyDescent="0.25">
      <c r="AA144" s="345"/>
      <c r="AB144" s="267"/>
      <c r="AC144" s="2"/>
      <c r="AD144" s="2"/>
      <c r="AE144" s="2"/>
      <c r="AF144" s="2"/>
      <c r="AG144" s="2"/>
      <c r="AH144" s="2"/>
      <c r="AI144" s="2"/>
      <c r="AJ144" s="2"/>
      <c r="AK144" s="2"/>
      <c r="AL144" s="2"/>
      <c r="AM144" s="2"/>
      <c r="AN144" s="2"/>
    </row>
    <row r="145" spans="27:40" s="235" customFormat="1" x14ac:dyDescent="0.25">
      <c r="AA145" s="345"/>
      <c r="AB145" s="267"/>
      <c r="AC145" s="2"/>
      <c r="AD145" s="2"/>
      <c r="AE145" s="2"/>
      <c r="AF145" s="2"/>
      <c r="AG145" s="2"/>
      <c r="AH145" s="2"/>
      <c r="AI145" s="2"/>
      <c r="AJ145" s="2"/>
      <c r="AK145" s="2"/>
      <c r="AL145" s="2"/>
      <c r="AM145" s="2"/>
      <c r="AN145" s="2"/>
    </row>
    <row r="146" spans="27:40" s="235" customFormat="1" x14ac:dyDescent="0.25">
      <c r="AA146" s="345"/>
      <c r="AB146" s="267"/>
      <c r="AC146" s="2"/>
      <c r="AD146" s="2"/>
      <c r="AE146" s="2"/>
      <c r="AF146" s="2"/>
      <c r="AG146" s="2"/>
      <c r="AH146" s="2"/>
      <c r="AI146" s="2"/>
      <c r="AJ146" s="2"/>
      <c r="AK146" s="2"/>
      <c r="AL146" s="2"/>
      <c r="AM146" s="2"/>
      <c r="AN146" s="2"/>
    </row>
    <row r="147" spans="27:40" s="235" customFormat="1" x14ac:dyDescent="0.25">
      <c r="AA147" s="345"/>
      <c r="AB147" s="267"/>
      <c r="AC147" s="2"/>
      <c r="AD147" s="2"/>
      <c r="AE147" s="2"/>
      <c r="AF147" s="2"/>
      <c r="AG147" s="2"/>
      <c r="AH147" s="2"/>
      <c r="AI147" s="2"/>
      <c r="AJ147" s="2"/>
      <c r="AK147" s="2"/>
      <c r="AL147" s="2"/>
      <c r="AM147" s="2"/>
      <c r="AN147" s="2"/>
    </row>
    <row r="148" spans="27:40" s="235" customFormat="1" x14ac:dyDescent="0.25">
      <c r="AA148" s="345"/>
      <c r="AB148" s="267"/>
      <c r="AC148" s="2"/>
      <c r="AD148" s="2"/>
      <c r="AE148" s="2"/>
      <c r="AF148" s="2"/>
      <c r="AG148" s="2"/>
      <c r="AH148" s="2"/>
      <c r="AI148" s="2"/>
      <c r="AJ148" s="2"/>
      <c r="AK148" s="2"/>
      <c r="AL148" s="2"/>
      <c r="AM148" s="2"/>
      <c r="AN148" s="2"/>
    </row>
    <row r="149" spans="27:40" s="235" customFormat="1" x14ac:dyDescent="0.25">
      <c r="AA149" s="345"/>
      <c r="AB149" s="267"/>
      <c r="AC149" s="2"/>
      <c r="AD149" s="2"/>
      <c r="AE149" s="2"/>
      <c r="AF149" s="2"/>
      <c r="AG149" s="2"/>
      <c r="AH149" s="2"/>
      <c r="AI149" s="2"/>
      <c r="AJ149" s="2"/>
      <c r="AK149" s="2"/>
      <c r="AL149" s="2"/>
      <c r="AM149" s="2"/>
      <c r="AN149" s="2"/>
    </row>
    <row r="150" spans="27:40" s="235" customFormat="1" x14ac:dyDescent="0.25">
      <c r="AA150" s="345"/>
      <c r="AB150" s="267"/>
      <c r="AC150" s="2"/>
      <c r="AD150" s="2"/>
      <c r="AE150" s="2"/>
      <c r="AF150" s="2"/>
      <c r="AG150" s="2"/>
      <c r="AH150" s="2"/>
      <c r="AI150" s="2"/>
      <c r="AJ150" s="2"/>
      <c r="AK150" s="2"/>
      <c r="AL150" s="2"/>
      <c r="AM150" s="2"/>
      <c r="AN150" s="2"/>
    </row>
    <row r="151" spans="27:40" s="235" customFormat="1" x14ac:dyDescent="0.25">
      <c r="AA151" s="345"/>
      <c r="AB151" s="267"/>
      <c r="AC151" s="2"/>
      <c r="AD151" s="2"/>
      <c r="AE151" s="2"/>
      <c r="AF151" s="2"/>
      <c r="AG151" s="2"/>
      <c r="AH151" s="2"/>
      <c r="AI151" s="2"/>
      <c r="AJ151" s="2"/>
      <c r="AK151" s="2"/>
      <c r="AL151" s="2"/>
      <c r="AM151" s="2"/>
      <c r="AN151" s="2"/>
    </row>
    <row r="152" spans="27:40" s="235" customFormat="1" x14ac:dyDescent="0.25">
      <c r="AA152" s="345"/>
      <c r="AB152" s="267"/>
      <c r="AC152" s="2"/>
      <c r="AD152" s="2"/>
      <c r="AE152" s="2"/>
      <c r="AF152" s="2"/>
      <c r="AG152" s="2"/>
      <c r="AH152" s="2"/>
      <c r="AI152" s="2"/>
      <c r="AJ152" s="2"/>
      <c r="AK152" s="2"/>
      <c r="AL152" s="2"/>
      <c r="AM152" s="2"/>
      <c r="AN152" s="2"/>
    </row>
    <row r="153" spans="27:40" s="235" customFormat="1" x14ac:dyDescent="0.25">
      <c r="AA153" s="345"/>
      <c r="AB153" s="267"/>
      <c r="AC153" s="2"/>
      <c r="AD153" s="2"/>
      <c r="AE153" s="2"/>
      <c r="AF153" s="2"/>
      <c r="AG153" s="2"/>
      <c r="AH153" s="2"/>
      <c r="AI153" s="2"/>
      <c r="AJ153" s="2"/>
      <c r="AK153" s="2"/>
      <c r="AL153" s="2"/>
      <c r="AM153" s="2"/>
      <c r="AN153" s="2"/>
    </row>
    <row r="154" spans="27:40" s="235" customFormat="1" x14ac:dyDescent="0.25">
      <c r="AA154" s="345"/>
      <c r="AB154" s="267"/>
      <c r="AC154" s="2"/>
      <c r="AD154" s="2"/>
      <c r="AE154" s="2"/>
      <c r="AF154" s="2"/>
      <c r="AG154" s="2"/>
      <c r="AH154" s="2"/>
      <c r="AI154" s="2"/>
      <c r="AJ154" s="2"/>
      <c r="AK154" s="2"/>
      <c r="AL154" s="2"/>
      <c r="AM154" s="2"/>
      <c r="AN154" s="2"/>
    </row>
    <row r="155" spans="27:40" s="235" customFormat="1" x14ac:dyDescent="0.25">
      <c r="AA155" s="345"/>
      <c r="AB155" s="267"/>
      <c r="AC155" s="2"/>
      <c r="AD155" s="2"/>
      <c r="AE155" s="2"/>
      <c r="AF155" s="2"/>
      <c r="AG155" s="2"/>
      <c r="AH155" s="2"/>
      <c r="AI155" s="2"/>
      <c r="AJ155" s="2"/>
      <c r="AK155" s="2"/>
      <c r="AL155" s="2"/>
      <c r="AM155" s="2"/>
      <c r="AN155" s="2"/>
    </row>
    <row r="156" spans="27:40" s="235" customFormat="1" x14ac:dyDescent="0.25">
      <c r="AA156" s="345"/>
      <c r="AB156" s="267"/>
      <c r="AC156" s="2"/>
      <c r="AD156" s="2"/>
      <c r="AE156" s="2"/>
      <c r="AF156" s="2"/>
      <c r="AG156" s="2"/>
      <c r="AH156" s="2"/>
      <c r="AI156" s="2"/>
      <c r="AJ156" s="2"/>
      <c r="AK156" s="2"/>
      <c r="AL156" s="2"/>
      <c r="AM156" s="2"/>
      <c r="AN156" s="2"/>
    </row>
    <row r="157" spans="27:40" s="235" customFormat="1" x14ac:dyDescent="0.25">
      <c r="AA157" s="345"/>
      <c r="AB157" s="267"/>
      <c r="AC157" s="2"/>
      <c r="AD157" s="2"/>
      <c r="AE157" s="2"/>
      <c r="AF157" s="2"/>
      <c r="AG157" s="2"/>
      <c r="AH157" s="2"/>
      <c r="AI157" s="2"/>
      <c r="AJ157" s="2"/>
      <c r="AK157" s="2"/>
      <c r="AL157" s="2"/>
      <c r="AM157" s="2"/>
      <c r="AN157" s="2"/>
    </row>
    <row r="158" spans="27:40" s="235" customFormat="1" x14ac:dyDescent="0.25">
      <c r="AA158" s="345"/>
      <c r="AB158" s="267"/>
      <c r="AC158" s="2"/>
      <c r="AD158" s="2"/>
      <c r="AE158" s="2"/>
      <c r="AF158" s="2"/>
      <c r="AG158" s="2"/>
      <c r="AH158" s="2"/>
      <c r="AI158" s="2"/>
      <c r="AJ158" s="2"/>
      <c r="AK158" s="2"/>
      <c r="AL158" s="2"/>
      <c r="AM158" s="2"/>
      <c r="AN158" s="2"/>
    </row>
    <row r="159" spans="27:40" s="235" customFormat="1" x14ac:dyDescent="0.25">
      <c r="AA159" s="345"/>
      <c r="AB159" s="267"/>
      <c r="AC159" s="2"/>
      <c r="AD159" s="2"/>
      <c r="AE159" s="2"/>
      <c r="AF159" s="2"/>
      <c r="AG159" s="2"/>
      <c r="AH159" s="2"/>
      <c r="AI159" s="2"/>
      <c r="AJ159" s="2"/>
      <c r="AK159" s="2"/>
      <c r="AL159" s="2"/>
      <c r="AM159" s="2"/>
      <c r="AN159" s="2"/>
    </row>
    <row r="160" spans="27:40" s="235" customFormat="1" x14ac:dyDescent="0.25">
      <c r="AA160" s="345"/>
      <c r="AB160" s="267"/>
      <c r="AC160" s="2"/>
      <c r="AD160" s="2"/>
      <c r="AE160" s="2"/>
      <c r="AF160" s="2"/>
      <c r="AG160" s="2"/>
      <c r="AH160" s="2"/>
      <c r="AI160" s="2"/>
      <c r="AJ160" s="2"/>
      <c r="AK160" s="2"/>
      <c r="AL160" s="2"/>
      <c r="AM160" s="2"/>
      <c r="AN160" s="2"/>
    </row>
    <row r="161" spans="27:40" s="235" customFormat="1" x14ac:dyDescent="0.25">
      <c r="AA161" s="345"/>
      <c r="AB161" s="267"/>
      <c r="AC161" s="2"/>
      <c r="AD161" s="2"/>
      <c r="AE161" s="2"/>
      <c r="AF161" s="2"/>
      <c r="AG161" s="2"/>
      <c r="AH161" s="2"/>
      <c r="AI161" s="2"/>
      <c r="AJ161" s="2"/>
      <c r="AK161" s="2"/>
      <c r="AL161" s="2"/>
      <c r="AM161" s="2"/>
      <c r="AN161" s="2"/>
    </row>
    <row r="162" spans="27:40" s="235" customFormat="1" x14ac:dyDescent="0.25">
      <c r="AA162" s="345"/>
      <c r="AB162" s="267"/>
      <c r="AC162" s="2"/>
      <c r="AD162" s="2"/>
      <c r="AE162" s="2"/>
      <c r="AF162" s="2"/>
      <c r="AG162" s="2"/>
      <c r="AH162" s="2"/>
      <c r="AI162" s="2"/>
      <c r="AJ162" s="2"/>
      <c r="AK162" s="2"/>
      <c r="AL162" s="2"/>
      <c r="AM162" s="2"/>
      <c r="AN162" s="2"/>
    </row>
    <row r="163" spans="27:40" s="235" customFormat="1" x14ac:dyDescent="0.25">
      <c r="AA163" s="345"/>
      <c r="AB163" s="267"/>
      <c r="AC163" s="2"/>
      <c r="AD163" s="2"/>
      <c r="AE163" s="2"/>
      <c r="AF163" s="2"/>
      <c r="AG163" s="2"/>
      <c r="AH163" s="2"/>
      <c r="AI163" s="2"/>
      <c r="AJ163" s="2"/>
      <c r="AK163" s="2"/>
      <c r="AL163" s="2"/>
      <c r="AM163" s="2"/>
      <c r="AN163" s="2"/>
    </row>
    <row r="164" spans="27:40" s="235" customFormat="1" x14ac:dyDescent="0.25">
      <c r="AA164" s="345"/>
      <c r="AB164" s="267"/>
      <c r="AC164" s="2"/>
      <c r="AD164" s="2"/>
      <c r="AE164" s="2"/>
      <c r="AF164" s="2"/>
      <c r="AG164" s="2"/>
      <c r="AH164" s="2"/>
      <c r="AI164" s="2"/>
      <c r="AJ164" s="2"/>
      <c r="AK164" s="2"/>
      <c r="AL164" s="2"/>
      <c r="AM164" s="2"/>
      <c r="AN164" s="2"/>
    </row>
    <row r="165" spans="27:40" s="235" customFormat="1" x14ac:dyDescent="0.25">
      <c r="AA165" s="345"/>
      <c r="AB165" s="267"/>
      <c r="AC165" s="2"/>
      <c r="AD165" s="2"/>
      <c r="AE165" s="2"/>
      <c r="AF165" s="2"/>
      <c r="AG165" s="2"/>
      <c r="AH165" s="2"/>
      <c r="AI165" s="2"/>
      <c r="AJ165" s="2"/>
      <c r="AK165" s="2"/>
      <c r="AL165" s="2"/>
      <c r="AM165" s="2"/>
      <c r="AN165" s="2"/>
    </row>
    <row r="166" spans="27:40" s="235" customFormat="1" x14ac:dyDescent="0.25">
      <c r="AA166" s="345"/>
      <c r="AB166" s="267"/>
      <c r="AC166" s="2"/>
      <c r="AD166" s="2"/>
      <c r="AE166" s="2"/>
      <c r="AF166" s="2"/>
      <c r="AG166" s="2"/>
      <c r="AH166" s="2"/>
      <c r="AI166" s="2"/>
      <c r="AJ166" s="2"/>
      <c r="AK166" s="2"/>
      <c r="AL166" s="2"/>
      <c r="AM166" s="2"/>
      <c r="AN166" s="2"/>
    </row>
    <row r="167" spans="27:40" s="235" customFormat="1" x14ac:dyDescent="0.25">
      <c r="AA167" s="345"/>
      <c r="AB167" s="267"/>
      <c r="AC167" s="2"/>
      <c r="AD167" s="2"/>
      <c r="AE167" s="2"/>
      <c r="AF167" s="2"/>
      <c r="AG167" s="2"/>
      <c r="AH167" s="2"/>
      <c r="AI167" s="2"/>
      <c r="AJ167" s="2"/>
      <c r="AK167" s="2"/>
      <c r="AL167" s="2"/>
      <c r="AM167" s="2"/>
      <c r="AN167" s="2"/>
    </row>
    <row r="168" spans="27:40" s="235" customFormat="1" x14ac:dyDescent="0.25">
      <c r="AA168" s="345"/>
      <c r="AB168" s="267"/>
      <c r="AC168" s="2"/>
      <c r="AD168" s="2"/>
      <c r="AE168" s="2"/>
      <c r="AF168" s="2"/>
      <c r="AG168" s="2"/>
      <c r="AH168" s="2"/>
      <c r="AI168" s="2"/>
      <c r="AJ168" s="2"/>
      <c r="AK168" s="2"/>
      <c r="AL168" s="2"/>
      <c r="AM168" s="2"/>
      <c r="AN168" s="2"/>
    </row>
    <row r="169" spans="27:40" s="235" customFormat="1" x14ac:dyDescent="0.25">
      <c r="AA169" s="345"/>
      <c r="AB169" s="267"/>
      <c r="AC169" s="2"/>
      <c r="AD169" s="2"/>
      <c r="AE169" s="2"/>
      <c r="AF169" s="2"/>
      <c r="AG169" s="2"/>
      <c r="AH169" s="2"/>
      <c r="AI169" s="2"/>
      <c r="AJ169" s="2"/>
      <c r="AK169" s="2"/>
      <c r="AL169" s="2"/>
      <c r="AM169" s="2"/>
      <c r="AN169" s="2"/>
    </row>
    <row r="170" spans="27:40" s="235" customFormat="1" x14ac:dyDescent="0.25">
      <c r="AA170" s="345"/>
      <c r="AB170" s="267"/>
      <c r="AC170" s="2"/>
      <c r="AD170" s="2"/>
      <c r="AE170" s="2"/>
      <c r="AF170" s="2"/>
      <c r="AG170" s="2"/>
      <c r="AH170" s="2"/>
      <c r="AI170" s="2"/>
      <c r="AJ170" s="2"/>
      <c r="AK170" s="2"/>
      <c r="AL170" s="2"/>
      <c r="AM170" s="2"/>
      <c r="AN170" s="2"/>
    </row>
    <row r="171" spans="27:40" s="235" customFormat="1" x14ac:dyDescent="0.25">
      <c r="AA171" s="345"/>
      <c r="AB171" s="267"/>
      <c r="AC171" s="2"/>
      <c r="AD171" s="2"/>
      <c r="AE171" s="2"/>
      <c r="AF171" s="2"/>
      <c r="AG171" s="2"/>
      <c r="AH171" s="2"/>
      <c r="AI171" s="2"/>
      <c r="AJ171" s="2"/>
      <c r="AK171" s="2"/>
      <c r="AL171" s="2"/>
      <c r="AM171" s="2"/>
      <c r="AN171" s="2"/>
    </row>
    <row r="172" spans="27:40" s="235" customFormat="1" x14ac:dyDescent="0.25">
      <c r="AA172" s="345"/>
      <c r="AB172" s="267"/>
      <c r="AC172" s="2"/>
      <c r="AD172" s="2"/>
      <c r="AE172" s="2"/>
      <c r="AF172" s="2"/>
      <c r="AG172" s="2"/>
      <c r="AH172" s="2"/>
      <c r="AI172" s="2"/>
      <c r="AJ172" s="2"/>
      <c r="AK172" s="2"/>
      <c r="AL172" s="2"/>
      <c r="AM172" s="2"/>
      <c r="AN172" s="2"/>
    </row>
    <row r="173" spans="27:40" s="235" customFormat="1" x14ac:dyDescent="0.25">
      <c r="AA173" s="345"/>
      <c r="AB173" s="267"/>
      <c r="AC173" s="2"/>
      <c r="AD173" s="2"/>
      <c r="AE173" s="2"/>
      <c r="AF173" s="2"/>
      <c r="AG173" s="2"/>
      <c r="AH173" s="2"/>
      <c r="AI173" s="2"/>
      <c r="AJ173" s="2"/>
      <c r="AK173" s="2"/>
      <c r="AL173" s="2"/>
      <c r="AM173" s="2"/>
      <c r="AN173" s="2"/>
    </row>
    <row r="174" spans="27:40" s="235" customFormat="1" x14ac:dyDescent="0.25">
      <c r="AA174" s="345"/>
      <c r="AB174" s="267"/>
      <c r="AC174" s="2"/>
      <c r="AD174" s="2"/>
      <c r="AE174" s="2"/>
      <c r="AF174" s="2"/>
      <c r="AG174" s="2"/>
      <c r="AH174" s="2"/>
      <c r="AI174" s="2"/>
      <c r="AJ174" s="2"/>
      <c r="AK174" s="2"/>
      <c r="AL174" s="2"/>
      <c r="AM174" s="2"/>
      <c r="AN174" s="2"/>
    </row>
    <row r="175" spans="27:40" s="235" customFormat="1" x14ac:dyDescent="0.25">
      <c r="AA175" s="345"/>
      <c r="AB175" s="267"/>
      <c r="AC175" s="2"/>
      <c r="AD175" s="2"/>
      <c r="AE175" s="2"/>
      <c r="AF175" s="2"/>
      <c r="AG175" s="2"/>
      <c r="AH175" s="2"/>
      <c r="AI175" s="2"/>
      <c r="AJ175" s="2"/>
      <c r="AK175" s="2"/>
      <c r="AL175" s="2"/>
      <c r="AM175" s="2"/>
      <c r="AN175" s="2"/>
    </row>
    <row r="176" spans="27:40" s="235" customFormat="1" x14ac:dyDescent="0.25">
      <c r="AA176" s="345"/>
      <c r="AB176" s="267"/>
      <c r="AC176" s="2"/>
      <c r="AD176" s="2"/>
      <c r="AE176" s="2"/>
      <c r="AF176" s="2"/>
      <c r="AG176" s="2"/>
      <c r="AH176" s="2"/>
      <c r="AI176" s="2"/>
      <c r="AJ176" s="2"/>
      <c r="AK176" s="2"/>
      <c r="AL176" s="2"/>
      <c r="AM176" s="2"/>
      <c r="AN176" s="2"/>
    </row>
    <row r="177" spans="27:40" s="235" customFormat="1" x14ac:dyDescent="0.25">
      <c r="AA177" s="345"/>
      <c r="AB177" s="267"/>
      <c r="AC177" s="2"/>
      <c r="AD177" s="2"/>
      <c r="AE177" s="2"/>
      <c r="AF177" s="2"/>
      <c r="AG177" s="2"/>
      <c r="AH177" s="2"/>
      <c r="AI177" s="2"/>
      <c r="AJ177" s="2"/>
      <c r="AK177" s="2"/>
      <c r="AL177" s="2"/>
      <c r="AM177" s="2"/>
      <c r="AN177" s="2"/>
    </row>
    <row r="178" spans="27:40" s="235" customFormat="1" x14ac:dyDescent="0.25">
      <c r="AA178" s="345"/>
      <c r="AB178" s="267"/>
      <c r="AC178" s="2"/>
      <c r="AD178" s="2"/>
      <c r="AE178" s="2"/>
      <c r="AF178" s="2"/>
      <c r="AG178" s="2"/>
      <c r="AH178" s="2"/>
      <c r="AI178" s="2"/>
      <c r="AJ178" s="2"/>
      <c r="AK178" s="2"/>
      <c r="AL178" s="2"/>
      <c r="AM178" s="2"/>
      <c r="AN178" s="2"/>
    </row>
    <row r="179" spans="27:40" s="235" customFormat="1" x14ac:dyDescent="0.25">
      <c r="AA179" s="345"/>
      <c r="AB179" s="267"/>
      <c r="AC179" s="2"/>
      <c r="AD179" s="2"/>
      <c r="AE179" s="2"/>
      <c r="AF179" s="2"/>
      <c r="AG179" s="2"/>
      <c r="AH179" s="2"/>
      <c r="AI179" s="2"/>
      <c r="AJ179" s="2"/>
      <c r="AK179" s="2"/>
      <c r="AL179" s="2"/>
      <c r="AM179" s="2"/>
      <c r="AN179" s="2"/>
    </row>
    <row r="180" spans="27:40" s="235" customFormat="1" x14ac:dyDescent="0.25">
      <c r="AA180" s="345"/>
      <c r="AB180" s="267"/>
      <c r="AC180" s="2"/>
      <c r="AD180" s="2"/>
      <c r="AE180" s="2"/>
      <c r="AF180" s="2"/>
      <c r="AG180" s="2"/>
      <c r="AH180" s="2"/>
      <c r="AI180" s="2"/>
      <c r="AJ180" s="2"/>
      <c r="AK180" s="2"/>
      <c r="AL180" s="2"/>
      <c r="AM180" s="2"/>
      <c r="AN180" s="2"/>
    </row>
    <row r="181" spans="27:40" s="235" customFormat="1" x14ac:dyDescent="0.25">
      <c r="AA181" s="345"/>
      <c r="AB181" s="267"/>
      <c r="AC181" s="2"/>
      <c r="AD181" s="2"/>
      <c r="AE181" s="2"/>
      <c r="AF181" s="2"/>
      <c r="AG181" s="2"/>
      <c r="AH181" s="2"/>
      <c r="AI181" s="2"/>
      <c r="AJ181" s="2"/>
      <c r="AK181" s="2"/>
      <c r="AL181" s="2"/>
      <c r="AM181" s="2"/>
      <c r="AN181" s="2"/>
    </row>
    <row r="182" spans="27:40" s="235" customFormat="1" x14ac:dyDescent="0.25">
      <c r="AA182" s="345"/>
      <c r="AB182" s="267"/>
      <c r="AC182" s="2"/>
      <c r="AD182" s="2"/>
      <c r="AE182" s="2"/>
      <c r="AF182" s="2"/>
      <c r="AG182" s="2"/>
      <c r="AH182" s="2"/>
      <c r="AI182" s="2"/>
      <c r="AJ182" s="2"/>
      <c r="AK182" s="2"/>
      <c r="AL182" s="2"/>
      <c r="AM182" s="2"/>
      <c r="AN182" s="2"/>
    </row>
    <row r="183" spans="27:40" s="235" customFormat="1" x14ac:dyDescent="0.25">
      <c r="AA183" s="345"/>
      <c r="AB183" s="267"/>
      <c r="AC183" s="2"/>
      <c r="AD183" s="2"/>
      <c r="AE183" s="2"/>
      <c r="AF183" s="2"/>
      <c r="AG183" s="2"/>
      <c r="AH183" s="2"/>
      <c r="AI183" s="2"/>
      <c r="AJ183" s="2"/>
      <c r="AK183" s="2"/>
      <c r="AL183" s="2"/>
      <c r="AM183" s="2"/>
      <c r="AN183" s="2"/>
    </row>
    <row r="184" spans="27:40" s="235" customFormat="1" x14ac:dyDescent="0.25">
      <c r="AA184" s="345"/>
      <c r="AB184" s="267"/>
      <c r="AC184" s="2"/>
      <c r="AD184" s="2"/>
      <c r="AE184" s="2"/>
      <c r="AF184" s="2"/>
      <c r="AG184" s="2"/>
      <c r="AH184" s="2"/>
      <c r="AI184" s="2"/>
      <c r="AJ184" s="2"/>
      <c r="AK184" s="2"/>
      <c r="AL184" s="2"/>
      <c r="AM184" s="2"/>
      <c r="AN184" s="2"/>
    </row>
    <row r="185" spans="27:40" s="235" customFormat="1" x14ac:dyDescent="0.25">
      <c r="AA185" s="345"/>
      <c r="AB185" s="267"/>
      <c r="AC185" s="2"/>
      <c r="AD185" s="2"/>
      <c r="AE185" s="2"/>
      <c r="AF185" s="2"/>
      <c r="AG185" s="2"/>
      <c r="AH185" s="2"/>
      <c r="AI185" s="2"/>
      <c r="AJ185" s="2"/>
      <c r="AK185" s="2"/>
      <c r="AL185" s="2"/>
      <c r="AM185" s="2"/>
      <c r="AN185" s="2"/>
    </row>
    <row r="186" spans="27:40" s="235" customFormat="1" x14ac:dyDescent="0.25">
      <c r="AA186" s="345"/>
      <c r="AB186" s="267"/>
      <c r="AC186" s="2"/>
      <c r="AD186" s="2"/>
      <c r="AE186" s="2"/>
      <c r="AF186" s="2"/>
      <c r="AG186" s="2"/>
      <c r="AH186" s="2"/>
      <c r="AI186" s="2"/>
      <c r="AJ186" s="2"/>
      <c r="AK186" s="2"/>
      <c r="AL186" s="2"/>
      <c r="AM186" s="2"/>
      <c r="AN186" s="2"/>
    </row>
    <row r="187" spans="27:40" s="235" customFormat="1" x14ac:dyDescent="0.25">
      <c r="AA187" s="345"/>
      <c r="AB187" s="267"/>
      <c r="AC187" s="2"/>
      <c r="AD187" s="2"/>
      <c r="AE187" s="2"/>
      <c r="AF187" s="2"/>
      <c r="AG187" s="2"/>
      <c r="AH187" s="2"/>
      <c r="AI187" s="2"/>
      <c r="AJ187" s="2"/>
      <c r="AK187" s="2"/>
      <c r="AL187" s="2"/>
      <c r="AM187" s="2"/>
      <c r="AN187" s="2"/>
    </row>
    <row r="188" spans="27:40" s="235" customFormat="1" x14ac:dyDescent="0.25">
      <c r="AA188" s="345"/>
      <c r="AB188" s="267"/>
      <c r="AC188" s="2"/>
      <c r="AD188" s="2"/>
      <c r="AE188" s="2"/>
      <c r="AF188" s="2"/>
      <c r="AG188" s="2"/>
      <c r="AH188" s="2"/>
      <c r="AI188" s="2"/>
      <c r="AJ188" s="2"/>
      <c r="AK188" s="2"/>
      <c r="AL188" s="2"/>
      <c r="AM188" s="2"/>
      <c r="AN188" s="2"/>
    </row>
    <row r="189" spans="27:40" s="235" customFormat="1" x14ac:dyDescent="0.25">
      <c r="AA189" s="345"/>
      <c r="AB189" s="267"/>
      <c r="AC189" s="2"/>
      <c r="AD189" s="2"/>
      <c r="AE189" s="2"/>
      <c r="AF189" s="2"/>
      <c r="AG189" s="2"/>
      <c r="AH189" s="2"/>
      <c r="AI189" s="2"/>
      <c r="AJ189" s="2"/>
      <c r="AK189" s="2"/>
      <c r="AL189" s="2"/>
      <c r="AM189" s="2"/>
      <c r="AN189" s="2"/>
    </row>
    <row r="190" spans="27:40" s="235" customFormat="1" x14ac:dyDescent="0.25">
      <c r="AA190" s="345"/>
      <c r="AB190" s="267"/>
      <c r="AC190" s="2"/>
      <c r="AD190" s="2"/>
      <c r="AE190" s="2"/>
      <c r="AF190" s="2"/>
      <c r="AG190" s="2"/>
      <c r="AH190" s="2"/>
      <c r="AI190" s="2"/>
      <c r="AJ190" s="2"/>
      <c r="AK190" s="2"/>
      <c r="AL190" s="2"/>
      <c r="AM190" s="2"/>
      <c r="AN190" s="2"/>
    </row>
    <row r="191" spans="27:40" s="235" customFormat="1" x14ac:dyDescent="0.25">
      <c r="AA191" s="345"/>
      <c r="AB191" s="267"/>
      <c r="AC191" s="2"/>
      <c r="AD191" s="2"/>
      <c r="AE191" s="2"/>
      <c r="AF191" s="2"/>
      <c r="AG191" s="2"/>
      <c r="AH191" s="2"/>
      <c r="AI191" s="2"/>
      <c r="AJ191" s="2"/>
      <c r="AK191" s="2"/>
      <c r="AL191" s="2"/>
      <c r="AM191" s="2"/>
      <c r="AN191" s="2"/>
    </row>
    <row r="192" spans="27:40" s="235" customFormat="1" x14ac:dyDescent="0.25">
      <c r="AA192" s="345"/>
      <c r="AB192" s="267"/>
      <c r="AC192" s="2"/>
      <c r="AD192" s="2"/>
      <c r="AE192" s="2"/>
      <c r="AF192" s="2"/>
      <c r="AG192" s="2"/>
      <c r="AH192" s="2"/>
      <c r="AI192" s="2"/>
      <c r="AJ192" s="2"/>
      <c r="AK192" s="2"/>
      <c r="AL192" s="2"/>
      <c r="AM192" s="2"/>
      <c r="AN192" s="2"/>
    </row>
    <row r="193" spans="27:40" s="235" customFormat="1" x14ac:dyDescent="0.25">
      <c r="AA193" s="345"/>
      <c r="AB193" s="267"/>
      <c r="AC193" s="2"/>
      <c r="AD193" s="2"/>
      <c r="AE193" s="2"/>
      <c r="AF193" s="2"/>
      <c r="AG193" s="2"/>
      <c r="AH193" s="2"/>
      <c r="AI193" s="2"/>
      <c r="AJ193" s="2"/>
      <c r="AK193" s="2"/>
      <c r="AL193" s="2"/>
      <c r="AM193" s="2"/>
      <c r="AN193" s="2"/>
    </row>
    <row r="194" spans="27:40" s="235" customFormat="1" x14ac:dyDescent="0.25">
      <c r="AA194" s="345"/>
      <c r="AB194" s="267"/>
      <c r="AC194" s="2"/>
      <c r="AD194" s="2"/>
      <c r="AE194" s="2"/>
      <c r="AF194" s="2"/>
      <c r="AG194" s="2"/>
      <c r="AH194" s="2"/>
      <c r="AI194" s="2"/>
      <c r="AJ194" s="2"/>
      <c r="AK194" s="2"/>
      <c r="AL194" s="2"/>
      <c r="AM194" s="2"/>
      <c r="AN194" s="2"/>
    </row>
    <row r="195" spans="27:40" s="235" customFormat="1" x14ac:dyDescent="0.25">
      <c r="AA195" s="345"/>
      <c r="AB195" s="267"/>
      <c r="AC195" s="2"/>
      <c r="AD195" s="2"/>
      <c r="AE195" s="2"/>
      <c r="AF195" s="2"/>
      <c r="AG195" s="2"/>
      <c r="AH195" s="2"/>
      <c r="AI195" s="2"/>
      <c r="AJ195" s="2"/>
      <c r="AK195" s="2"/>
      <c r="AL195" s="2"/>
      <c r="AM195" s="2"/>
      <c r="AN195" s="2"/>
    </row>
    <row r="196" spans="27:40" s="235" customFormat="1" x14ac:dyDescent="0.25">
      <c r="AA196" s="345"/>
      <c r="AB196" s="267"/>
      <c r="AC196" s="2"/>
      <c r="AD196" s="2"/>
      <c r="AE196" s="2"/>
      <c r="AF196" s="2"/>
      <c r="AG196" s="2"/>
      <c r="AH196" s="2"/>
      <c r="AI196" s="2"/>
      <c r="AJ196" s="2"/>
      <c r="AK196" s="2"/>
      <c r="AL196" s="2"/>
      <c r="AM196" s="2"/>
      <c r="AN196" s="2"/>
    </row>
    <row r="197" spans="27:40" s="235" customFormat="1" x14ac:dyDescent="0.25">
      <c r="AA197" s="345"/>
      <c r="AB197" s="267"/>
      <c r="AC197" s="2"/>
      <c r="AD197" s="2"/>
      <c r="AE197" s="2"/>
      <c r="AF197" s="2"/>
      <c r="AG197" s="2"/>
      <c r="AH197" s="2"/>
      <c r="AI197" s="2"/>
      <c r="AJ197" s="2"/>
      <c r="AK197" s="2"/>
      <c r="AL197" s="2"/>
      <c r="AM197" s="2"/>
      <c r="AN197" s="2"/>
    </row>
    <row r="198" spans="27:40" s="235" customFormat="1" x14ac:dyDescent="0.25">
      <c r="AA198" s="345"/>
      <c r="AB198" s="267"/>
      <c r="AC198" s="2"/>
      <c r="AD198" s="2"/>
      <c r="AE198" s="2"/>
      <c r="AF198" s="2"/>
      <c r="AG198" s="2"/>
      <c r="AH198" s="2"/>
      <c r="AI198" s="2"/>
      <c r="AJ198" s="2"/>
      <c r="AK198" s="2"/>
      <c r="AL198" s="2"/>
      <c r="AM198" s="2"/>
      <c r="AN198" s="2"/>
    </row>
    <row r="199" spans="27:40" s="235" customFormat="1" x14ac:dyDescent="0.25">
      <c r="AA199" s="345"/>
      <c r="AB199" s="267"/>
      <c r="AC199" s="2"/>
      <c r="AD199" s="2"/>
      <c r="AE199" s="2"/>
      <c r="AF199" s="2"/>
      <c r="AG199" s="2"/>
      <c r="AH199" s="2"/>
      <c r="AI199" s="2"/>
      <c r="AJ199" s="2"/>
      <c r="AK199" s="2"/>
      <c r="AL199" s="2"/>
      <c r="AM199" s="2"/>
      <c r="AN199" s="2"/>
    </row>
    <row r="200" spans="27:40" s="235" customFormat="1" x14ac:dyDescent="0.25">
      <c r="AA200" s="345"/>
      <c r="AB200" s="267"/>
      <c r="AC200" s="2"/>
      <c r="AD200" s="2"/>
      <c r="AE200" s="2"/>
      <c r="AF200" s="2"/>
      <c r="AG200" s="2"/>
      <c r="AH200" s="2"/>
      <c r="AI200" s="2"/>
      <c r="AJ200" s="2"/>
      <c r="AK200" s="2"/>
      <c r="AL200" s="2"/>
      <c r="AM200" s="2"/>
      <c r="AN200" s="2"/>
    </row>
    <row r="201" spans="27:40" s="235" customFormat="1" x14ac:dyDescent="0.25">
      <c r="AA201" s="345"/>
      <c r="AB201" s="267"/>
      <c r="AC201" s="2"/>
      <c r="AD201" s="2"/>
      <c r="AE201" s="2"/>
      <c r="AF201" s="2"/>
      <c r="AG201" s="2"/>
      <c r="AH201" s="2"/>
      <c r="AI201" s="2"/>
      <c r="AJ201" s="2"/>
      <c r="AK201" s="2"/>
      <c r="AL201" s="2"/>
      <c r="AM201" s="2"/>
      <c r="AN201" s="2"/>
    </row>
    <row r="202" spans="27:40" s="235" customFormat="1" x14ac:dyDescent="0.25">
      <c r="AA202" s="345"/>
      <c r="AB202" s="267"/>
      <c r="AC202" s="2"/>
      <c r="AD202" s="2"/>
      <c r="AE202" s="2"/>
      <c r="AF202" s="2"/>
      <c r="AG202" s="2"/>
      <c r="AH202" s="2"/>
      <c r="AI202" s="2"/>
      <c r="AJ202" s="2"/>
      <c r="AK202" s="2"/>
      <c r="AL202" s="2"/>
      <c r="AM202" s="2"/>
      <c r="AN202" s="2"/>
    </row>
    <row r="203" spans="27:40" s="235" customFormat="1" x14ac:dyDescent="0.25">
      <c r="AA203" s="345"/>
      <c r="AB203" s="267"/>
      <c r="AC203" s="2"/>
      <c r="AD203" s="2"/>
      <c r="AE203" s="2"/>
      <c r="AF203" s="2"/>
      <c r="AG203" s="2"/>
      <c r="AH203" s="2"/>
      <c r="AI203" s="2"/>
      <c r="AJ203" s="2"/>
      <c r="AK203" s="2"/>
      <c r="AL203" s="2"/>
      <c r="AM203" s="2"/>
      <c r="AN203" s="2"/>
    </row>
    <row r="204" spans="27:40" s="235" customFormat="1" x14ac:dyDescent="0.25">
      <c r="AA204" s="345"/>
      <c r="AB204" s="267"/>
      <c r="AC204" s="2"/>
      <c r="AD204" s="2"/>
      <c r="AE204" s="2"/>
      <c r="AF204" s="2"/>
      <c r="AG204" s="2"/>
      <c r="AH204" s="2"/>
      <c r="AI204" s="2"/>
      <c r="AJ204" s="2"/>
      <c r="AK204" s="2"/>
      <c r="AL204" s="2"/>
      <c r="AM204" s="2"/>
      <c r="AN204" s="2"/>
    </row>
    <row r="205" spans="27:40" s="235" customFormat="1" x14ac:dyDescent="0.25">
      <c r="AA205" s="345"/>
      <c r="AB205" s="267"/>
      <c r="AC205" s="2"/>
      <c r="AD205" s="2"/>
      <c r="AE205" s="2"/>
      <c r="AF205" s="2"/>
      <c r="AG205" s="2"/>
      <c r="AH205" s="2"/>
      <c r="AI205" s="2"/>
      <c r="AJ205" s="2"/>
      <c r="AK205" s="2"/>
      <c r="AL205" s="2"/>
      <c r="AM205" s="2"/>
      <c r="AN205" s="2"/>
    </row>
    <row r="206" spans="27:40" s="235" customFormat="1" x14ac:dyDescent="0.25">
      <c r="AA206" s="345"/>
      <c r="AB206" s="267"/>
      <c r="AC206" s="2"/>
      <c r="AD206" s="2"/>
      <c r="AE206" s="2"/>
      <c r="AF206" s="2"/>
      <c r="AG206" s="2"/>
      <c r="AH206" s="2"/>
      <c r="AI206" s="2"/>
      <c r="AJ206" s="2"/>
      <c r="AK206" s="2"/>
      <c r="AL206" s="2"/>
      <c r="AM206" s="2"/>
      <c r="AN206" s="2"/>
    </row>
    <row r="207" spans="27:40" s="235" customFormat="1" x14ac:dyDescent="0.25">
      <c r="AA207" s="345"/>
      <c r="AB207" s="267"/>
      <c r="AC207" s="2"/>
      <c r="AD207" s="2"/>
      <c r="AE207" s="2"/>
      <c r="AF207" s="2"/>
      <c r="AG207" s="2"/>
      <c r="AH207" s="2"/>
      <c r="AI207" s="2"/>
      <c r="AJ207" s="2"/>
      <c r="AK207" s="2"/>
      <c r="AL207" s="2"/>
      <c r="AM207" s="2"/>
      <c r="AN207" s="2"/>
    </row>
    <row r="208" spans="27:40" s="235" customFormat="1" x14ac:dyDescent="0.25">
      <c r="AA208" s="345"/>
      <c r="AB208" s="267"/>
      <c r="AC208" s="2"/>
      <c r="AD208" s="2"/>
      <c r="AE208" s="2"/>
      <c r="AF208" s="2"/>
      <c r="AG208" s="2"/>
      <c r="AH208" s="2"/>
      <c r="AI208" s="2"/>
      <c r="AJ208" s="2"/>
      <c r="AK208" s="2"/>
      <c r="AL208" s="2"/>
      <c r="AM208" s="2"/>
      <c r="AN208" s="2"/>
    </row>
    <row r="209" spans="27:40" s="235" customFormat="1" x14ac:dyDescent="0.25">
      <c r="AA209" s="345"/>
      <c r="AB209" s="267"/>
      <c r="AC209" s="2"/>
      <c r="AD209" s="2"/>
      <c r="AE209" s="2"/>
      <c r="AF209" s="2"/>
      <c r="AG209" s="2"/>
      <c r="AH209" s="2"/>
      <c r="AI209" s="2"/>
      <c r="AJ209" s="2"/>
      <c r="AK209" s="2"/>
      <c r="AL209" s="2"/>
      <c r="AM209" s="2"/>
      <c r="AN209" s="2"/>
    </row>
    <row r="210" spans="27:40" s="235" customFormat="1" x14ac:dyDescent="0.25">
      <c r="AA210" s="345"/>
      <c r="AB210" s="267"/>
      <c r="AC210" s="2"/>
      <c r="AD210" s="2"/>
      <c r="AE210" s="2"/>
      <c r="AF210" s="2"/>
      <c r="AG210" s="2"/>
      <c r="AH210" s="2"/>
      <c r="AI210" s="2"/>
      <c r="AJ210" s="2"/>
      <c r="AK210" s="2"/>
      <c r="AL210" s="2"/>
      <c r="AM210" s="2"/>
      <c r="AN210" s="2"/>
    </row>
    <row r="211" spans="27:40" s="235" customFormat="1" x14ac:dyDescent="0.25">
      <c r="AA211" s="345"/>
      <c r="AB211" s="267"/>
      <c r="AC211" s="2"/>
      <c r="AD211" s="2"/>
      <c r="AE211" s="2"/>
      <c r="AF211" s="2"/>
      <c r="AG211" s="2"/>
      <c r="AH211" s="2"/>
      <c r="AI211" s="2"/>
      <c r="AJ211" s="2"/>
      <c r="AK211" s="2"/>
      <c r="AL211" s="2"/>
      <c r="AM211" s="2"/>
      <c r="AN211" s="2"/>
    </row>
    <row r="212" spans="27:40" s="235" customFormat="1" x14ac:dyDescent="0.25">
      <c r="AA212" s="345"/>
      <c r="AB212" s="267"/>
      <c r="AC212" s="2"/>
      <c r="AD212" s="2"/>
      <c r="AE212" s="2"/>
      <c r="AF212" s="2"/>
      <c r="AG212" s="2"/>
      <c r="AH212" s="2"/>
      <c r="AI212" s="2"/>
      <c r="AJ212" s="2"/>
      <c r="AK212" s="2"/>
      <c r="AL212" s="2"/>
      <c r="AM212" s="2"/>
      <c r="AN212" s="2"/>
    </row>
    <row r="213" spans="27:40" s="235" customFormat="1" x14ac:dyDescent="0.25">
      <c r="AA213" s="345"/>
      <c r="AB213" s="267"/>
      <c r="AC213" s="2"/>
      <c r="AD213" s="2"/>
      <c r="AE213" s="2"/>
      <c r="AF213" s="2"/>
      <c r="AG213" s="2"/>
      <c r="AH213" s="2"/>
      <c r="AI213" s="2"/>
      <c r="AJ213" s="2"/>
      <c r="AK213" s="2"/>
      <c r="AL213" s="2"/>
      <c r="AM213" s="2"/>
      <c r="AN213" s="2"/>
    </row>
    <row r="214" spans="27:40" s="235" customFormat="1" x14ac:dyDescent="0.25">
      <c r="AA214" s="345"/>
      <c r="AB214" s="267"/>
      <c r="AC214" s="2"/>
      <c r="AD214" s="2"/>
      <c r="AE214" s="2"/>
      <c r="AF214" s="2"/>
      <c r="AG214" s="2"/>
      <c r="AH214" s="2"/>
      <c r="AI214" s="2"/>
      <c r="AJ214" s="2"/>
      <c r="AK214" s="2"/>
      <c r="AL214" s="2"/>
      <c r="AM214" s="2"/>
      <c r="AN214" s="2"/>
    </row>
    <row r="215" spans="27:40" s="235" customFormat="1" x14ac:dyDescent="0.25">
      <c r="AA215" s="345"/>
      <c r="AB215" s="267"/>
      <c r="AC215" s="2"/>
      <c r="AD215" s="2"/>
      <c r="AE215" s="2"/>
      <c r="AF215" s="2"/>
      <c r="AG215" s="2"/>
      <c r="AH215" s="2"/>
      <c r="AI215" s="2"/>
      <c r="AJ215" s="2"/>
      <c r="AK215" s="2"/>
      <c r="AL215" s="2"/>
      <c r="AM215" s="2"/>
      <c r="AN215" s="2"/>
    </row>
    <row r="216" spans="27:40" s="235" customFormat="1" x14ac:dyDescent="0.25">
      <c r="AA216" s="345"/>
      <c r="AB216" s="267"/>
      <c r="AC216" s="2"/>
      <c r="AD216" s="2"/>
      <c r="AE216" s="2"/>
      <c r="AF216" s="2"/>
      <c r="AG216" s="2"/>
      <c r="AH216" s="2"/>
      <c r="AI216" s="2"/>
      <c r="AJ216" s="2"/>
      <c r="AK216" s="2"/>
      <c r="AL216" s="2"/>
      <c r="AM216" s="2"/>
      <c r="AN216" s="2"/>
    </row>
    <row r="217" spans="27:40" s="235" customFormat="1" x14ac:dyDescent="0.25">
      <c r="AA217" s="345"/>
      <c r="AB217" s="267"/>
      <c r="AC217" s="2"/>
      <c r="AD217" s="2"/>
      <c r="AE217" s="2"/>
      <c r="AF217" s="2"/>
      <c r="AG217" s="2"/>
      <c r="AH217" s="2"/>
      <c r="AI217" s="2"/>
      <c r="AJ217" s="2"/>
      <c r="AK217" s="2"/>
      <c r="AL217" s="2"/>
      <c r="AM217" s="2"/>
      <c r="AN217" s="2"/>
    </row>
    <row r="218" spans="27:40" s="235" customFormat="1" x14ac:dyDescent="0.25">
      <c r="AA218" s="345"/>
      <c r="AB218" s="267"/>
      <c r="AC218" s="2"/>
      <c r="AD218" s="2"/>
      <c r="AE218" s="2"/>
      <c r="AF218" s="2"/>
      <c r="AG218" s="2"/>
      <c r="AH218" s="2"/>
      <c r="AI218" s="2"/>
      <c r="AJ218" s="2"/>
      <c r="AK218" s="2"/>
      <c r="AL218" s="2"/>
      <c r="AM218" s="2"/>
      <c r="AN218" s="2"/>
    </row>
    <row r="219" spans="27:40" s="235" customFormat="1" x14ac:dyDescent="0.25">
      <c r="AA219" s="345"/>
      <c r="AB219" s="267"/>
      <c r="AC219" s="2"/>
      <c r="AD219" s="2"/>
      <c r="AE219" s="2"/>
      <c r="AF219" s="2"/>
      <c r="AG219" s="2"/>
      <c r="AH219" s="2"/>
      <c r="AI219" s="2"/>
      <c r="AJ219" s="2"/>
      <c r="AK219" s="2"/>
      <c r="AL219" s="2"/>
      <c r="AM219" s="2"/>
      <c r="AN219" s="2"/>
    </row>
    <row r="220" spans="27:40" s="235" customFormat="1" x14ac:dyDescent="0.25">
      <c r="AA220" s="345"/>
      <c r="AB220" s="267"/>
      <c r="AC220" s="2"/>
      <c r="AD220" s="2"/>
      <c r="AE220" s="2"/>
      <c r="AF220" s="2"/>
      <c r="AG220" s="2"/>
      <c r="AH220" s="2"/>
      <c r="AI220" s="2"/>
      <c r="AJ220" s="2"/>
      <c r="AK220" s="2"/>
      <c r="AL220" s="2"/>
      <c r="AM220" s="2"/>
      <c r="AN220" s="2"/>
    </row>
    <row r="221" spans="27:40" s="235" customFormat="1" x14ac:dyDescent="0.25">
      <c r="AA221" s="345"/>
      <c r="AB221" s="267"/>
      <c r="AC221" s="2"/>
      <c r="AD221" s="2"/>
      <c r="AE221" s="2"/>
      <c r="AF221" s="2"/>
      <c r="AG221" s="2"/>
      <c r="AH221" s="2"/>
      <c r="AI221" s="2"/>
      <c r="AJ221" s="2"/>
      <c r="AK221" s="2"/>
      <c r="AL221" s="2"/>
      <c r="AM221" s="2"/>
      <c r="AN221" s="2"/>
    </row>
    <row r="222" spans="27:40" s="235" customFormat="1" x14ac:dyDescent="0.25">
      <c r="AA222" s="345"/>
      <c r="AB222" s="267"/>
      <c r="AC222" s="2"/>
      <c r="AD222" s="2"/>
      <c r="AE222" s="2"/>
      <c r="AF222" s="2"/>
      <c r="AG222" s="2"/>
      <c r="AH222" s="2"/>
      <c r="AI222" s="2"/>
      <c r="AJ222" s="2"/>
      <c r="AK222" s="2"/>
      <c r="AL222" s="2"/>
      <c r="AM222" s="2"/>
      <c r="AN222" s="2"/>
    </row>
    <row r="223" spans="27:40" s="235" customFormat="1" x14ac:dyDescent="0.25">
      <c r="AA223" s="345"/>
      <c r="AB223" s="267"/>
      <c r="AC223" s="2"/>
      <c r="AD223" s="2"/>
      <c r="AE223" s="2"/>
      <c r="AF223" s="2"/>
      <c r="AG223" s="2"/>
      <c r="AH223" s="2"/>
      <c r="AI223" s="2"/>
      <c r="AJ223" s="2"/>
      <c r="AK223" s="2"/>
      <c r="AL223" s="2"/>
      <c r="AM223" s="2"/>
      <c r="AN223" s="2"/>
    </row>
    <row r="224" spans="27:40" s="235" customFormat="1" x14ac:dyDescent="0.25">
      <c r="AA224" s="345"/>
      <c r="AB224" s="267"/>
      <c r="AC224" s="2"/>
      <c r="AD224" s="2"/>
      <c r="AE224" s="2"/>
      <c r="AF224" s="2"/>
      <c r="AG224" s="2"/>
      <c r="AH224" s="2"/>
      <c r="AI224" s="2"/>
      <c r="AJ224" s="2"/>
      <c r="AK224" s="2"/>
      <c r="AL224" s="2"/>
      <c r="AM224" s="2"/>
      <c r="AN224" s="2"/>
    </row>
    <row r="225" spans="27:40" s="235" customFormat="1" x14ac:dyDescent="0.25">
      <c r="AA225" s="345"/>
      <c r="AB225" s="267"/>
      <c r="AC225" s="2"/>
      <c r="AD225" s="2"/>
      <c r="AE225" s="2"/>
      <c r="AF225" s="2"/>
      <c r="AG225" s="2"/>
      <c r="AH225" s="2"/>
      <c r="AI225" s="2"/>
      <c r="AJ225" s="2"/>
      <c r="AK225" s="2"/>
      <c r="AL225" s="2"/>
      <c r="AM225" s="2"/>
      <c r="AN225" s="2"/>
    </row>
    <row r="226" spans="27:40" s="235" customFormat="1" x14ac:dyDescent="0.25">
      <c r="AA226" s="345"/>
      <c r="AB226" s="267"/>
      <c r="AC226" s="2"/>
      <c r="AD226" s="2"/>
      <c r="AE226" s="2"/>
      <c r="AF226" s="2"/>
      <c r="AG226" s="2"/>
      <c r="AH226" s="2"/>
      <c r="AI226" s="2"/>
      <c r="AJ226" s="2"/>
      <c r="AK226" s="2"/>
      <c r="AL226" s="2"/>
      <c r="AM226" s="2"/>
      <c r="AN226" s="2"/>
    </row>
    <row r="227" spans="27:40" s="235" customFormat="1" x14ac:dyDescent="0.25">
      <c r="AA227" s="345"/>
      <c r="AB227" s="267"/>
      <c r="AC227" s="2"/>
      <c r="AD227" s="2"/>
      <c r="AE227" s="2"/>
      <c r="AF227" s="2"/>
      <c r="AG227" s="2"/>
      <c r="AH227" s="2"/>
      <c r="AI227" s="2"/>
      <c r="AJ227" s="2"/>
      <c r="AK227" s="2"/>
      <c r="AL227" s="2"/>
      <c r="AM227" s="2"/>
      <c r="AN227" s="2"/>
    </row>
    <row r="228" spans="27:40" s="235" customFormat="1" x14ac:dyDescent="0.25">
      <c r="AA228" s="345"/>
      <c r="AB228" s="267"/>
      <c r="AC228" s="2"/>
      <c r="AD228" s="2"/>
      <c r="AE228" s="2"/>
      <c r="AF228" s="2"/>
      <c r="AG228" s="2"/>
      <c r="AH228" s="2"/>
      <c r="AI228" s="2"/>
      <c r="AJ228" s="2"/>
      <c r="AK228" s="2"/>
      <c r="AL228" s="2"/>
      <c r="AM228" s="2"/>
      <c r="AN228" s="2"/>
    </row>
    <row r="229" spans="27:40" s="235" customFormat="1" x14ac:dyDescent="0.25">
      <c r="AA229" s="345"/>
      <c r="AB229" s="267"/>
      <c r="AC229" s="2"/>
      <c r="AD229" s="2"/>
      <c r="AE229" s="2"/>
      <c r="AF229" s="2"/>
      <c r="AG229" s="2"/>
      <c r="AH229" s="2"/>
      <c r="AI229" s="2"/>
      <c r="AJ229" s="2"/>
      <c r="AK229" s="2"/>
      <c r="AL229" s="2"/>
      <c r="AM229" s="2"/>
      <c r="AN229" s="2"/>
    </row>
    <row r="230" spans="27:40" s="235" customFormat="1" x14ac:dyDescent="0.25">
      <c r="AA230" s="345"/>
      <c r="AB230" s="267"/>
      <c r="AC230" s="2"/>
      <c r="AD230" s="2"/>
      <c r="AE230" s="2"/>
      <c r="AF230" s="2"/>
      <c r="AG230" s="2"/>
      <c r="AH230" s="2"/>
      <c r="AI230" s="2"/>
      <c r="AJ230" s="2"/>
      <c r="AK230" s="2"/>
      <c r="AL230" s="2"/>
      <c r="AM230" s="2"/>
      <c r="AN230" s="2"/>
    </row>
    <row r="231" spans="27:40" s="235" customFormat="1" x14ac:dyDescent="0.25">
      <c r="AA231" s="345"/>
      <c r="AB231" s="267"/>
      <c r="AC231" s="2"/>
      <c r="AD231" s="2"/>
      <c r="AE231" s="2"/>
      <c r="AF231" s="2"/>
      <c r="AG231" s="2"/>
      <c r="AH231" s="2"/>
      <c r="AI231" s="2"/>
      <c r="AJ231" s="2"/>
      <c r="AK231" s="2"/>
      <c r="AL231" s="2"/>
      <c r="AM231" s="2"/>
      <c r="AN231" s="2"/>
    </row>
    <row r="232" spans="27:40" s="235" customFormat="1" x14ac:dyDescent="0.25">
      <c r="AA232" s="345"/>
      <c r="AB232" s="267"/>
      <c r="AC232" s="2"/>
      <c r="AD232" s="2"/>
      <c r="AE232" s="2"/>
      <c r="AF232" s="2"/>
      <c r="AG232" s="2"/>
      <c r="AH232" s="2"/>
      <c r="AI232" s="2"/>
      <c r="AJ232" s="2"/>
      <c r="AK232" s="2"/>
      <c r="AL232" s="2"/>
      <c r="AM232" s="2"/>
      <c r="AN232" s="2"/>
    </row>
    <row r="233" spans="27:40" s="235" customFormat="1" x14ac:dyDescent="0.25">
      <c r="AA233" s="345"/>
      <c r="AB233" s="267"/>
      <c r="AC233" s="2"/>
      <c r="AD233" s="2"/>
      <c r="AE233" s="2"/>
      <c r="AF233" s="2"/>
      <c r="AG233" s="2"/>
      <c r="AH233" s="2"/>
      <c r="AI233" s="2"/>
      <c r="AJ233" s="2"/>
      <c r="AK233" s="2"/>
      <c r="AL233" s="2"/>
      <c r="AM233" s="2"/>
      <c r="AN233" s="2"/>
    </row>
    <row r="234" spans="27:40" s="235" customFormat="1" x14ac:dyDescent="0.25">
      <c r="AA234" s="345"/>
      <c r="AB234" s="267"/>
      <c r="AC234" s="2"/>
      <c r="AD234" s="2"/>
      <c r="AE234" s="2"/>
      <c r="AF234" s="2"/>
      <c r="AG234" s="2"/>
      <c r="AH234" s="2"/>
      <c r="AI234" s="2"/>
      <c r="AJ234" s="2"/>
      <c r="AK234" s="2"/>
      <c r="AL234" s="2"/>
      <c r="AM234" s="2"/>
      <c r="AN234" s="2"/>
    </row>
    <row r="235" spans="27:40" s="235" customFormat="1" x14ac:dyDescent="0.25">
      <c r="AA235" s="345"/>
      <c r="AB235" s="267"/>
      <c r="AC235" s="2"/>
      <c r="AD235" s="2"/>
      <c r="AE235" s="2"/>
      <c r="AF235" s="2"/>
      <c r="AG235" s="2"/>
      <c r="AH235" s="2"/>
      <c r="AI235" s="2"/>
      <c r="AJ235" s="2"/>
      <c r="AK235" s="2"/>
      <c r="AL235" s="2"/>
      <c r="AM235" s="2"/>
      <c r="AN235" s="2"/>
    </row>
    <row r="236" spans="27:40" s="235" customFormat="1" x14ac:dyDescent="0.25">
      <c r="AA236" s="345"/>
      <c r="AB236" s="267"/>
      <c r="AC236" s="2"/>
      <c r="AD236" s="2"/>
      <c r="AE236" s="2"/>
      <c r="AF236" s="2"/>
      <c r="AG236" s="2"/>
      <c r="AH236" s="2"/>
      <c r="AI236" s="2"/>
      <c r="AJ236" s="2"/>
      <c r="AK236" s="2"/>
      <c r="AL236" s="2"/>
      <c r="AM236" s="2"/>
      <c r="AN236" s="2"/>
    </row>
    <row r="237" spans="27:40" s="235" customFormat="1" x14ac:dyDescent="0.25">
      <c r="AA237" s="345"/>
      <c r="AB237" s="267"/>
      <c r="AC237" s="2"/>
      <c r="AD237" s="2"/>
      <c r="AE237" s="2"/>
      <c r="AF237" s="2"/>
      <c r="AG237" s="2"/>
      <c r="AH237" s="2"/>
      <c r="AI237" s="2"/>
      <c r="AJ237" s="2"/>
      <c r="AK237" s="2"/>
      <c r="AL237" s="2"/>
      <c r="AM237" s="2"/>
      <c r="AN237" s="2"/>
    </row>
    <row r="238" spans="27:40" s="235" customFormat="1" x14ac:dyDescent="0.25">
      <c r="AA238" s="345"/>
      <c r="AB238" s="267"/>
      <c r="AC238" s="2"/>
      <c r="AD238" s="2"/>
      <c r="AE238" s="2"/>
      <c r="AF238" s="2"/>
      <c r="AG238" s="2"/>
      <c r="AH238" s="2"/>
      <c r="AI238" s="2"/>
      <c r="AJ238" s="2"/>
      <c r="AK238" s="2"/>
      <c r="AL238" s="2"/>
      <c r="AM238" s="2"/>
      <c r="AN238" s="2"/>
    </row>
    <row r="239" spans="27:40" s="235" customFormat="1" x14ac:dyDescent="0.25">
      <c r="AA239" s="345"/>
      <c r="AB239" s="267"/>
      <c r="AC239" s="2"/>
      <c r="AD239" s="2"/>
      <c r="AE239" s="2"/>
      <c r="AF239" s="2"/>
      <c r="AG239" s="2"/>
      <c r="AH239" s="2"/>
      <c r="AI239" s="2"/>
      <c r="AJ239" s="2"/>
      <c r="AK239" s="2"/>
      <c r="AL239" s="2"/>
      <c r="AM239" s="2"/>
      <c r="AN239" s="2"/>
    </row>
    <row r="240" spans="27:40" s="235" customFormat="1" x14ac:dyDescent="0.25">
      <c r="AA240" s="345"/>
      <c r="AB240" s="267"/>
      <c r="AC240" s="2"/>
      <c r="AD240" s="2"/>
      <c r="AE240" s="2"/>
      <c r="AF240" s="2"/>
      <c r="AG240" s="2"/>
      <c r="AH240" s="2"/>
      <c r="AI240" s="2"/>
      <c r="AJ240" s="2"/>
      <c r="AK240" s="2"/>
      <c r="AL240" s="2"/>
      <c r="AM240" s="2"/>
      <c r="AN240" s="2"/>
    </row>
    <row r="241" spans="27:40" s="235" customFormat="1" x14ac:dyDescent="0.25">
      <c r="AA241" s="345"/>
      <c r="AB241" s="267"/>
      <c r="AC241" s="2"/>
      <c r="AD241" s="2"/>
      <c r="AE241" s="2"/>
      <c r="AF241" s="2"/>
      <c r="AG241" s="2"/>
      <c r="AH241" s="2"/>
      <c r="AI241" s="2"/>
      <c r="AJ241" s="2"/>
      <c r="AK241" s="2"/>
      <c r="AL241" s="2"/>
      <c r="AM241" s="2"/>
      <c r="AN241" s="2"/>
    </row>
    <row r="242" spans="27:40" s="235" customFormat="1" x14ac:dyDescent="0.25">
      <c r="AA242" s="345"/>
      <c r="AB242" s="267"/>
      <c r="AC242" s="2"/>
      <c r="AD242" s="2"/>
      <c r="AE242" s="2"/>
      <c r="AF242" s="2"/>
      <c r="AG242" s="2"/>
      <c r="AH242" s="2"/>
      <c r="AI242" s="2"/>
      <c r="AJ242" s="2"/>
      <c r="AK242" s="2"/>
      <c r="AL242" s="2"/>
      <c r="AM242" s="2"/>
      <c r="AN242" s="2"/>
    </row>
    <row r="243" spans="27:40" s="235" customFormat="1" x14ac:dyDescent="0.25">
      <c r="AA243" s="345"/>
      <c r="AB243" s="267"/>
      <c r="AC243" s="2"/>
      <c r="AD243" s="2"/>
      <c r="AE243" s="2"/>
      <c r="AF243" s="2"/>
      <c r="AG243" s="2"/>
      <c r="AH243" s="2"/>
      <c r="AI243" s="2"/>
      <c r="AJ243" s="2"/>
      <c r="AK243" s="2"/>
      <c r="AL243" s="2"/>
      <c r="AM243" s="2"/>
      <c r="AN243" s="2"/>
    </row>
    <row r="244" spans="27:40" s="235" customFormat="1" x14ac:dyDescent="0.25">
      <c r="AA244" s="345"/>
      <c r="AB244" s="267"/>
      <c r="AC244" s="2"/>
      <c r="AD244" s="2"/>
      <c r="AE244" s="2"/>
      <c r="AF244" s="2"/>
      <c r="AG244" s="2"/>
      <c r="AH244" s="2"/>
      <c r="AI244" s="2"/>
      <c r="AJ244" s="2"/>
      <c r="AK244" s="2"/>
      <c r="AL244" s="2"/>
      <c r="AM244" s="2"/>
      <c r="AN244" s="2"/>
    </row>
    <row r="245" spans="27:40" s="235" customFormat="1" x14ac:dyDescent="0.25">
      <c r="AA245" s="345"/>
      <c r="AB245" s="267"/>
      <c r="AC245" s="2"/>
      <c r="AD245" s="2"/>
      <c r="AE245" s="2"/>
      <c r="AF245" s="2"/>
      <c r="AG245" s="2"/>
      <c r="AH245" s="2"/>
      <c r="AI245" s="2"/>
      <c r="AJ245" s="2"/>
      <c r="AK245" s="2"/>
      <c r="AL245" s="2"/>
      <c r="AM245" s="2"/>
      <c r="AN245" s="2"/>
    </row>
    <row r="246" spans="27:40" s="235" customFormat="1" x14ac:dyDescent="0.25">
      <c r="AA246" s="345"/>
      <c r="AB246" s="267"/>
      <c r="AC246" s="2"/>
      <c r="AD246" s="2"/>
      <c r="AE246" s="2"/>
      <c r="AF246" s="2"/>
      <c r="AG246" s="2"/>
      <c r="AH246" s="2"/>
      <c r="AI246" s="2"/>
      <c r="AJ246" s="2"/>
      <c r="AK246" s="2"/>
      <c r="AL246" s="2"/>
      <c r="AM246" s="2"/>
      <c r="AN246" s="2"/>
    </row>
    <row r="247" spans="27:40" s="235" customFormat="1" x14ac:dyDescent="0.25">
      <c r="AA247" s="345"/>
      <c r="AB247" s="267"/>
      <c r="AC247" s="2"/>
      <c r="AD247" s="2"/>
      <c r="AE247" s="2"/>
      <c r="AF247" s="2"/>
      <c r="AG247" s="2"/>
      <c r="AH247" s="2"/>
      <c r="AI247" s="2"/>
      <c r="AJ247" s="2"/>
      <c r="AK247" s="2"/>
      <c r="AL247" s="2"/>
      <c r="AM247" s="2"/>
      <c r="AN247" s="2"/>
    </row>
    <row r="248" spans="27:40" s="235" customFormat="1" x14ac:dyDescent="0.25">
      <c r="AA248" s="345"/>
      <c r="AB248" s="267"/>
      <c r="AC248" s="2"/>
      <c r="AD248" s="2"/>
      <c r="AE248" s="2"/>
      <c r="AF248" s="2"/>
      <c r="AG248" s="2"/>
      <c r="AH248" s="2"/>
      <c r="AI248" s="2"/>
      <c r="AJ248" s="2"/>
      <c r="AK248" s="2"/>
      <c r="AL248" s="2"/>
      <c r="AM248" s="2"/>
      <c r="AN248" s="2"/>
    </row>
    <row r="249" spans="27:40" s="235" customFormat="1" x14ac:dyDescent="0.25">
      <c r="AA249" s="345"/>
      <c r="AB249" s="267"/>
      <c r="AC249" s="2"/>
      <c r="AD249" s="2"/>
      <c r="AE249" s="2"/>
      <c r="AF249" s="2"/>
      <c r="AG249" s="2"/>
      <c r="AH249" s="2"/>
      <c r="AI249" s="2"/>
      <c r="AJ249" s="2"/>
      <c r="AK249" s="2"/>
      <c r="AL249" s="2"/>
      <c r="AM249" s="2"/>
      <c r="AN249" s="2"/>
    </row>
    <row r="250" spans="27:40" s="235" customFormat="1" x14ac:dyDescent="0.25">
      <c r="AA250" s="345"/>
      <c r="AB250" s="267"/>
      <c r="AC250" s="2"/>
      <c r="AD250" s="2"/>
      <c r="AE250" s="2"/>
      <c r="AF250" s="2"/>
      <c r="AG250" s="2"/>
      <c r="AH250" s="2"/>
      <c r="AI250" s="2"/>
      <c r="AJ250" s="2"/>
      <c r="AK250" s="2"/>
      <c r="AL250" s="2"/>
      <c r="AM250" s="2"/>
      <c r="AN250" s="2"/>
    </row>
    <row r="251" spans="27:40" s="235" customFormat="1" x14ac:dyDescent="0.25">
      <c r="AA251" s="345"/>
      <c r="AB251" s="267"/>
      <c r="AC251" s="2"/>
      <c r="AD251" s="2"/>
      <c r="AE251" s="2"/>
      <c r="AF251" s="2"/>
      <c r="AG251" s="2"/>
      <c r="AH251" s="2"/>
      <c r="AI251" s="2"/>
      <c r="AJ251" s="2"/>
      <c r="AK251" s="2"/>
      <c r="AL251" s="2"/>
      <c r="AM251" s="2"/>
      <c r="AN251" s="2"/>
    </row>
    <row r="252" spans="27:40" s="235" customFormat="1" x14ac:dyDescent="0.25">
      <c r="AA252" s="345"/>
      <c r="AB252" s="267"/>
      <c r="AC252" s="2"/>
      <c r="AD252" s="2"/>
      <c r="AE252" s="2"/>
      <c r="AF252" s="2"/>
      <c r="AG252" s="2"/>
      <c r="AH252" s="2"/>
      <c r="AI252" s="2"/>
      <c r="AJ252" s="2"/>
      <c r="AK252" s="2"/>
      <c r="AL252" s="2"/>
      <c r="AM252" s="2"/>
      <c r="AN252" s="2"/>
    </row>
    <row r="253" spans="27:40" s="235" customFormat="1" x14ac:dyDescent="0.25">
      <c r="AA253" s="345"/>
      <c r="AB253" s="267"/>
      <c r="AC253" s="2"/>
      <c r="AD253" s="2"/>
      <c r="AE253" s="2"/>
      <c r="AF253" s="2"/>
      <c r="AG253" s="2"/>
      <c r="AH253" s="2"/>
      <c r="AI253" s="2"/>
      <c r="AJ253" s="2"/>
      <c r="AK253" s="2"/>
      <c r="AL253" s="2"/>
      <c r="AM253" s="2"/>
      <c r="AN253" s="2"/>
    </row>
    <row r="254" spans="27:40" s="235" customFormat="1" x14ac:dyDescent="0.25">
      <c r="AA254" s="345"/>
      <c r="AB254" s="267"/>
      <c r="AC254" s="2"/>
      <c r="AD254" s="2"/>
      <c r="AE254" s="2"/>
      <c r="AF254" s="2"/>
      <c r="AG254" s="2"/>
      <c r="AH254" s="2"/>
      <c r="AI254" s="2"/>
      <c r="AJ254" s="2"/>
      <c r="AK254" s="2"/>
      <c r="AL254" s="2"/>
      <c r="AM254" s="2"/>
      <c r="AN254" s="2"/>
    </row>
    <row r="255" spans="27:40" s="235" customFormat="1" x14ac:dyDescent="0.25">
      <c r="AA255" s="345"/>
      <c r="AB255" s="267"/>
      <c r="AC255" s="2"/>
      <c r="AD255" s="2"/>
      <c r="AE255" s="2"/>
      <c r="AF255" s="2"/>
      <c r="AG255" s="2"/>
      <c r="AH255" s="2"/>
      <c r="AI255" s="2"/>
      <c r="AJ255" s="2"/>
      <c r="AK255" s="2"/>
      <c r="AL255" s="2"/>
      <c r="AM255" s="2"/>
      <c r="AN255" s="2"/>
    </row>
    <row r="256" spans="27:40" s="235" customFormat="1" x14ac:dyDescent="0.25">
      <c r="AA256" s="345"/>
      <c r="AB256" s="267"/>
      <c r="AC256" s="2"/>
      <c r="AD256" s="2"/>
      <c r="AE256" s="2"/>
      <c r="AF256" s="2"/>
      <c r="AG256" s="2"/>
      <c r="AH256" s="2"/>
      <c r="AI256" s="2"/>
      <c r="AJ256" s="2"/>
      <c r="AK256" s="2"/>
      <c r="AL256" s="2"/>
      <c r="AM256" s="2"/>
      <c r="AN256" s="2"/>
    </row>
    <row r="257" spans="27:40" s="235" customFormat="1" x14ac:dyDescent="0.25">
      <c r="AA257" s="345"/>
      <c r="AB257" s="267"/>
      <c r="AC257" s="2"/>
      <c r="AD257" s="2"/>
      <c r="AE257" s="2"/>
      <c r="AF257" s="2"/>
      <c r="AG257" s="2"/>
      <c r="AH257" s="2"/>
      <c r="AI257" s="2"/>
      <c r="AJ257" s="2"/>
      <c r="AK257" s="2"/>
      <c r="AL257" s="2"/>
      <c r="AM257" s="2"/>
      <c r="AN257" s="2"/>
    </row>
    <row r="258" spans="27:40" s="235" customFormat="1" x14ac:dyDescent="0.25">
      <c r="AA258" s="345"/>
      <c r="AB258" s="267"/>
      <c r="AC258" s="2"/>
      <c r="AD258" s="2"/>
      <c r="AE258" s="2"/>
      <c r="AF258" s="2"/>
      <c r="AG258" s="2"/>
      <c r="AH258" s="2"/>
      <c r="AI258" s="2"/>
      <c r="AJ258" s="2"/>
      <c r="AK258" s="2"/>
      <c r="AL258" s="2"/>
      <c r="AM258" s="2"/>
      <c r="AN258" s="2"/>
    </row>
    <row r="259" spans="27:40" s="235" customFormat="1" x14ac:dyDescent="0.25">
      <c r="AA259" s="345"/>
      <c r="AB259" s="267"/>
      <c r="AC259" s="2"/>
      <c r="AD259" s="2"/>
      <c r="AE259" s="2"/>
      <c r="AF259" s="2"/>
      <c r="AG259" s="2"/>
      <c r="AH259" s="2"/>
      <c r="AI259" s="2"/>
      <c r="AJ259" s="2"/>
      <c r="AK259" s="2"/>
      <c r="AL259" s="2"/>
      <c r="AM259" s="2"/>
      <c r="AN259" s="2"/>
    </row>
    <row r="260" spans="27:40" s="235" customFormat="1" x14ac:dyDescent="0.25">
      <c r="AA260" s="345"/>
      <c r="AB260" s="267"/>
      <c r="AC260" s="2"/>
      <c r="AD260" s="2"/>
      <c r="AE260" s="2"/>
      <c r="AF260" s="2"/>
      <c r="AG260" s="2"/>
      <c r="AH260" s="2"/>
      <c r="AI260" s="2"/>
      <c r="AJ260" s="2"/>
      <c r="AK260" s="2"/>
      <c r="AL260" s="2"/>
      <c r="AM260" s="2"/>
      <c r="AN260" s="2"/>
    </row>
    <row r="261" spans="27:40" s="235" customFormat="1" x14ac:dyDescent="0.25">
      <c r="AA261" s="345"/>
      <c r="AB261" s="267"/>
      <c r="AC261" s="2"/>
      <c r="AD261" s="2"/>
      <c r="AE261" s="2"/>
      <c r="AF261" s="2"/>
      <c r="AG261" s="2"/>
      <c r="AH261" s="2"/>
      <c r="AI261" s="2"/>
      <c r="AJ261" s="2"/>
      <c r="AK261" s="2"/>
      <c r="AL261" s="2"/>
      <c r="AM261" s="2"/>
      <c r="AN261" s="2"/>
    </row>
    <row r="262" spans="27:40" s="235" customFormat="1" x14ac:dyDescent="0.25">
      <c r="AA262" s="345"/>
      <c r="AB262" s="267"/>
      <c r="AC262" s="2"/>
      <c r="AD262" s="2"/>
      <c r="AE262" s="2"/>
      <c r="AF262" s="2"/>
      <c r="AG262" s="2"/>
      <c r="AH262" s="2"/>
      <c r="AI262" s="2"/>
      <c r="AJ262" s="2"/>
      <c r="AK262" s="2"/>
      <c r="AL262" s="2"/>
      <c r="AM262" s="2"/>
      <c r="AN262" s="2"/>
    </row>
    <row r="263" spans="27:40" s="235" customFormat="1" x14ac:dyDescent="0.25">
      <c r="AA263" s="345"/>
      <c r="AB263" s="267"/>
      <c r="AC263" s="2"/>
      <c r="AD263" s="2"/>
      <c r="AE263" s="2"/>
      <c r="AF263" s="2"/>
      <c r="AG263" s="2"/>
      <c r="AH263" s="2"/>
      <c r="AI263" s="2"/>
      <c r="AJ263" s="2"/>
      <c r="AK263" s="2"/>
      <c r="AL263" s="2"/>
      <c r="AM263" s="2"/>
      <c r="AN263" s="2"/>
    </row>
    <row r="264" spans="27:40" s="235" customFormat="1" x14ac:dyDescent="0.25">
      <c r="AA264" s="345"/>
      <c r="AB264" s="267"/>
      <c r="AC264" s="2"/>
      <c r="AD264" s="2"/>
      <c r="AE264" s="2"/>
      <c r="AF264" s="2"/>
      <c r="AG264" s="2"/>
      <c r="AH264" s="2"/>
      <c r="AI264" s="2"/>
      <c r="AJ264" s="2"/>
      <c r="AK264" s="2"/>
      <c r="AL264" s="2"/>
      <c r="AM264" s="2"/>
      <c r="AN264" s="2"/>
    </row>
    <row r="265" spans="27:40" s="235" customFormat="1" x14ac:dyDescent="0.25">
      <c r="AA265" s="345"/>
      <c r="AB265" s="267"/>
      <c r="AC265" s="2"/>
      <c r="AD265" s="2"/>
      <c r="AE265" s="2"/>
      <c r="AF265" s="2"/>
      <c r="AG265" s="2"/>
      <c r="AH265" s="2"/>
      <c r="AI265" s="2"/>
      <c r="AJ265" s="2"/>
      <c r="AK265" s="2"/>
      <c r="AL265" s="2"/>
      <c r="AM265" s="2"/>
      <c r="AN265" s="2"/>
    </row>
    <row r="266" spans="27:40" s="235" customFormat="1" x14ac:dyDescent="0.25">
      <c r="AA266" s="345"/>
      <c r="AB266" s="267"/>
      <c r="AC266" s="2"/>
      <c r="AD266" s="2"/>
      <c r="AE266" s="2"/>
      <c r="AF266" s="2"/>
      <c r="AG266" s="2"/>
      <c r="AH266" s="2"/>
      <c r="AI266" s="2"/>
      <c r="AJ266" s="2"/>
      <c r="AK266" s="2"/>
      <c r="AL266" s="2"/>
      <c r="AM266" s="2"/>
      <c r="AN266" s="2"/>
    </row>
    <row r="267" spans="27:40" s="235" customFormat="1" x14ac:dyDescent="0.25">
      <c r="AA267" s="345"/>
      <c r="AB267" s="267"/>
      <c r="AC267" s="2"/>
      <c r="AD267" s="2"/>
      <c r="AE267" s="2"/>
      <c r="AF267" s="2"/>
      <c r="AG267" s="2"/>
      <c r="AH267" s="2"/>
      <c r="AI267" s="2"/>
      <c r="AJ267" s="2"/>
      <c r="AK267" s="2"/>
      <c r="AL267" s="2"/>
      <c r="AM267" s="2"/>
      <c r="AN267" s="2"/>
    </row>
    <row r="268" spans="27:40" s="235" customFormat="1" x14ac:dyDescent="0.25">
      <c r="AA268" s="345"/>
      <c r="AB268" s="267"/>
      <c r="AC268" s="2"/>
      <c r="AD268" s="2"/>
      <c r="AE268" s="2"/>
      <c r="AF268" s="2"/>
      <c r="AG268" s="2"/>
      <c r="AH268" s="2"/>
      <c r="AI268" s="2"/>
      <c r="AJ268" s="2"/>
      <c r="AK268" s="2"/>
      <c r="AL268" s="2"/>
      <c r="AM268" s="2"/>
      <c r="AN268" s="2"/>
    </row>
    <row r="269" spans="27:40" s="235" customFormat="1" x14ac:dyDescent="0.25">
      <c r="AA269" s="345"/>
      <c r="AB269" s="267"/>
      <c r="AC269" s="2"/>
      <c r="AD269" s="2"/>
      <c r="AE269" s="2"/>
      <c r="AF269" s="2"/>
      <c r="AG269" s="2"/>
      <c r="AH269" s="2"/>
      <c r="AI269" s="2"/>
      <c r="AJ269" s="2"/>
      <c r="AK269" s="2"/>
      <c r="AL269" s="2"/>
      <c r="AM269" s="2"/>
      <c r="AN269" s="2"/>
    </row>
    <row r="270" spans="27:40" s="235" customFormat="1" x14ac:dyDescent="0.25">
      <c r="AA270" s="345"/>
      <c r="AB270" s="267"/>
      <c r="AC270" s="2"/>
      <c r="AD270" s="2"/>
      <c r="AE270" s="2"/>
      <c r="AF270" s="2"/>
      <c r="AG270" s="2"/>
      <c r="AH270" s="2"/>
      <c r="AI270" s="2"/>
      <c r="AJ270" s="2"/>
      <c r="AK270" s="2"/>
      <c r="AL270" s="2"/>
      <c r="AM270" s="2"/>
      <c r="AN270" s="2"/>
    </row>
    <row r="271" spans="27:40" s="235" customFormat="1" x14ac:dyDescent="0.25">
      <c r="AA271" s="345"/>
      <c r="AB271" s="267"/>
      <c r="AC271" s="2"/>
      <c r="AD271" s="2"/>
      <c r="AE271" s="2"/>
      <c r="AF271" s="2"/>
      <c r="AG271" s="2"/>
      <c r="AH271" s="2"/>
      <c r="AI271" s="2"/>
      <c r="AJ271" s="2"/>
      <c r="AK271" s="2"/>
      <c r="AL271" s="2"/>
      <c r="AM271" s="2"/>
      <c r="AN271" s="2"/>
    </row>
    <row r="272" spans="27:40" s="235" customFormat="1" x14ac:dyDescent="0.25">
      <c r="AA272" s="345"/>
      <c r="AB272" s="267"/>
      <c r="AC272" s="2"/>
      <c r="AD272" s="2"/>
      <c r="AE272" s="2"/>
      <c r="AF272" s="2"/>
      <c r="AG272" s="2"/>
      <c r="AH272" s="2"/>
      <c r="AI272" s="2"/>
      <c r="AJ272" s="2"/>
      <c r="AK272" s="2"/>
      <c r="AL272" s="2"/>
      <c r="AM272" s="2"/>
      <c r="AN272" s="2"/>
    </row>
    <row r="273" spans="27:40" s="235" customFormat="1" x14ac:dyDescent="0.25">
      <c r="AA273" s="345"/>
      <c r="AB273" s="267"/>
      <c r="AC273" s="2"/>
      <c r="AD273" s="2"/>
      <c r="AE273" s="2"/>
      <c r="AF273" s="2"/>
      <c r="AG273" s="2"/>
      <c r="AH273" s="2"/>
      <c r="AI273" s="2"/>
      <c r="AJ273" s="2"/>
      <c r="AK273" s="2"/>
      <c r="AL273" s="2"/>
      <c r="AM273" s="2"/>
      <c r="AN273" s="2"/>
    </row>
    <row r="274" spans="27:40" s="235" customFormat="1" x14ac:dyDescent="0.25">
      <c r="AA274" s="345"/>
      <c r="AB274" s="267"/>
      <c r="AC274" s="2"/>
      <c r="AD274" s="2"/>
      <c r="AE274" s="2"/>
      <c r="AF274" s="2"/>
      <c r="AG274" s="2"/>
      <c r="AH274" s="2"/>
      <c r="AI274" s="2"/>
      <c r="AJ274" s="2"/>
      <c r="AK274" s="2"/>
      <c r="AL274" s="2"/>
      <c r="AM274" s="2"/>
      <c r="AN274" s="2"/>
    </row>
    <row r="275" spans="27:40" s="235" customFormat="1" x14ac:dyDescent="0.25">
      <c r="AA275" s="345"/>
      <c r="AB275" s="267"/>
      <c r="AC275" s="2"/>
      <c r="AD275" s="2"/>
      <c r="AE275" s="2"/>
      <c r="AF275" s="2"/>
      <c r="AG275" s="2"/>
      <c r="AH275" s="2"/>
      <c r="AI275" s="2"/>
      <c r="AJ275" s="2"/>
      <c r="AK275" s="2"/>
      <c r="AL275" s="2"/>
      <c r="AM275" s="2"/>
      <c r="AN275" s="2"/>
    </row>
    <row r="276" spans="27:40" s="235" customFormat="1" x14ac:dyDescent="0.25">
      <c r="AA276" s="345"/>
      <c r="AB276" s="267"/>
      <c r="AC276" s="2"/>
      <c r="AD276" s="2"/>
      <c r="AE276" s="2"/>
      <c r="AF276" s="2"/>
      <c r="AG276" s="2"/>
      <c r="AH276" s="2"/>
      <c r="AI276" s="2"/>
      <c r="AJ276" s="2"/>
      <c r="AK276" s="2"/>
      <c r="AL276" s="2"/>
      <c r="AM276" s="2"/>
      <c r="AN276" s="2"/>
    </row>
    <row r="277" spans="27:40" s="235" customFormat="1" x14ac:dyDescent="0.25">
      <c r="AA277" s="345"/>
      <c r="AB277" s="267"/>
      <c r="AC277" s="2"/>
      <c r="AD277" s="2"/>
      <c r="AE277" s="2"/>
      <c r="AF277" s="2"/>
      <c r="AG277" s="2"/>
      <c r="AH277" s="2"/>
      <c r="AI277" s="2"/>
      <c r="AJ277" s="2"/>
      <c r="AK277" s="2"/>
      <c r="AL277" s="2"/>
      <c r="AM277" s="2"/>
      <c r="AN277" s="2"/>
    </row>
    <row r="278" spans="27:40" s="235" customFormat="1" x14ac:dyDescent="0.25">
      <c r="AA278" s="345"/>
      <c r="AB278" s="267"/>
      <c r="AC278" s="2"/>
      <c r="AD278" s="2"/>
      <c r="AE278" s="2"/>
      <c r="AF278" s="2"/>
      <c r="AG278" s="2"/>
      <c r="AH278" s="2"/>
      <c r="AI278" s="2"/>
      <c r="AJ278" s="2"/>
      <c r="AK278" s="2"/>
      <c r="AL278" s="2"/>
      <c r="AM278" s="2"/>
      <c r="AN278" s="2"/>
    </row>
    <row r="279" spans="27:40" s="235" customFormat="1" x14ac:dyDescent="0.25">
      <c r="AA279" s="345"/>
      <c r="AB279" s="267"/>
      <c r="AC279" s="2"/>
      <c r="AD279" s="2"/>
      <c r="AE279" s="2"/>
      <c r="AF279" s="2"/>
      <c r="AG279" s="2"/>
      <c r="AH279" s="2"/>
      <c r="AI279" s="2"/>
      <c r="AJ279" s="2"/>
      <c r="AK279" s="2"/>
      <c r="AL279" s="2"/>
      <c r="AM279" s="2"/>
      <c r="AN279" s="2"/>
    </row>
    <row r="280" spans="27:40" s="235" customFormat="1" x14ac:dyDescent="0.25">
      <c r="AA280" s="345"/>
      <c r="AB280" s="267"/>
      <c r="AC280" s="2"/>
      <c r="AD280" s="2"/>
      <c r="AE280" s="2"/>
      <c r="AF280" s="2"/>
      <c r="AG280" s="2"/>
      <c r="AH280" s="2"/>
      <c r="AI280" s="2"/>
      <c r="AJ280" s="2"/>
      <c r="AK280" s="2"/>
      <c r="AL280" s="2"/>
      <c r="AM280" s="2"/>
      <c r="AN280" s="2"/>
    </row>
    <row r="281" spans="27:40" s="235" customFormat="1" x14ac:dyDescent="0.25">
      <c r="AA281" s="345"/>
      <c r="AB281" s="267"/>
      <c r="AC281" s="2"/>
      <c r="AD281" s="2"/>
      <c r="AE281" s="2"/>
      <c r="AF281" s="2"/>
      <c r="AG281" s="2"/>
      <c r="AH281" s="2"/>
      <c r="AI281" s="2"/>
      <c r="AJ281" s="2"/>
      <c r="AK281" s="2"/>
      <c r="AL281" s="2"/>
      <c r="AM281" s="2"/>
      <c r="AN281" s="2"/>
    </row>
    <row r="282" spans="27:40" s="235" customFormat="1" x14ac:dyDescent="0.25">
      <c r="AA282" s="345"/>
      <c r="AB282" s="267"/>
      <c r="AC282" s="2"/>
      <c r="AD282" s="2"/>
      <c r="AE282" s="2"/>
      <c r="AF282" s="2"/>
      <c r="AG282" s="2"/>
      <c r="AH282" s="2"/>
      <c r="AI282" s="2"/>
      <c r="AJ282" s="2"/>
      <c r="AK282" s="2"/>
      <c r="AL282" s="2"/>
      <c r="AM282" s="2"/>
      <c r="AN282" s="2"/>
    </row>
    <row r="283" spans="27:40" s="235" customFormat="1" x14ac:dyDescent="0.25">
      <c r="AA283" s="345"/>
      <c r="AB283" s="267"/>
      <c r="AC283" s="2"/>
      <c r="AD283" s="2"/>
      <c r="AE283" s="2"/>
      <c r="AF283" s="2"/>
      <c r="AG283" s="2"/>
      <c r="AH283" s="2"/>
      <c r="AI283" s="2"/>
      <c r="AJ283" s="2"/>
      <c r="AK283" s="2"/>
      <c r="AL283" s="2"/>
      <c r="AM283" s="2"/>
      <c r="AN283" s="2"/>
    </row>
    <row r="284" spans="27:40" s="235" customFormat="1" x14ac:dyDescent="0.25">
      <c r="AA284" s="345"/>
      <c r="AB284" s="267"/>
      <c r="AC284" s="2"/>
      <c r="AD284" s="2"/>
      <c r="AE284" s="2"/>
      <c r="AF284" s="2"/>
      <c r="AG284" s="2"/>
      <c r="AH284" s="2"/>
      <c r="AI284" s="2"/>
      <c r="AJ284" s="2"/>
      <c r="AK284" s="2"/>
      <c r="AL284" s="2"/>
      <c r="AM284" s="2"/>
      <c r="AN284" s="2"/>
    </row>
    <row r="285" spans="27:40" s="235" customFormat="1" x14ac:dyDescent="0.25">
      <c r="AA285" s="345"/>
      <c r="AB285" s="267"/>
      <c r="AC285" s="2"/>
      <c r="AD285" s="2"/>
      <c r="AE285" s="2"/>
      <c r="AF285" s="2"/>
      <c r="AG285" s="2"/>
      <c r="AH285" s="2"/>
      <c r="AI285" s="2"/>
      <c r="AJ285" s="2"/>
      <c r="AK285" s="2"/>
      <c r="AL285" s="2"/>
      <c r="AM285" s="2"/>
      <c r="AN285" s="2"/>
    </row>
    <row r="286" spans="27:40" s="235" customFormat="1" x14ac:dyDescent="0.25">
      <c r="AA286" s="345"/>
      <c r="AB286" s="267"/>
      <c r="AC286" s="2"/>
      <c r="AD286" s="2"/>
      <c r="AE286" s="2"/>
      <c r="AF286" s="2"/>
      <c r="AG286" s="2"/>
      <c r="AH286" s="2"/>
      <c r="AI286" s="2"/>
      <c r="AJ286" s="2"/>
      <c r="AK286" s="2"/>
      <c r="AL286" s="2"/>
      <c r="AM286" s="2"/>
      <c r="AN286" s="2"/>
    </row>
    <row r="287" spans="27:40" s="235" customFormat="1" x14ac:dyDescent="0.25">
      <c r="AA287" s="345"/>
      <c r="AB287" s="267"/>
      <c r="AC287" s="2"/>
      <c r="AD287" s="2"/>
      <c r="AE287" s="2"/>
      <c r="AF287" s="2"/>
      <c r="AG287" s="2"/>
      <c r="AH287" s="2"/>
      <c r="AI287" s="2"/>
      <c r="AJ287" s="2"/>
      <c r="AK287" s="2"/>
      <c r="AL287" s="2"/>
      <c r="AM287" s="2"/>
      <c r="AN287" s="2"/>
    </row>
    <row r="288" spans="27:40" s="235" customFormat="1" x14ac:dyDescent="0.25">
      <c r="AA288" s="345"/>
      <c r="AB288" s="267"/>
      <c r="AC288" s="2"/>
      <c r="AD288" s="2"/>
      <c r="AE288" s="2"/>
      <c r="AF288" s="2"/>
      <c r="AG288" s="2"/>
      <c r="AH288" s="2"/>
      <c r="AI288" s="2"/>
      <c r="AJ288" s="2"/>
      <c r="AK288" s="2"/>
      <c r="AL288" s="2"/>
      <c r="AM288" s="2"/>
      <c r="AN288" s="2"/>
    </row>
    <row r="289" spans="27:40" s="235" customFormat="1" x14ac:dyDescent="0.25">
      <c r="AA289" s="345"/>
      <c r="AB289" s="267"/>
      <c r="AC289" s="2"/>
      <c r="AD289" s="2"/>
      <c r="AE289" s="2"/>
      <c r="AF289" s="2"/>
      <c r="AG289" s="2"/>
      <c r="AH289" s="2"/>
      <c r="AI289" s="2"/>
      <c r="AJ289" s="2"/>
      <c r="AK289" s="2"/>
      <c r="AL289" s="2"/>
      <c r="AM289" s="2"/>
      <c r="AN289" s="2"/>
    </row>
    <row r="290" spans="27:40" s="235" customFormat="1" x14ac:dyDescent="0.25">
      <c r="AA290" s="345"/>
      <c r="AB290" s="267"/>
      <c r="AC290" s="2"/>
      <c r="AD290" s="2"/>
      <c r="AE290" s="2"/>
      <c r="AF290" s="2"/>
      <c r="AG290" s="2"/>
      <c r="AH290" s="2"/>
      <c r="AI290" s="2"/>
      <c r="AJ290" s="2"/>
      <c r="AK290" s="2"/>
      <c r="AL290" s="2"/>
      <c r="AM290" s="2"/>
      <c r="AN290" s="2"/>
    </row>
    <row r="291" spans="27:40" s="235" customFormat="1" x14ac:dyDescent="0.25">
      <c r="AA291" s="345"/>
      <c r="AB291" s="267"/>
      <c r="AC291" s="2"/>
      <c r="AD291" s="2"/>
      <c r="AE291" s="2"/>
      <c r="AF291" s="2"/>
      <c r="AG291" s="2"/>
      <c r="AH291" s="2"/>
      <c r="AI291" s="2"/>
      <c r="AJ291" s="2"/>
      <c r="AK291" s="2"/>
      <c r="AL291" s="2"/>
      <c r="AM291" s="2"/>
      <c r="AN291" s="2"/>
    </row>
    <row r="292" spans="27:40" s="235" customFormat="1" x14ac:dyDescent="0.25">
      <c r="AA292" s="345"/>
      <c r="AB292" s="267"/>
      <c r="AC292" s="2"/>
      <c r="AD292" s="2"/>
      <c r="AE292" s="2"/>
      <c r="AF292" s="2"/>
      <c r="AG292" s="2"/>
      <c r="AH292" s="2"/>
      <c r="AI292" s="2"/>
      <c r="AJ292" s="2"/>
      <c r="AK292" s="2"/>
      <c r="AL292" s="2"/>
      <c r="AM292" s="2"/>
      <c r="AN292" s="2"/>
    </row>
    <row r="293" spans="27:40" s="235" customFormat="1" x14ac:dyDescent="0.25">
      <c r="AA293" s="345"/>
      <c r="AB293" s="267"/>
      <c r="AC293" s="2"/>
      <c r="AD293" s="2"/>
      <c r="AE293" s="2"/>
      <c r="AF293" s="2"/>
      <c r="AG293" s="2"/>
      <c r="AH293" s="2"/>
      <c r="AI293" s="2"/>
      <c r="AJ293" s="2"/>
      <c r="AK293" s="2"/>
      <c r="AL293" s="2"/>
      <c r="AM293" s="2"/>
      <c r="AN293" s="2"/>
    </row>
    <row r="294" spans="27:40" s="235" customFormat="1" x14ac:dyDescent="0.25">
      <c r="AA294" s="345"/>
      <c r="AB294" s="267"/>
      <c r="AC294" s="2"/>
      <c r="AD294" s="2"/>
      <c r="AE294" s="2"/>
      <c r="AF294" s="2"/>
      <c r="AG294" s="2"/>
      <c r="AH294" s="2"/>
      <c r="AI294" s="2"/>
      <c r="AJ294" s="2"/>
      <c r="AK294" s="2"/>
      <c r="AL294" s="2"/>
      <c r="AM294" s="2"/>
      <c r="AN294" s="2"/>
    </row>
    <row r="295" spans="27:40" s="235" customFormat="1" x14ac:dyDescent="0.25">
      <c r="AA295" s="345"/>
      <c r="AB295" s="267"/>
      <c r="AC295" s="2"/>
      <c r="AD295" s="2"/>
      <c r="AE295" s="2"/>
      <c r="AF295" s="2"/>
      <c r="AG295" s="2"/>
      <c r="AH295" s="2"/>
      <c r="AI295" s="2"/>
      <c r="AJ295" s="2"/>
      <c r="AK295" s="2"/>
      <c r="AL295" s="2"/>
      <c r="AM295" s="2"/>
      <c r="AN295" s="2"/>
    </row>
    <row r="296" spans="27:40" s="235" customFormat="1" x14ac:dyDescent="0.25">
      <c r="AA296" s="345"/>
      <c r="AB296" s="267"/>
      <c r="AC296" s="2"/>
      <c r="AD296" s="2"/>
      <c r="AE296" s="2"/>
      <c r="AF296" s="2"/>
      <c r="AG296" s="2"/>
      <c r="AH296" s="2"/>
      <c r="AI296" s="2"/>
      <c r="AJ296" s="2"/>
      <c r="AK296" s="2"/>
      <c r="AL296" s="2"/>
      <c r="AM296" s="2"/>
      <c r="AN296" s="2"/>
    </row>
    <row r="297" spans="27:40" s="235" customFormat="1" x14ac:dyDescent="0.25">
      <c r="AA297" s="345"/>
      <c r="AB297" s="267"/>
      <c r="AC297" s="2"/>
      <c r="AD297" s="2"/>
      <c r="AE297" s="2"/>
      <c r="AF297" s="2"/>
      <c r="AG297" s="2"/>
      <c r="AH297" s="2"/>
      <c r="AI297" s="2"/>
      <c r="AJ297" s="2"/>
      <c r="AK297" s="2"/>
      <c r="AL297" s="2"/>
      <c r="AM297" s="2"/>
      <c r="AN297" s="2"/>
    </row>
    <row r="298" spans="27:40" s="235" customFormat="1" x14ac:dyDescent="0.25">
      <c r="AA298" s="345"/>
      <c r="AB298" s="267"/>
      <c r="AC298" s="2"/>
      <c r="AD298" s="2"/>
      <c r="AE298" s="2"/>
      <c r="AF298" s="2"/>
      <c r="AG298" s="2"/>
      <c r="AH298" s="2"/>
      <c r="AI298" s="2"/>
      <c r="AJ298" s="2"/>
      <c r="AK298" s="2"/>
      <c r="AL298" s="2"/>
      <c r="AM298" s="2"/>
      <c r="AN298" s="2"/>
    </row>
    <row r="299" spans="27:40" s="235" customFormat="1" x14ac:dyDescent="0.25">
      <c r="AA299" s="345"/>
      <c r="AB299" s="267"/>
      <c r="AC299" s="2"/>
      <c r="AD299" s="2"/>
      <c r="AE299" s="2"/>
      <c r="AF299" s="2"/>
      <c r="AG299" s="2"/>
      <c r="AH299" s="2"/>
      <c r="AI299" s="2"/>
      <c r="AJ299" s="2"/>
      <c r="AK299" s="2"/>
      <c r="AL299" s="2"/>
      <c r="AM299" s="2"/>
      <c r="AN299" s="2"/>
    </row>
    <row r="300" spans="27:40" s="235" customFormat="1" x14ac:dyDescent="0.25">
      <c r="AA300" s="345"/>
      <c r="AB300" s="267"/>
      <c r="AC300" s="2"/>
      <c r="AD300" s="2"/>
      <c r="AE300" s="2"/>
      <c r="AF300" s="2"/>
      <c r="AG300" s="2"/>
      <c r="AH300" s="2"/>
      <c r="AI300" s="2"/>
      <c r="AJ300" s="2"/>
      <c r="AK300" s="2"/>
      <c r="AL300" s="2"/>
      <c r="AM300" s="2"/>
      <c r="AN300" s="2"/>
    </row>
    <row r="301" spans="27:40" s="235" customFormat="1" x14ac:dyDescent="0.25">
      <c r="AA301" s="345"/>
      <c r="AB301" s="267"/>
      <c r="AC301" s="2"/>
      <c r="AD301" s="2"/>
      <c r="AE301" s="2"/>
      <c r="AF301" s="2"/>
      <c r="AG301" s="2"/>
      <c r="AH301" s="2"/>
      <c r="AI301" s="2"/>
      <c r="AJ301" s="2"/>
      <c r="AK301" s="2"/>
      <c r="AL301" s="2"/>
      <c r="AM301" s="2"/>
      <c r="AN301" s="2"/>
    </row>
    <row r="302" spans="27:40" s="235" customFormat="1" x14ac:dyDescent="0.25">
      <c r="AA302" s="345"/>
      <c r="AB302" s="267"/>
      <c r="AC302" s="2"/>
      <c r="AD302" s="2"/>
      <c r="AE302" s="2"/>
      <c r="AF302" s="2"/>
      <c r="AG302" s="2"/>
      <c r="AH302" s="2"/>
      <c r="AI302" s="2"/>
      <c r="AJ302" s="2"/>
      <c r="AK302" s="2"/>
      <c r="AL302" s="2"/>
      <c r="AM302" s="2"/>
      <c r="AN302" s="2"/>
    </row>
    <row r="303" spans="27:40" s="235" customFormat="1" x14ac:dyDescent="0.25">
      <c r="AA303" s="345"/>
      <c r="AB303" s="267"/>
      <c r="AC303" s="2"/>
      <c r="AD303" s="2"/>
      <c r="AE303" s="2"/>
      <c r="AF303" s="2"/>
      <c r="AG303" s="2"/>
      <c r="AH303" s="2"/>
      <c r="AI303" s="2"/>
      <c r="AJ303" s="2"/>
      <c r="AK303" s="2"/>
      <c r="AL303" s="2"/>
      <c r="AM303" s="2"/>
      <c r="AN303" s="2"/>
    </row>
    <row r="304" spans="27:40" s="235" customFormat="1" x14ac:dyDescent="0.25">
      <c r="AA304" s="345"/>
      <c r="AB304" s="267"/>
      <c r="AC304" s="2"/>
      <c r="AD304" s="2"/>
      <c r="AE304" s="2"/>
      <c r="AF304" s="2"/>
      <c r="AG304" s="2"/>
      <c r="AH304" s="2"/>
      <c r="AI304" s="2"/>
      <c r="AJ304" s="2"/>
      <c r="AK304" s="2"/>
      <c r="AL304" s="2"/>
      <c r="AM304" s="2"/>
      <c r="AN304" s="2"/>
    </row>
    <row r="305" spans="27:40" s="235" customFormat="1" x14ac:dyDescent="0.25">
      <c r="AA305" s="345"/>
      <c r="AB305" s="267"/>
      <c r="AC305" s="2"/>
      <c r="AD305" s="2"/>
      <c r="AE305" s="2"/>
      <c r="AF305" s="2"/>
      <c r="AG305" s="2"/>
      <c r="AH305" s="2"/>
      <c r="AI305" s="2"/>
      <c r="AJ305" s="2"/>
      <c r="AK305" s="2"/>
      <c r="AL305" s="2"/>
      <c r="AM305" s="2"/>
      <c r="AN305" s="2"/>
    </row>
    <row r="306" spans="27:40" s="235" customFormat="1" x14ac:dyDescent="0.25">
      <c r="AA306" s="345"/>
      <c r="AB306" s="267"/>
      <c r="AC306" s="2"/>
      <c r="AD306" s="2"/>
      <c r="AE306" s="2"/>
      <c r="AF306" s="2"/>
      <c r="AG306" s="2"/>
      <c r="AH306" s="2"/>
      <c r="AI306" s="2"/>
      <c r="AJ306" s="2"/>
      <c r="AK306" s="2"/>
      <c r="AL306" s="2"/>
      <c r="AM306" s="2"/>
      <c r="AN306" s="2"/>
    </row>
    <row r="307" spans="27:40" s="235" customFormat="1" x14ac:dyDescent="0.25">
      <c r="AA307" s="345"/>
      <c r="AB307" s="267"/>
      <c r="AC307" s="2"/>
      <c r="AD307" s="2"/>
      <c r="AE307" s="2"/>
      <c r="AF307" s="2"/>
      <c r="AG307" s="2"/>
      <c r="AH307" s="2"/>
      <c r="AI307" s="2"/>
      <c r="AJ307" s="2"/>
      <c r="AK307" s="2"/>
      <c r="AL307" s="2"/>
      <c r="AM307" s="2"/>
      <c r="AN307" s="2"/>
    </row>
    <row r="308" spans="27:40" s="235" customFormat="1" x14ac:dyDescent="0.25">
      <c r="AA308" s="345"/>
      <c r="AB308" s="267"/>
      <c r="AC308" s="2"/>
      <c r="AD308" s="2"/>
      <c r="AE308" s="2"/>
      <c r="AF308" s="2"/>
      <c r="AG308" s="2"/>
      <c r="AH308" s="2"/>
      <c r="AI308" s="2"/>
      <c r="AJ308" s="2"/>
      <c r="AK308" s="2"/>
      <c r="AL308" s="2"/>
      <c r="AM308" s="2"/>
      <c r="AN308" s="2"/>
    </row>
    <row r="309" spans="27:40" s="235" customFormat="1" x14ac:dyDescent="0.25">
      <c r="AA309" s="345"/>
      <c r="AB309" s="267"/>
      <c r="AC309" s="2"/>
      <c r="AD309" s="2"/>
      <c r="AE309" s="2"/>
      <c r="AF309" s="2"/>
      <c r="AG309" s="2"/>
      <c r="AH309" s="2"/>
      <c r="AI309" s="2"/>
      <c r="AJ309" s="2"/>
      <c r="AK309" s="2"/>
      <c r="AL309" s="2"/>
      <c r="AM309" s="2"/>
      <c r="AN309" s="2"/>
    </row>
  </sheetData>
  <mergeCells count="2">
    <mergeCell ref="P2:Z2"/>
    <mergeCell ref="B2:L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940EF-7F5E-4C9F-86AB-6DD52680CD82}">
  <dimension ref="A1:AZ309"/>
  <sheetViews>
    <sheetView workbookViewId="0"/>
  </sheetViews>
  <sheetFormatPr defaultColWidth="8.81640625" defaultRowHeight="10.5" x14ac:dyDescent="0.25"/>
  <cols>
    <col min="1" max="1" width="2.54296875" style="235" customWidth="1"/>
    <col min="2" max="2" width="3.54296875" style="2" customWidth="1"/>
    <col min="3" max="3" width="37.453125" style="2" customWidth="1"/>
    <col min="4" max="4" width="8.81640625" style="2"/>
    <col min="5" max="6" width="10.54296875" style="2" customWidth="1"/>
    <col min="7" max="8" width="9.81640625" style="2" customWidth="1"/>
    <col min="9" max="9" width="10.81640625" style="2" customWidth="1"/>
    <col min="10" max="10" width="10.453125" style="2" customWidth="1"/>
    <col min="11" max="12" width="8.81640625" style="2"/>
    <col min="13" max="14" width="0" style="2" hidden="1" customWidth="1"/>
    <col min="15" max="15" width="8.81640625" style="235"/>
    <col min="16" max="16" width="3.54296875" style="2" customWidth="1"/>
    <col min="17" max="17" width="35.81640625" style="2" customWidth="1"/>
    <col min="18" max="26" width="8.81640625" style="2"/>
    <col min="27" max="27" width="8.81640625" style="345"/>
    <col min="28" max="28" width="8.81640625" style="267"/>
    <col min="29" max="16384" width="8.81640625" style="2"/>
  </cols>
  <sheetData>
    <row r="1" spans="1:40" s="235" customFormat="1" ht="11" thickBot="1" x14ac:dyDescent="0.3">
      <c r="AA1" s="345"/>
      <c r="AB1" s="267"/>
      <c r="AC1" s="2"/>
      <c r="AD1" s="2"/>
      <c r="AE1" s="2"/>
      <c r="AF1" s="2"/>
      <c r="AG1" s="2"/>
      <c r="AH1" s="2"/>
      <c r="AI1" s="2"/>
      <c r="AJ1" s="2"/>
      <c r="AK1" s="2"/>
      <c r="AL1" s="2"/>
      <c r="AM1" s="2"/>
      <c r="AN1" s="2"/>
    </row>
    <row r="2" spans="1:40" s="175" customFormat="1" ht="19.75" customHeight="1" thickBot="1" x14ac:dyDescent="0.4">
      <c r="A2" s="339"/>
      <c r="B2" s="1473" t="s">
        <v>196</v>
      </c>
      <c r="C2" s="1474"/>
      <c r="D2" s="1474"/>
      <c r="E2" s="1474"/>
      <c r="F2" s="1474"/>
      <c r="G2" s="1474"/>
      <c r="H2" s="1474"/>
      <c r="I2" s="1474"/>
      <c r="J2" s="1474"/>
      <c r="K2" s="1474"/>
      <c r="L2" s="1475"/>
      <c r="O2" s="339"/>
      <c r="P2" s="1473" t="s">
        <v>74</v>
      </c>
      <c r="Q2" s="1474"/>
      <c r="R2" s="1474"/>
      <c r="S2" s="1474"/>
      <c r="T2" s="1474"/>
      <c r="U2" s="1474"/>
      <c r="V2" s="1474"/>
      <c r="W2" s="1474"/>
      <c r="X2" s="1474"/>
      <c r="Y2" s="1474"/>
      <c r="Z2" s="1475"/>
      <c r="AA2" s="346"/>
      <c r="AB2" s="348" t="s">
        <v>69</v>
      </c>
    </row>
    <row r="3" spans="1:40" ht="32" thickBot="1" x14ac:dyDescent="0.3">
      <c r="B3" s="311" t="s">
        <v>197</v>
      </c>
      <c r="C3" s="312"/>
      <c r="D3" s="313" t="s">
        <v>198</v>
      </c>
      <c r="E3" s="313" t="s">
        <v>199</v>
      </c>
      <c r="F3" s="313" t="s">
        <v>200</v>
      </c>
      <c r="G3" s="313" t="s">
        <v>201</v>
      </c>
      <c r="H3" s="313" t="s">
        <v>202</v>
      </c>
      <c r="I3" s="313" t="s">
        <v>203</v>
      </c>
      <c r="J3" s="313" t="s">
        <v>204</v>
      </c>
      <c r="K3" s="313" t="s">
        <v>215</v>
      </c>
      <c r="L3" s="314" t="s">
        <v>216</v>
      </c>
      <c r="M3" s="1"/>
      <c r="N3" s="1"/>
      <c r="P3" s="311" t="s">
        <v>197</v>
      </c>
      <c r="Q3" s="312"/>
      <c r="R3" s="313" t="s">
        <v>198</v>
      </c>
      <c r="S3" s="313" t="s">
        <v>199</v>
      </c>
      <c r="T3" s="313" t="s">
        <v>200</v>
      </c>
      <c r="U3" s="313" t="s">
        <v>201</v>
      </c>
      <c r="V3" s="313" t="s">
        <v>202</v>
      </c>
      <c r="W3" s="313" t="s">
        <v>203</v>
      </c>
      <c r="X3" s="313" t="s">
        <v>204</v>
      </c>
      <c r="Y3" s="313" t="s">
        <v>215</v>
      </c>
      <c r="Z3" s="314" t="s">
        <v>216</v>
      </c>
    </row>
    <row r="4" spans="1:40" x14ac:dyDescent="0.25">
      <c r="B4" s="5" t="s">
        <v>217</v>
      </c>
      <c r="C4" s="300" t="s">
        <v>218</v>
      </c>
      <c r="D4" s="624">
        <v>0.10786317084893138</v>
      </c>
      <c r="E4" s="301">
        <f>'Livestock GM'!Z$50</f>
        <v>400.71546428571412</v>
      </c>
      <c r="F4" s="301">
        <f>'Livestock GM'!Z$49</f>
        <v>242.85785714285706</v>
      </c>
      <c r="G4" s="301">
        <f>'Livestock GM'!Z$38</f>
        <v>746.03571428571411</v>
      </c>
      <c r="H4" s="301">
        <f>'Livestock GM'!Z$37</f>
        <v>452.14285714285705</v>
      </c>
      <c r="I4" s="301">
        <f>'Livestock GM'!Z$47</f>
        <v>345.32024999999999</v>
      </c>
      <c r="J4" s="301">
        <f>'Livestock GM'!Z$46</f>
        <v>209.285</v>
      </c>
      <c r="K4" s="302">
        <f>'Livestock GM'!Z$10*'Livestock GM'!Z$11</f>
        <v>1.2374999999999998</v>
      </c>
      <c r="L4" s="303">
        <f>'Livestock GM'!Z$9</f>
        <v>70.985699999999994</v>
      </c>
      <c r="M4" s="91" t="s">
        <v>219</v>
      </c>
      <c r="N4" s="1"/>
      <c r="P4" s="122" t="s">
        <v>217</v>
      </c>
      <c r="Q4" s="316" t="s">
        <v>218</v>
      </c>
      <c r="R4" s="625">
        <v>0</v>
      </c>
      <c r="S4" s="317">
        <f>E4</f>
        <v>400.71546428571412</v>
      </c>
      <c r="T4" s="317">
        <f t="shared" ref="T4:Z16" si="0">F4</f>
        <v>242.85785714285706</v>
      </c>
      <c r="U4" s="317">
        <f t="shared" si="0"/>
        <v>746.03571428571411</v>
      </c>
      <c r="V4" s="317">
        <f t="shared" si="0"/>
        <v>452.14285714285705</v>
      </c>
      <c r="W4" s="317">
        <f t="shared" si="0"/>
        <v>345.32024999999999</v>
      </c>
      <c r="X4" s="317">
        <f t="shared" si="0"/>
        <v>209.285</v>
      </c>
      <c r="Y4" s="318">
        <f t="shared" si="0"/>
        <v>1.2374999999999998</v>
      </c>
      <c r="Z4" s="330">
        <f t="shared" si="0"/>
        <v>70.985699999999994</v>
      </c>
    </row>
    <row r="5" spans="1:40" x14ac:dyDescent="0.25">
      <c r="B5" s="5" t="s">
        <v>220</v>
      </c>
      <c r="C5" s="300" t="s">
        <v>221</v>
      </c>
      <c r="D5" s="624">
        <v>9.8874573278187078E-2</v>
      </c>
      <c r="E5" s="301">
        <f>'Livestock GM'!K$50</f>
        <v>300.43200000000002</v>
      </c>
      <c r="F5" s="301">
        <f>'Livestock GM'!K$49</f>
        <v>166.90666666666667</v>
      </c>
      <c r="G5" s="301">
        <f>'Livestock GM'!K$38</f>
        <v>590.16000000000008</v>
      </c>
      <c r="H5" s="301">
        <f>'Livestock GM'!K$37</f>
        <v>327.86666666666667</v>
      </c>
      <c r="I5" s="301">
        <f>'Livestock GM'!K$47</f>
        <v>289.72800000000001</v>
      </c>
      <c r="J5" s="301">
        <f>'Livestock GM'!K$46</f>
        <v>160.96</v>
      </c>
      <c r="K5" s="302">
        <f>'Livestock GM'!K$10*'Livestock GM'!K$11</f>
        <v>1.35</v>
      </c>
      <c r="L5" s="303">
        <f>'Livestock GM'!K$9</f>
        <v>70.019199999999998</v>
      </c>
      <c r="M5" s="1" t="s">
        <v>222</v>
      </c>
      <c r="N5" s="90">
        <v>0.3108741862429385</v>
      </c>
      <c r="P5" s="5" t="s">
        <v>220</v>
      </c>
      <c r="Q5" s="300" t="s">
        <v>221</v>
      </c>
      <c r="R5" s="624">
        <v>0</v>
      </c>
      <c r="S5" s="301">
        <f t="shared" ref="S5:S16" si="1">E5</f>
        <v>300.43200000000002</v>
      </c>
      <c r="T5" s="301">
        <f t="shared" si="0"/>
        <v>166.90666666666667</v>
      </c>
      <c r="U5" s="301">
        <f t="shared" si="0"/>
        <v>590.16000000000008</v>
      </c>
      <c r="V5" s="301">
        <f t="shared" si="0"/>
        <v>327.86666666666667</v>
      </c>
      <c r="W5" s="301">
        <f t="shared" si="0"/>
        <v>289.72800000000001</v>
      </c>
      <c r="X5" s="301">
        <f t="shared" si="0"/>
        <v>160.96</v>
      </c>
      <c r="Y5" s="321">
        <f t="shared" si="0"/>
        <v>1.35</v>
      </c>
      <c r="Z5" s="329">
        <f t="shared" si="0"/>
        <v>70.019199999999998</v>
      </c>
    </row>
    <row r="6" spans="1:40" x14ac:dyDescent="0.25">
      <c r="B6" s="5" t="s">
        <v>223</v>
      </c>
      <c r="C6" s="300" t="s">
        <v>224</v>
      </c>
      <c r="D6" s="624">
        <v>4.6515992428601653E-2</v>
      </c>
      <c r="E6" s="301">
        <f>'Livestock GM'!AE$50</f>
        <v>259.43207091055569</v>
      </c>
      <c r="F6" s="301">
        <f>'Livestock GM'!AE$49</f>
        <v>63.879999999999939</v>
      </c>
      <c r="G6" s="301">
        <f>'Livestock GM'!AE$38</f>
        <v>1251.5932312651084</v>
      </c>
      <c r="H6" s="301">
        <f>'Livestock GM'!AE$37</f>
        <v>308.17999999999995</v>
      </c>
      <c r="I6" s="301">
        <f>'Livestock GM'!AE$47</f>
        <v>992.16116035455263</v>
      </c>
      <c r="J6" s="301">
        <f>'Livestock GM'!AE$46</f>
        <v>244.3</v>
      </c>
      <c r="K6" s="302">
        <f>'Livestock GM'!AE$10*'Livestock GM'!AE$11</f>
        <v>2.0103142626913777</v>
      </c>
      <c r="L6" s="303">
        <f>'Livestock GM'!AE$9</f>
        <v>34.526000000000003</v>
      </c>
      <c r="M6" s="1" t="s">
        <v>225</v>
      </c>
      <c r="N6" s="90">
        <v>0.68912581375706161</v>
      </c>
      <c r="P6" s="5" t="s">
        <v>223</v>
      </c>
      <c r="Q6" s="300" t="s">
        <v>224</v>
      </c>
      <c r="R6" s="624">
        <v>0</v>
      </c>
      <c r="S6" s="301">
        <f t="shared" si="1"/>
        <v>259.43207091055569</v>
      </c>
      <c r="T6" s="301">
        <f t="shared" si="0"/>
        <v>63.879999999999939</v>
      </c>
      <c r="U6" s="301">
        <f t="shared" si="0"/>
        <v>1251.5932312651084</v>
      </c>
      <c r="V6" s="301">
        <f t="shared" si="0"/>
        <v>308.17999999999995</v>
      </c>
      <c r="W6" s="301">
        <f t="shared" si="0"/>
        <v>992.16116035455263</v>
      </c>
      <c r="X6" s="301">
        <f t="shared" si="0"/>
        <v>244.3</v>
      </c>
      <c r="Y6" s="321">
        <f t="shared" si="0"/>
        <v>2.0103142626913777</v>
      </c>
      <c r="Z6" s="329">
        <f t="shared" si="0"/>
        <v>34.526000000000003</v>
      </c>
    </row>
    <row r="7" spans="1:40" x14ac:dyDescent="0.25">
      <c r="B7" s="5" t="s">
        <v>226</v>
      </c>
      <c r="C7" s="300" t="s">
        <v>227</v>
      </c>
      <c r="D7" s="624">
        <v>5.6852879634957589E-2</v>
      </c>
      <c r="E7" s="301">
        <f>'Livestock GM'!U$50</f>
        <v>612.14999999999986</v>
      </c>
      <c r="F7" s="301">
        <f>'Livestock GM'!U$49</f>
        <v>204.04999999999995</v>
      </c>
      <c r="G7" s="301">
        <f>'Livestock GM'!U$38</f>
        <v>809.39999999999986</v>
      </c>
      <c r="H7" s="301">
        <f>'Livestock GM'!U$37</f>
        <v>269.79999999999995</v>
      </c>
      <c r="I7" s="301">
        <f>'Livestock GM'!U$47</f>
        <v>197.25</v>
      </c>
      <c r="J7" s="301">
        <f>'Livestock GM'!U$46</f>
        <v>65.75</v>
      </c>
      <c r="K7" s="302">
        <f>'Livestock GM'!U$10*'Livestock GM'!U$11</f>
        <v>1.9500000000000002</v>
      </c>
      <c r="L7" s="303">
        <f>'Livestock GM'!U$9</f>
        <v>31.715</v>
      </c>
      <c r="M7" s="89"/>
      <c r="N7" s="1"/>
      <c r="P7" s="5" t="s">
        <v>226</v>
      </c>
      <c r="Q7" s="300" t="s">
        <v>227</v>
      </c>
      <c r="R7" s="624">
        <v>0</v>
      </c>
      <c r="S7" s="301">
        <f t="shared" si="1"/>
        <v>612.14999999999986</v>
      </c>
      <c r="T7" s="301">
        <f t="shared" si="0"/>
        <v>204.04999999999995</v>
      </c>
      <c r="U7" s="301">
        <f t="shared" si="0"/>
        <v>809.39999999999986</v>
      </c>
      <c r="V7" s="301">
        <f t="shared" si="0"/>
        <v>269.79999999999995</v>
      </c>
      <c r="W7" s="301">
        <f t="shared" si="0"/>
        <v>197.25</v>
      </c>
      <c r="X7" s="301">
        <f t="shared" si="0"/>
        <v>65.75</v>
      </c>
      <c r="Y7" s="321">
        <f t="shared" si="0"/>
        <v>1.9500000000000002</v>
      </c>
      <c r="Z7" s="329">
        <f t="shared" si="0"/>
        <v>31.715</v>
      </c>
    </row>
    <row r="8" spans="1:40" x14ac:dyDescent="0.25">
      <c r="B8" s="5" t="s">
        <v>228</v>
      </c>
      <c r="C8" s="300" t="s">
        <v>229</v>
      </c>
      <c r="D8" s="624">
        <v>3.4456290687853081E-2</v>
      </c>
      <c r="E8" s="301">
        <f>'Livestock GM'!AT$50</f>
        <v>605.5350000000002</v>
      </c>
      <c r="F8" s="301">
        <f>'Livestock GM'!AT$49</f>
        <v>201.84500000000006</v>
      </c>
      <c r="G8" s="301">
        <f>'Livestock GM'!AT$38</f>
        <v>835.33500000000015</v>
      </c>
      <c r="H8" s="301">
        <f>'Livestock GM'!AT$37</f>
        <v>278.44500000000005</v>
      </c>
      <c r="I8" s="301">
        <f>'Livestock GM'!AT$47</f>
        <v>229.79999999999998</v>
      </c>
      <c r="J8" s="301">
        <f>'Livestock GM'!AT$46</f>
        <v>76.599999999999994</v>
      </c>
      <c r="K8" s="302">
        <f>'Livestock GM'!AT$10*'Livestock GM'!AT$11</f>
        <v>1.9500000000000002</v>
      </c>
      <c r="L8" s="303">
        <f>'Livestock GM'!AT$9</f>
        <v>28.014199999999995</v>
      </c>
      <c r="M8" s="1"/>
      <c r="N8" s="1"/>
      <c r="P8" s="5" t="s">
        <v>228</v>
      </c>
      <c r="Q8" s="300" t="s">
        <v>229</v>
      </c>
      <c r="R8" s="624">
        <v>0</v>
      </c>
      <c r="S8" s="301">
        <f t="shared" si="1"/>
        <v>605.5350000000002</v>
      </c>
      <c r="T8" s="301">
        <f t="shared" si="0"/>
        <v>201.84500000000006</v>
      </c>
      <c r="U8" s="301">
        <f t="shared" si="0"/>
        <v>835.33500000000015</v>
      </c>
      <c r="V8" s="301">
        <f t="shared" si="0"/>
        <v>278.44500000000005</v>
      </c>
      <c r="W8" s="301">
        <f t="shared" si="0"/>
        <v>229.79999999999998</v>
      </c>
      <c r="X8" s="301">
        <f t="shared" si="0"/>
        <v>76.599999999999994</v>
      </c>
      <c r="Y8" s="321">
        <f t="shared" si="0"/>
        <v>1.9500000000000002</v>
      </c>
      <c r="Z8" s="329">
        <f t="shared" si="0"/>
        <v>28.014199999999995</v>
      </c>
    </row>
    <row r="9" spans="1:40" x14ac:dyDescent="0.25">
      <c r="B9" s="5" t="s">
        <v>230</v>
      </c>
      <c r="C9" s="300" t="s">
        <v>231</v>
      </c>
      <c r="D9" s="624">
        <v>3.4456290687853081E-2</v>
      </c>
      <c r="E9" s="301">
        <f>'Livestock GM'!AY$50</f>
        <v>470.27139403706616</v>
      </c>
      <c r="F9" s="301">
        <f>'Livestock GM'!AY$49</f>
        <v>115.79499999999985</v>
      </c>
      <c r="G9" s="301">
        <f>'Livestock GM'!AY$38</f>
        <v>1523.5948428686536</v>
      </c>
      <c r="H9" s="301">
        <f>'Livestock GM'!AY$37</f>
        <v>375.15499999999986</v>
      </c>
      <c r="I9" s="301">
        <f>'Livestock GM'!AY$47</f>
        <v>1053.3234488315873</v>
      </c>
      <c r="J9" s="301">
        <f>'Livestock GM'!AY$46</f>
        <v>259.36</v>
      </c>
      <c r="K9" s="302">
        <f>'Livestock GM'!AY$10*'Livestock GM'!AY$11</f>
        <v>2.6398066075745366</v>
      </c>
      <c r="L9" s="303">
        <f>'Livestock GM'!AY$9</f>
        <v>32.436999999999998</v>
      </c>
      <c r="M9" s="1"/>
      <c r="N9" s="1"/>
      <c r="P9" s="5" t="s">
        <v>230</v>
      </c>
      <c r="Q9" s="300" t="s">
        <v>231</v>
      </c>
      <c r="R9" s="624">
        <v>0</v>
      </c>
      <c r="S9" s="301">
        <f t="shared" si="1"/>
        <v>470.27139403706616</v>
      </c>
      <c r="T9" s="301">
        <f t="shared" si="0"/>
        <v>115.79499999999985</v>
      </c>
      <c r="U9" s="301">
        <f t="shared" si="0"/>
        <v>1523.5948428686536</v>
      </c>
      <c r="V9" s="301">
        <f t="shared" si="0"/>
        <v>375.15499999999986</v>
      </c>
      <c r="W9" s="301">
        <f t="shared" si="0"/>
        <v>1053.3234488315873</v>
      </c>
      <c r="X9" s="301">
        <f t="shared" si="0"/>
        <v>259.36</v>
      </c>
      <c r="Y9" s="321">
        <f t="shared" si="0"/>
        <v>2.6398066075745366</v>
      </c>
      <c r="Z9" s="329">
        <f t="shared" si="0"/>
        <v>32.436999999999998</v>
      </c>
    </row>
    <row r="10" spans="1:40" x14ac:dyDescent="0.25">
      <c r="B10" s="5" t="s">
        <v>232</v>
      </c>
      <c r="C10" s="300" t="s">
        <v>233</v>
      </c>
      <c r="D10" s="624">
        <v>0.31010661619067775</v>
      </c>
      <c r="E10" s="301">
        <f>'Livestock GM'!P$50</f>
        <v>687.31499999999994</v>
      </c>
      <c r="F10" s="301">
        <f>'Livestock GM'!P$49</f>
        <v>229.10499999999999</v>
      </c>
      <c r="G10" s="301">
        <f>'Livestock GM'!P$38</f>
        <v>1002.765</v>
      </c>
      <c r="H10" s="301">
        <f>'Livestock GM'!P$37</f>
        <v>334.255</v>
      </c>
      <c r="I10" s="301">
        <f>'Livestock GM'!P$47</f>
        <v>315.45000000000005</v>
      </c>
      <c r="J10" s="301">
        <f>'Livestock GM'!P$46</f>
        <v>105.15</v>
      </c>
      <c r="K10" s="302">
        <f>'Livestock GM'!P$10*'Livestock GM'!P$11</f>
        <v>1.9500000000000002</v>
      </c>
      <c r="L10" s="303">
        <f>'Livestock GM'!P$9</f>
        <v>32.343000000000004</v>
      </c>
      <c r="M10" s="1"/>
      <c r="N10" s="1"/>
      <c r="P10" s="5" t="s">
        <v>232</v>
      </c>
      <c r="Q10" s="300" t="s">
        <v>233</v>
      </c>
      <c r="R10" s="624">
        <v>0</v>
      </c>
      <c r="S10" s="301">
        <f t="shared" si="1"/>
        <v>687.31499999999994</v>
      </c>
      <c r="T10" s="301">
        <f t="shared" si="0"/>
        <v>229.10499999999999</v>
      </c>
      <c r="U10" s="301">
        <f t="shared" si="0"/>
        <v>1002.765</v>
      </c>
      <c r="V10" s="301">
        <f t="shared" si="0"/>
        <v>334.255</v>
      </c>
      <c r="W10" s="301">
        <f t="shared" si="0"/>
        <v>315.45000000000005</v>
      </c>
      <c r="X10" s="301">
        <f t="shared" si="0"/>
        <v>105.15</v>
      </c>
      <c r="Y10" s="321">
        <f t="shared" si="0"/>
        <v>1.9500000000000002</v>
      </c>
      <c r="Z10" s="329">
        <f t="shared" si="0"/>
        <v>32.343000000000004</v>
      </c>
    </row>
    <row r="11" spans="1:40" x14ac:dyDescent="0.25">
      <c r="B11" s="5" t="s">
        <v>234</v>
      </c>
      <c r="C11" s="300" t="s">
        <v>235</v>
      </c>
      <c r="D11" s="624">
        <v>0</v>
      </c>
      <c r="E11" s="301">
        <f>'Livestock GM - price var'!DF$50</f>
        <v>605.55957894736821</v>
      </c>
      <c r="F11" s="301">
        <f>'Livestock GM - price var'!DF$49</f>
        <v>454.16968421052621</v>
      </c>
      <c r="G11" s="301">
        <f>'Livestock GM - price var'!DF$38</f>
        <v>862.26133333333314</v>
      </c>
      <c r="H11" s="301">
        <f>'Livestock GM - price var'!DF$37</f>
        <v>646.69599999999991</v>
      </c>
      <c r="I11" s="301">
        <f>'Livestock GM - price var'!DF$47</f>
        <v>256.70175438596493</v>
      </c>
      <c r="J11" s="301">
        <f>'Livestock GM - price var'!DF$46</f>
        <v>192.5263157894737</v>
      </c>
      <c r="K11" s="302">
        <f>'Livestock GM - price var'!DF$10*'Livestock GM - price var'!DF$11</f>
        <v>1</v>
      </c>
      <c r="L11" s="303">
        <f>'Livestock GM - price var'!DF$9</f>
        <v>68.650526315789477</v>
      </c>
      <c r="M11" s="1"/>
      <c r="N11" s="1"/>
      <c r="P11" s="5" t="str">
        <f>B11</f>
        <v>DF</v>
      </c>
      <c r="Q11" s="300" t="s">
        <v>235</v>
      </c>
      <c r="R11" s="624">
        <v>0.21</v>
      </c>
      <c r="S11" s="301">
        <f>E11</f>
        <v>605.55957894736821</v>
      </c>
      <c r="T11" s="301">
        <f t="shared" si="0"/>
        <v>454.16968421052621</v>
      </c>
      <c r="U11" s="301">
        <f t="shared" si="0"/>
        <v>862.26133333333314</v>
      </c>
      <c r="V11" s="301">
        <f t="shared" si="0"/>
        <v>646.69599999999991</v>
      </c>
      <c r="W11" s="301">
        <f t="shared" si="0"/>
        <v>256.70175438596493</v>
      </c>
      <c r="X11" s="301">
        <f t="shared" si="0"/>
        <v>192.5263157894737</v>
      </c>
      <c r="Y11" s="321">
        <f t="shared" si="0"/>
        <v>1</v>
      </c>
      <c r="Z11" s="329">
        <f t="shared" si="0"/>
        <v>68.650526315789477</v>
      </c>
    </row>
    <row r="12" spans="1:40" x14ac:dyDescent="0.25">
      <c r="B12" s="5" t="s">
        <v>236</v>
      </c>
      <c r="C12" s="300" t="s">
        <v>237</v>
      </c>
      <c r="D12" s="624">
        <v>0</v>
      </c>
      <c r="E12" s="301">
        <f>'Livestock GM - price var'!DL$50</f>
        <v>1360.3459368421054</v>
      </c>
      <c r="F12" s="301">
        <f>'Livestock GM - price var'!DL$49</f>
        <v>1062.7702631578948</v>
      </c>
      <c r="G12" s="301">
        <f>'Livestock GM - price var'!DL$38</f>
        <v>1721.4911999999999</v>
      </c>
      <c r="H12" s="301">
        <f>'Livestock GM - price var'!DL$37</f>
        <v>1344.915</v>
      </c>
      <c r="I12" s="301">
        <f>'Livestock GM - price var'!DL$47</f>
        <v>361.14526315789476</v>
      </c>
      <c r="J12" s="301">
        <f>'Livestock GM - price var'!DL$46</f>
        <v>282.14473684210526</v>
      </c>
      <c r="K12" s="302">
        <f>'Livestock GM - price var'!DL$10*'Livestock GM - price var'!DL$11</f>
        <v>0.96</v>
      </c>
      <c r="L12" s="303">
        <f>'Livestock GM - price var'!DL$9</f>
        <v>27.502894736842105</v>
      </c>
      <c r="M12" s="1"/>
      <c r="N12" s="1"/>
      <c r="P12" s="5" t="str">
        <f>B12</f>
        <v>DL</v>
      </c>
      <c r="Q12" s="300" t="str">
        <f>C12</f>
        <v>Agroecological beef finishers</v>
      </c>
      <c r="R12" s="624">
        <v>0.48</v>
      </c>
      <c r="S12" s="301">
        <f t="shared" si="1"/>
        <v>1360.3459368421054</v>
      </c>
      <c r="T12" s="301">
        <f t="shared" si="0"/>
        <v>1062.7702631578948</v>
      </c>
      <c r="U12" s="301">
        <f t="shared" si="0"/>
        <v>1721.4911999999999</v>
      </c>
      <c r="V12" s="301">
        <f t="shared" si="0"/>
        <v>1344.915</v>
      </c>
      <c r="W12" s="301">
        <f t="shared" si="0"/>
        <v>361.14526315789476</v>
      </c>
      <c r="X12" s="301">
        <f t="shared" si="0"/>
        <v>282.14473684210526</v>
      </c>
      <c r="Y12" s="321">
        <f t="shared" si="0"/>
        <v>0.96</v>
      </c>
      <c r="Z12" s="329">
        <f t="shared" si="0"/>
        <v>27.502894736842105</v>
      </c>
    </row>
    <row r="13" spans="1:40" x14ac:dyDescent="0.25">
      <c r="B13" s="5" t="s">
        <v>238</v>
      </c>
      <c r="C13" s="300" t="s">
        <v>239</v>
      </c>
      <c r="D13" s="624">
        <v>0.18652451174576309</v>
      </c>
      <c r="E13" s="301">
        <f>'Livestock GM - price var'!BO$50</f>
        <v>642.71350000000007</v>
      </c>
      <c r="F13" s="301">
        <f>'Livestock GM - price var'!BO$49</f>
        <v>64.271350000000012</v>
      </c>
      <c r="G13" s="301">
        <f>'Livestock GM - price var'!BO$38</f>
        <v>1026.6800000000003</v>
      </c>
      <c r="H13" s="301">
        <f>'Livestock GM - price var'!BO$37</f>
        <v>102.66800000000002</v>
      </c>
      <c r="I13" s="301">
        <f>'Livestock GM - price var'!BO$47</f>
        <v>383.9665</v>
      </c>
      <c r="J13" s="301">
        <f>'Livestock GM - price var'!BO$46</f>
        <v>38.396650000000001</v>
      </c>
      <c r="K13" s="302">
        <f>'Livestock GM - price var'!BO$10*'Livestock GM - price var'!BO$11</f>
        <v>1.1000000000000001</v>
      </c>
      <c r="L13" s="303">
        <f>'Livestock GM - price var'!BO$9</f>
        <v>6.5679330000000009</v>
      </c>
      <c r="M13" s="1"/>
      <c r="N13" s="1"/>
      <c r="P13" s="5" t="s">
        <v>238</v>
      </c>
      <c r="Q13" s="300" t="str">
        <f t="shared" ref="Q13:Q16" si="2">C13</f>
        <v>Lowland Spring Lamb Production</v>
      </c>
      <c r="R13" s="624">
        <v>0</v>
      </c>
      <c r="S13" s="301">
        <f t="shared" si="1"/>
        <v>642.71350000000007</v>
      </c>
      <c r="T13" s="301">
        <f t="shared" si="0"/>
        <v>64.271350000000012</v>
      </c>
      <c r="U13" s="301">
        <f t="shared" si="0"/>
        <v>1026.6800000000003</v>
      </c>
      <c r="V13" s="301">
        <f t="shared" si="0"/>
        <v>102.66800000000002</v>
      </c>
      <c r="W13" s="301">
        <f t="shared" si="0"/>
        <v>383.9665</v>
      </c>
      <c r="X13" s="301">
        <f t="shared" si="0"/>
        <v>38.396650000000001</v>
      </c>
      <c r="Y13" s="321">
        <f t="shared" si="0"/>
        <v>1.1000000000000001</v>
      </c>
      <c r="Z13" s="329">
        <f t="shared" si="0"/>
        <v>6.5679330000000009</v>
      </c>
    </row>
    <row r="14" spans="1:40" x14ac:dyDescent="0.25">
      <c r="B14" s="5" t="s">
        <v>240</v>
      </c>
      <c r="C14" s="300" t="s">
        <v>241</v>
      </c>
      <c r="D14" s="624">
        <v>2.4869934899435082E-2</v>
      </c>
      <c r="E14" s="301">
        <f>'Livestock GM - price var'!BJ$50</f>
        <v>517.89</v>
      </c>
      <c r="F14" s="301">
        <f>'Livestock GM - price var'!BJ$49</f>
        <v>34.525999999999996</v>
      </c>
      <c r="G14" s="301">
        <f>'Livestock GM - price var'!BJ$38</f>
        <v>800.94</v>
      </c>
      <c r="H14" s="301">
        <f>'Livestock GM - price var'!BJ$37</f>
        <v>53.396000000000001</v>
      </c>
      <c r="I14" s="301">
        <f>'Livestock GM - price var'!BJ$47</f>
        <v>283.05</v>
      </c>
      <c r="J14" s="301">
        <f>'Livestock GM - price var'!BJ$46</f>
        <v>18.87</v>
      </c>
      <c r="K14" s="302">
        <f>'Livestock GM - price var'!BJ$10*'Livestock GM - price var'!BJ$11</f>
        <v>1.65</v>
      </c>
      <c r="L14" s="303">
        <f>'Livestock GM - price var'!BJ$9</f>
        <v>3.8214000000000001</v>
      </c>
      <c r="M14" s="1"/>
      <c r="N14" s="1"/>
      <c r="P14" s="5" t="s">
        <v>240</v>
      </c>
      <c r="Q14" s="300" t="str">
        <f t="shared" si="2"/>
        <v>Lowland Rearing Ewe-lambs</v>
      </c>
      <c r="R14" s="624">
        <v>0</v>
      </c>
      <c r="S14" s="301">
        <f t="shared" si="1"/>
        <v>517.89</v>
      </c>
      <c r="T14" s="301">
        <f t="shared" si="0"/>
        <v>34.525999999999996</v>
      </c>
      <c r="U14" s="301">
        <f t="shared" si="0"/>
        <v>800.94</v>
      </c>
      <c r="V14" s="301">
        <f t="shared" si="0"/>
        <v>53.396000000000001</v>
      </c>
      <c r="W14" s="301">
        <f t="shared" si="0"/>
        <v>283.05</v>
      </c>
      <c r="X14" s="301">
        <f t="shared" si="0"/>
        <v>18.87</v>
      </c>
      <c r="Y14" s="321">
        <f t="shared" si="0"/>
        <v>1.65</v>
      </c>
      <c r="Z14" s="329">
        <f t="shared" si="0"/>
        <v>3.8214000000000001</v>
      </c>
    </row>
    <row r="15" spans="1:40" x14ac:dyDescent="0.25">
      <c r="B15" s="5" t="s">
        <v>242</v>
      </c>
      <c r="C15" s="300" t="s">
        <v>243</v>
      </c>
      <c r="D15" s="624">
        <v>9.9479739597740327E-2</v>
      </c>
      <c r="E15" s="301">
        <f>'Livestock GM - price var'!BT$50</f>
        <v>745.07999999999993</v>
      </c>
      <c r="F15" s="301">
        <f>'Livestock GM - price var'!BT$49</f>
        <v>26.61</v>
      </c>
      <c r="G15" s="301">
        <f>'Livestock GM - price var'!BT$38</f>
        <v>1107.3999999999999</v>
      </c>
      <c r="H15" s="301">
        <f>'Livestock GM - price var'!BT$37</f>
        <v>39.549999999999997</v>
      </c>
      <c r="I15" s="301">
        <f>'Livestock GM - price var'!BT$47</f>
        <v>362.32</v>
      </c>
      <c r="J15" s="301">
        <f>'Livestock GM - price var'!BT$46</f>
        <v>12.94</v>
      </c>
      <c r="K15" s="302">
        <f>'Livestock GM - price var'!BT$10*'Livestock GM - price var'!BT$11</f>
        <v>1.1200000000000001</v>
      </c>
      <c r="L15" s="303">
        <f>'Livestock GM - price var'!BT$9</f>
        <v>2.4588000000000001</v>
      </c>
      <c r="M15" s="1"/>
      <c r="N15" s="1"/>
      <c r="P15" s="5" t="s">
        <v>242</v>
      </c>
      <c r="Q15" s="300" t="str">
        <f t="shared" si="2"/>
        <v>Store Lamb finishing in the lowlands</v>
      </c>
      <c r="R15" s="624">
        <v>0</v>
      </c>
      <c r="S15" s="301">
        <f t="shared" si="1"/>
        <v>745.07999999999993</v>
      </c>
      <c r="T15" s="301">
        <f t="shared" si="0"/>
        <v>26.61</v>
      </c>
      <c r="U15" s="301">
        <f t="shared" si="0"/>
        <v>1107.3999999999999</v>
      </c>
      <c r="V15" s="301">
        <f t="shared" si="0"/>
        <v>39.549999999999997</v>
      </c>
      <c r="W15" s="301">
        <f t="shared" si="0"/>
        <v>362.32</v>
      </c>
      <c r="X15" s="301">
        <f t="shared" si="0"/>
        <v>12.94</v>
      </c>
      <c r="Y15" s="321">
        <f t="shared" si="0"/>
        <v>1.1200000000000001</v>
      </c>
      <c r="Z15" s="329">
        <f t="shared" si="0"/>
        <v>2.4588000000000001</v>
      </c>
    </row>
    <row r="16" spans="1:40" x14ac:dyDescent="0.25">
      <c r="B16" s="5" t="s">
        <v>244</v>
      </c>
      <c r="C16" s="300" t="s">
        <v>245</v>
      </c>
      <c r="D16" s="624">
        <v>0</v>
      </c>
      <c r="E16" s="301">
        <f>'Livestock GM - price var'!DO$50</f>
        <v>496.09199999999993</v>
      </c>
      <c r="F16" s="301">
        <f>'Livestock GM - price var'!DO$49</f>
        <v>103.35249999999999</v>
      </c>
      <c r="G16" s="301">
        <f>'Livestock GM - price var'!DO$38</f>
        <v>654.49199999999996</v>
      </c>
      <c r="H16" s="301">
        <f>'Livestock GM - price var'!DO$37</f>
        <v>136.35249999999999</v>
      </c>
      <c r="I16" s="301">
        <f>'Livestock GM - price var'!DO$47</f>
        <v>158.4</v>
      </c>
      <c r="J16" s="301">
        <f>'Livestock GM - price var'!DO$46</f>
        <v>33</v>
      </c>
      <c r="K16" s="302">
        <f>'Livestock GM - price var'!DO$10*'Livestock GM - price var'!DO$11</f>
        <v>0.52800000000000002</v>
      </c>
      <c r="L16" s="303">
        <f>'Livestock GM - price var'!DO$9</f>
        <v>7.8568000000000007</v>
      </c>
      <c r="M16" s="1"/>
      <c r="N16" s="1"/>
      <c r="P16" s="5"/>
      <c r="Q16" s="300" t="str">
        <f t="shared" si="2"/>
        <v>Agroecological lowland ewes - spring lamb production</v>
      </c>
      <c r="R16" s="624">
        <v>0.31</v>
      </c>
      <c r="S16" s="301">
        <f t="shared" si="1"/>
        <v>496.09199999999993</v>
      </c>
      <c r="T16" s="301">
        <f t="shared" si="0"/>
        <v>103.35249999999999</v>
      </c>
      <c r="U16" s="301">
        <f t="shared" si="0"/>
        <v>654.49199999999996</v>
      </c>
      <c r="V16" s="301">
        <f t="shared" si="0"/>
        <v>136.35249999999999</v>
      </c>
      <c r="W16" s="301">
        <f t="shared" si="0"/>
        <v>158.4</v>
      </c>
      <c r="X16" s="301">
        <f t="shared" si="0"/>
        <v>33</v>
      </c>
      <c r="Y16" s="321">
        <f t="shared" si="0"/>
        <v>0.52800000000000002</v>
      </c>
      <c r="Z16" s="329">
        <f t="shared" si="0"/>
        <v>7.8568000000000007</v>
      </c>
    </row>
    <row r="17" spans="1:52" ht="11" thickBot="1" x14ac:dyDescent="0.3">
      <c r="B17" s="5"/>
      <c r="C17" s="89"/>
      <c r="D17" s="300"/>
      <c r="E17" s="304"/>
      <c r="F17" s="304"/>
      <c r="G17" s="304"/>
      <c r="H17" s="304"/>
      <c r="I17" s="304"/>
      <c r="J17" s="304"/>
      <c r="K17" s="305"/>
      <c r="L17" s="44"/>
      <c r="M17" s="1"/>
      <c r="N17" s="1"/>
      <c r="P17" s="5"/>
      <c r="Q17" s="89"/>
      <c r="R17" s="300"/>
      <c r="S17" s="304"/>
      <c r="T17" s="304"/>
      <c r="U17" s="304"/>
      <c r="V17" s="304"/>
      <c r="W17" s="304"/>
      <c r="X17" s="304"/>
      <c r="Y17" s="305"/>
      <c r="Z17" s="47"/>
    </row>
    <row r="18" spans="1:52" ht="11" thickBot="1" x14ac:dyDescent="0.3">
      <c r="B18" s="306"/>
      <c r="C18" s="307" t="s">
        <v>246</v>
      </c>
      <c r="D18" s="308">
        <f>SUM(D4:D17)</f>
        <v>1</v>
      </c>
      <c r="E18" s="309">
        <f>SUMPRODUCT($D$4:$D$17,E4:E17)</f>
        <v>576.88906038827349</v>
      </c>
      <c r="F18" s="309"/>
      <c r="G18" s="309">
        <f>SUMPRODUCT($D$4:$D$17,G4:G17)</f>
        <v>956.88562629162107</v>
      </c>
      <c r="H18" s="309"/>
      <c r="I18" s="309">
        <f>SUMPRODUCT($D$4:$D$17,I4:I17)</f>
        <v>379.99656590334769</v>
      </c>
      <c r="J18" s="309"/>
      <c r="K18" s="309">
        <f>SUMPRODUCT($D$4:$D$17,K4:K17)</f>
        <v>1.5918215022590498</v>
      </c>
      <c r="L18" s="310">
        <f>SUMPRODUCT($D$4:$D$17,L4:L17)</f>
        <v>31.66638309645975</v>
      </c>
      <c r="M18" s="1"/>
      <c r="N18" s="1"/>
      <c r="P18" s="306"/>
      <c r="Q18" s="307" t="s">
        <v>246</v>
      </c>
      <c r="R18" s="308">
        <f>SUM(R4:R17)</f>
        <v>1</v>
      </c>
      <c r="S18" s="309">
        <f>SUMPRODUCT($R$4:$R$16,S4:S16)</f>
        <v>933.92208126315779</v>
      </c>
      <c r="T18" s="309"/>
      <c r="U18" s="309">
        <f>SUMPRODUCT($R$4:$R$16,U4:U16)</f>
        <v>1210.2831759999999</v>
      </c>
      <c r="V18" s="309"/>
      <c r="W18" s="309">
        <f>SUMPRODUCT($R$4:$R$16,W4:W16)</f>
        <v>276.36109473684212</v>
      </c>
      <c r="X18" s="309"/>
      <c r="Y18" s="309">
        <f>SUMPRODUCT($R$4:$R$16,Y4:Y16)</f>
        <v>0.83448</v>
      </c>
      <c r="Z18" s="310">
        <f>SUMPRODUCT($R$4:$R$16,Z4:Z16)</f>
        <v>30.053608000000004</v>
      </c>
      <c r="AB18" s="347" t="s">
        <v>247</v>
      </c>
    </row>
    <row r="19" spans="1:52" s="235" customFormat="1" x14ac:dyDescent="0.25">
      <c r="B19" s="290"/>
      <c r="C19" s="340"/>
      <c r="D19" s="92"/>
      <c r="E19" s="341"/>
      <c r="F19" s="341"/>
      <c r="G19" s="341"/>
      <c r="H19" s="341"/>
      <c r="I19" s="341"/>
      <c r="J19" s="341"/>
      <c r="K19" s="342"/>
      <c r="L19" s="342"/>
      <c r="M19" s="290"/>
      <c r="N19" s="290"/>
      <c r="P19" s="290"/>
      <c r="Q19" s="340"/>
      <c r="R19" s="92"/>
      <c r="S19" s="341"/>
      <c r="T19" s="341"/>
      <c r="U19" s="341"/>
      <c r="V19" s="341"/>
      <c r="W19" s="341"/>
      <c r="X19" s="341"/>
      <c r="Y19" s="342"/>
      <c r="Z19" s="342"/>
      <c r="AA19" s="345"/>
      <c r="AB19" s="267"/>
      <c r="AC19" s="2"/>
      <c r="AD19" s="2"/>
      <c r="AE19" s="2"/>
      <c r="AF19" s="2"/>
      <c r="AG19" s="2"/>
      <c r="AH19" s="2"/>
      <c r="AI19" s="2"/>
      <c r="AJ19" s="2"/>
      <c r="AK19" s="2"/>
      <c r="AL19" s="2"/>
      <c r="AM19" s="2"/>
      <c r="AN19" s="2"/>
      <c r="AO19" s="2"/>
      <c r="AP19" s="2"/>
      <c r="AQ19" s="2"/>
      <c r="AR19" s="2"/>
      <c r="AS19" s="2"/>
      <c r="AT19" s="2"/>
      <c r="AU19" s="2"/>
      <c r="AV19" s="2"/>
      <c r="AW19" s="2"/>
      <c r="AX19" s="2"/>
      <c r="AY19" s="2"/>
      <c r="AZ19" s="2"/>
    </row>
    <row r="20" spans="1:52" s="235" customFormat="1" x14ac:dyDescent="0.25">
      <c r="B20" s="290"/>
      <c r="C20" s="340"/>
      <c r="D20" s="92"/>
      <c r="E20" s="341"/>
      <c r="F20" s="341"/>
      <c r="G20" s="341"/>
      <c r="H20" s="341"/>
      <c r="I20" s="341"/>
      <c r="J20" s="341"/>
      <c r="K20" s="342"/>
      <c r="L20" s="342"/>
      <c r="M20" s="290"/>
      <c r="N20" s="290"/>
      <c r="P20" s="290"/>
      <c r="Q20" s="340"/>
      <c r="R20" s="92"/>
      <c r="S20" s="341"/>
      <c r="T20" s="341"/>
      <c r="U20" s="341"/>
      <c r="V20" s="341"/>
      <c r="W20" s="341"/>
      <c r="X20" s="341"/>
      <c r="Y20" s="342"/>
      <c r="Z20" s="342"/>
      <c r="AA20" s="345"/>
      <c r="AB20" s="267"/>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s="235" customFormat="1" ht="11" thickBot="1" x14ac:dyDescent="0.3">
      <c r="AA21" s="345"/>
      <c r="AB21" s="267"/>
      <c r="AC21" s="2"/>
      <c r="AD21" s="2"/>
      <c r="AE21" s="2"/>
      <c r="AF21" s="2"/>
      <c r="AG21" s="2"/>
      <c r="AH21" s="2"/>
      <c r="AI21" s="2"/>
      <c r="AJ21" s="2"/>
      <c r="AK21" s="2"/>
      <c r="AL21" s="2"/>
      <c r="AM21" s="2"/>
      <c r="AN21" s="2"/>
      <c r="AO21" s="2"/>
      <c r="AP21" s="2"/>
      <c r="AQ21" s="2"/>
      <c r="AR21" s="2"/>
      <c r="AS21" s="2"/>
      <c r="AT21" s="2"/>
      <c r="AU21" s="2"/>
      <c r="AV21" s="2"/>
      <c r="AW21" s="2"/>
      <c r="AX21" s="2"/>
      <c r="AY21" s="2"/>
      <c r="AZ21" s="2"/>
    </row>
    <row r="22" spans="1:52" ht="32" thickBot="1" x14ac:dyDescent="0.3">
      <c r="B22" s="311" t="s">
        <v>89</v>
      </c>
      <c r="C22" s="315"/>
      <c r="D22" s="313" t="s">
        <v>198</v>
      </c>
      <c r="E22" s="313" t="s">
        <v>199</v>
      </c>
      <c r="F22" s="313" t="s">
        <v>200</v>
      </c>
      <c r="G22" s="313" t="s">
        <v>201</v>
      </c>
      <c r="H22" s="313" t="s">
        <v>202</v>
      </c>
      <c r="I22" s="313" t="s">
        <v>203</v>
      </c>
      <c r="J22" s="313" t="s">
        <v>204</v>
      </c>
      <c r="K22" s="313" t="s">
        <v>215</v>
      </c>
      <c r="L22" s="314" t="s">
        <v>216</v>
      </c>
      <c r="M22" s="91" t="s">
        <v>248</v>
      </c>
      <c r="N22" s="1"/>
      <c r="P22" s="311" t="s">
        <v>89</v>
      </c>
      <c r="Q22" s="315"/>
      <c r="R22" s="313" t="s">
        <v>198</v>
      </c>
      <c r="S22" s="313" t="s">
        <v>199</v>
      </c>
      <c r="T22" s="313" t="s">
        <v>200</v>
      </c>
      <c r="U22" s="313" t="s">
        <v>201</v>
      </c>
      <c r="V22" s="313" t="s">
        <v>202</v>
      </c>
      <c r="W22" s="313" t="s">
        <v>203</v>
      </c>
      <c r="X22" s="313" t="s">
        <v>204</v>
      </c>
      <c r="Y22" s="313" t="s">
        <v>215</v>
      </c>
      <c r="Z22" s="314" t="s">
        <v>216</v>
      </c>
    </row>
    <row r="23" spans="1:52" x14ac:dyDescent="0.25">
      <c r="B23" s="241" t="s">
        <v>249</v>
      </c>
      <c r="C23" s="316" t="s">
        <v>250</v>
      </c>
      <c r="D23" s="625">
        <v>0.41178392957453003</v>
      </c>
      <c r="E23" s="317">
        <f>'Livestock GM'!BY$50</f>
        <v>338.31907499999994</v>
      </c>
      <c r="F23" s="317">
        <f>'Livestock GM'!BY$49</f>
        <v>45.10920999999999</v>
      </c>
      <c r="G23" s="317">
        <f>'Livestock GM'!BY$38</f>
        <v>552.06907499999988</v>
      </c>
      <c r="H23" s="317">
        <f>'Livestock GM'!BY$37</f>
        <v>73.60920999999999</v>
      </c>
      <c r="I23" s="317">
        <f>'Livestock GM'!BY$47</f>
        <v>213.75</v>
      </c>
      <c r="J23" s="317">
        <f>'Livestock GM'!BY$46</f>
        <v>28.5</v>
      </c>
      <c r="K23" s="318">
        <f>'Livestock GM'!BY$10*'Livestock GM'!BY$11</f>
        <v>0.6</v>
      </c>
      <c r="L23" s="319">
        <f>'Livestock GM'!BY$9</f>
        <v>5.97</v>
      </c>
      <c r="M23" s="1" t="s">
        <v>222</v>
      </c>
      <c r="N23" s="90">
        <v>0.51472991196816253</v>
      </c>
      <c r="P23" s="241" t="s">
        <v>249</v>
      </c>
      <c r="Q23" s="316" t="str">
        <f>C23</f>
        <v>Upland breeding ewe</v>
      </c>
      <c r="R23" s="625">
        <v>0</v>
      </c>
      <c r="S23" s="317">
        <f>E23</f>
        <v>338.31907499999994</v>
      </c>
      <c r="T23" s="317">
        <f t="shared" ref="T23:Z30" si="3">F23</f>
        <v>45.10920999999999</v>
      </c>
      <c r="U23" s="317">
        <f t="shared" si="3"/>
        <v>552.06907499999988</v>
      </c>
      <c r="V23" s="317">
        <f t="shared" si="3"/>
        <v>73.60920999999999</v>
      </c>
      <c r="W23" s="317">
        <f t="shared" si="3"/>
        <v>213.75</v>
      </c>
      <c r="X23" s="317">
        <f t="shared" si="3"/>
        <v>28.5</v>
      </c>
      <c r="Y23" s="318">
        <f t="shared" si="3"/>
        <v>0.6</v>
      </c>
      <c r="Z23" s="330">
        <f t="shared" si="3"/>
        <v>5.97</v>
      </c>
    </row>
    <row r="24" spans="1:52" x14ac:dyDescent="0.25">
      <c r="B24" s="320" t="s">
        <v>251</v>
      </c>
      <c r="C24" s="300" t="s">
        <v>252</v>
      </c>
      <c r="D24" s="624">
        <v>0.10294598239363251</v>
      </c>
      <c r="E24" s="301">
        <f>'Livestock GM'!CD$50</f>
        <v>345.15</v>
      </c>
      <c r="F24" s="301">
        <f>'Livestock GM'!CD$49</f>
        <v>23.009999999999998</v>
      </c>
      <c r="G24" s="301">
        <f>'Livestock GM'!CD$38</f>
        <v>671.85</v>
      </c>
      <c r="H24" s="301">
        <f>'Livestock GM'!CD$37</f>
        <v>44.79</v>
      </c>
      <c r="I24" s="301">
        <f>'Livestock GM'!CD$47</f>
        <v>326.70000000000005</v>
      </c>
      <c r="J24" s="301">
        <f>'Livestock GM'!CD$46</f>
        <v>21.78</v>
      </c>
      <c r="K24" s="321">
        <f>'Livestock GM'!CD$10*'Livestock GM'!CD$11</f>
        <v>0.89999999999999991</v>
      </c>
      <c r="L24" s="303">
        <f>'Livestock GM'!CD$9</f>
        <v>0.44560000000000005</v>
      </c>
      <c r="M24" s="1" t="s">
        <v>225</v>
      </c>
      <c r="N24" s="90">
        <v>0.48527008803183747</v>
      </c>
      <c r="P24" s="320" t="s">
        <v>251</v>
      </c>
      <c r="Q24" s="300" t="str">
        <f t="shared" ref="Q24:Q30" si="4">C24</f>
        <v>Hill store lamb production from self-contained flock</v>
      </c>
      <c r="R24" s="624">
        <v>0</v>
      </c>
      <c r="S24" s="301">
        <f t="shared" ref="S24:S30" si="5">E24</f>
        <v>345.15</v>
      </c>
      <c r="T24" s="301">
        <f t="shared" si="3"/>
        <v>23.009999999999998</v>
      </c>
      <c r="U24" s="301">
        <f t="shared" si="3"/>
        <v>671.85</v>
      </c>
      <c r="V24" s="301">
        <f t="shared" si="3"/>
        <v>44.79</v>
      </c>
      <c r="W24" s="301">
        <f t="shared" si="3"/>
        <v>326.70000000000005</v>
      </c>
      <c r="X24" s="301">
        <f t="shared" si="3"/>
        <v>21.78</v>
      </c>
      <c r="Y24" s="321">
        <f t="shared" si="3"/>
        <v>0.89999999999999991</v>
      </c>
      <c r="Z24" s="329">
        <f t="shared" si="3"/>
        <v>0.44560000000000005</v>
      </c>
    </row>
    <row r="25" spans="1:52" x14ac:dyDescent="0.25">
      <c r="B25" s="320" t="s">
        <v>253</v>
      </c>
      <c r="C25" s="300" t="s">
        <v>254</v>
      </c>
      <c r="D25" s="624">
        <v>0.18559452489638695</v>
      </c>
      <c r="E25" s="301">
        <f>'Livestock GM'!AO$50</f>
        <v>261.30905059523803</v>
      </c>
      <c r="F25" s="301">
        <f>'Livestock GM'!AO$49</f>
        <v>209.04724047619044</v>
      </c>
      <c r="G25" s="301">
        <f>'Livestock GM'!AO$38</f>
        <v>531.74523809523805</v>
      </c>
      <c r="H25" s="301">
        <f>'Livestock GM'!AO$37</f>
        <v>425.39619047619044</v>
      </c>
      <c r="I25" s="301">
        <f>'Livestock GM'!AO$47</f>
        <v>270.43618750000002</v>
      </c>
      <c r="J25" s="301">
        <f>'Livestock GM'!AO$46</f>
        <v>216.34895</v>
      </c>
      <c r="K25" s="321">
        <f>'Livestock GM'!AO$10*'Livestock GM'!AO$11</f>
        <v>0.9375</v>
      </c>
      <c r="L25" s="303">
        <f>'Livestock GM'!AO$9</f>
        <v>71.126979000000006</v>
      </c>
      <c r="M25" s="1"/>
      <c r="N25" s="89"/>
      <c r="O25" s="290"/>
      <c r="P25" s="320" t="s">
        <v>253</v>
      </c>
      <c r="Q25" s="300" t="str">
        <f t="shared" si="4"/>
        <v>LFA Autumn Calving Suckler Cows</v>
      </c>
      <c r="R25" s="624">
        <v>0</v>
      </c>
      <c r="S25" s="301">
        <f t="shared" si="5"/>
        <v>261.30905059523803</v>
      </c>
      <c r="T25" s="301">
        <f t="shared" si="3"/>
        <v>209.04724047619044</v>
      </c>
      <c r="U25" s="301">
        <f t="shared" si="3"/>
        <v>531.74523809523805</v>
      </c>
      <c r="V25" s="301">
        <f t="shared" si="3"/>
        <v>425.39619047619044</v>
      </c>
      <c r="W25" s="301">
        <f t="shared" si="3"/>
        <v>270.43618750000002</v>
      </c>
      <c r="X25" s="301">
        <f t="shared" si="3"/>
        <v>216.34895</v>
      </c>
      <c r="Y25" s="321">
        <f t="shared" si="3"/>
        <v>0.9375</v>
      </c>
      <c r="Z25" s="329">
        <f t="shared" si="3"/>
        <v>71.126979000000006</v>
      </c>
    </row>
    <row r="26" spans="1:52" x14ac:dyDescent="0.25">
      <c r="B26" s="320" t="s">
        <v>255</v>
      </c>
      <c r="C26" s="300" t="s">
        <v>256</v>
      </c>
      <c r="D26" s="624">
        <v>0.29967556313545052</v>
      </c>
      <c r="E26" s="301">
        <f>'Livestock GM'!AJ$50</f>
        <v>216.00533333333334</v>
      </c>
      <c r="F26" s="301">
        <f>'Livestock GM'!AJ$49</f>
        <v>135.00333333333333</v>
      </c>
      <c r="G26" s="301">
        <f>'Livestock GM'!AJ$38</f>
        <v>484.78933333333339</v>
      </c>
      <c r="H26" s="301">
        <f>'Livestock GM'!AJ$37</f>
        <v>302.99333333333334</v>
      </c>
      <c r="I26" s="301">
        <f>'Livestock GM'!AJ$47</f>
        <v>268.78400000000005</v>
      </c>
      <c r="J26" s="301">
        <f>'Livestock GM'!AJ$46</f>
        <v>167.99</v>
      </c>
      <c r="K26" s="321">
        <f>'Livestock GM'!AJ$10*'Livestock GM'!AJ$11</f>
        <v>1.2000000000000002</v>
      </c>
      <c r="L26" s="303">
        <f>'Livestock GM'!AJ$9</f>
        <v>70.159800000000004</v>
      </c>
      <c r="M26" s="1"/>
      <c r="N26" s="1"/>
      <c r="O26" s="290"/>
      <c r="P26" s="320" t="s">
        <v>255</v>
      </c>
      <c r="Q26" s="300" t="str">
        <f t="shared" si="4"/>
        <v>LFA Spring Calving Suckler Cows</v>
      </c>
      <c r="R26" s="624">
        <v>0</v>
      </c>
      <c r="S26" s="301">
        <f t="shared" si="5"/>
        <v>216.00533333333334</v>
      </c>
      <c r="T26" s="301">
        <f t="shared" si="3"/>
        <v>135.00333333333333</v>
      </c>
      <c r="U26" s="301">
        <f t="shared" si="3"/>
        <v>484.78933333333339</v>
      </c>
      <c r="V26" s="301">
        <f t="shared" si="3"/>
        <v>302.99333333333334</v>
      </c>
      <c r="W26" s="301">
        <f t="shared" si="3"/>
        <v>268.78400000000005</v>
      </c>
      <c r="X26" s="301">
        <f t="shared" si="3"/>
        <v>167.99</v>
      </c>
      <c r="Y26" s="321">
        <f t="shared" si="3"/>
        <v>1.2000000000000002</v>
      </c>
      <c r="Z26" s="329">
        <f t="shared" si="3"/>
        <v>70.159800000000004</v>
      </c>
    </row>
    <row r="27" spans="1:52" s="175" customFormat="1" ht="24.65" customHeight="1" x14ac:dyDescent="0.25">
      <c r="A27" s="339"/>
      <c r="B27" s="320" t="s">
        <v>257</v>
      </c>
      <c r="C27" s="322" t="s">
        <v>258</v>
      </c>
      <c r="D27" s="626">
        <v>0</v>
      </c>
      <c r="E27" s="323">
        <f>'Livestock GM'!BC$50</f>
        <v>118.99666666666661</v>
      </c>
      <c r="F27" s="323">
        <f>'Livestock GM'!BC$49</f>
        <v>118.99666666666661</v>
      </c>
      <c r="G27" s="323">
        <f>'Livestock GM'!BC$38</f>
        <v>284.35666666666663</v>
      </c>
      <c r="H27" s="323">
        <f>'Livestock GM'!BC$37</f>
        <v>284.35666666666663</v>
      </c>
      <c r="I27" s="323">
        <f>'Livestock GM'!BC$47</f>
        <v>165.36</v>
      </c>
      <c r="J27" s="323">
        <f>'Livestock GM'!BC$46</f>
        <v>165.36</v>
      </c>
      <c r="K27" s="324">
        <f>'Livestock GM'!BC$10*'Livestock GM'!BC$11</f>
        <v>0.8</v>
      </c>
      <c r="L27" s="325">
        <f>'Livestock GM'!BC$9</f>
        <v>57.307200000000002</v>
      </c>
      <c r="M27" s="130"/>
      <c r="N27" s="130"/>
      <c r="O27" s="273"/>
      <c r="P27" s="320" t="s">
        <v>257</v>
      </c>
      <c r="Q27" s="322" t="str">
        <f t="shared" si="4"/>
        <v>Hardy native breeds on the hill producing stores. Spring calving. Long horn, Shorthorn, Highland cattle.</v>
      </c>
      <c r="R27" s="626">
        <v>0.25</v>
      </c>
      <c r="S27" s="301">
        <f t="shared" si="5"/>
        <v>118.99666666666661</v>
      </c>
      <c r="T27" s="301">
        <f t="shared" si="3"/>
        <v>118.99666666666661</v>
      </c>
      <c r="U27" s="301">
        <f t="shared" si="3"/>
        <v>284.35666666666663</v>
      </c>
      <c r="V27" s="301">
        <f t="shared" si="3"/>
        <v>284.35666666666663</v>
      </c>
      <c r="W27" s="301">
        <f t="shared" si="3"/>
        <v>165.36</v>
      </c>
      <c r="X27" s="301">
        <f t="shared" si="3"/>
        <v>165.36</v>
      </c>
      <c r="Y27" s="321">
        <f t="shared" si="3"/>
        <v>0.8</v>
      </c>
      <c r="Z27" s="329">
        <f t="shared" si="3"/>
        <v>57.307200000000002</v>
      </c>
      <c r="AA27" s="346"/>
      <c r="AB27" s="349"/>
    </row>
    <row r="28" spans="1:52" x14ac:dyDescent="0.25">
      <c r="B28" s="320" t="s">
        <v>259</v>
      </c>
      <c r="C28" s="300" t="s">
        <v>260</v>
      </c>
      <c r="D28" s="624">
        <v>0</v>
      </c>
      <c r="E28" s="301">
        <f>'Livestock GM'!BF$50</f>
        <v>378.77499999999998</v>
      </c>
      <c r="F28" s="301">
        <f>'Livestock GM'!BF$49</f>
        <v>303.02</v>
      </c>
      <c r="G28" s="301">
        <f>'Livestock GM'!BF$38</f>
        <v>595.77499999999998</v>
      </c>
      <c r="H28" s="301">
        <f>'Livestock GM'!BF$37</f>
        <v>476.62</v>
      </c>
      <c r="I28" s="301">
        <f>'Livestock GM'!BF$47</f>
        <v>217</v>
      </c>
      <c r="J28" s="301">
        <f>'Livestock GM'!BF$46</f>
        <v>173.6</v>
      </c>
      <c r="K28" s="321">
        <f>'Livestock GM'!BF$10*'Livestock GM'!BF$11</f>
        <v>1</v>
      </c>
      <c r="L28" s="303">
        <f>'Livestock GM'!BF$9</f>
        <v>23.231999999999999</v>
      </c>
      <c r="M28" s="1"/>
      <c r="N28" s="1"/>
      <c r="O28" s="290"/>
      <c r="P28" s="320" t="str">
        <f>B28</f>
        <v>BE</v>
      </c>
      <c r="Q28" s="300" t="str">
        <f t="shared" si="4"/>
        <v>Finishing progeny (stores) from hardy native breeds</v>
      </c>
      <c r="R28" s="624">
        <v>0.25</v>
      </c>
      <c r="S28" s="301">
        <f>E28</f>
        <v>378.77499999999998</v>
      </c>
      <c r="T28" s="301">
        <f t="shared" si="3"/>
        <v>303.02</v>
      </c>
      <c r="U28" s="301">
        <f t="shared" si="3"/>
        <v>595.77499999999998</v>
      </c>
      <c r="V28" s="301">
        <f t="shared" si="3"/>
        <v>476.62</v>
      </c>
      <c r="W28" s="301">
        <f t="shared" si="3"/>
        <v>217</v>
      </c>
      <c r="X28" s="301">
        <f t="shared" si="3"/>
        <v>173.6</v>
      </c>
      <c r="Y28" s="321">
        <f t="shared" si="3"/>
        <v>1</v>
      </c>
      <c r="Z28" s="329">
        <f t="shared" si="3"/>
        <v>23.231999999999999</v>
      </c>
    </row>
    <row r="29" spans="1:52" x14ac:dyDescent="0.25">
      <c r="B29" s="320" t="s">
        <v>261</v>
      </c>
      <c r="C29" s="300" t="s">
        <v>973</v>
      </c>
      <c r="D29" s="624">
        <v>0</v>
      </c>
      <c r="E29" s="301">
        <f>'Livestock GM - price var'!DI$50</f>
        <v>297.05704736842102</v>
      </c>
      <c r="F29" s="301">
        <f>'Livestock GM - price var'!DI$49</f>
        <v>396.07606315789468</v>
      </c>
      <c r="G29" s="301">
        <f>'Livestock GM - price var'!DI$38</f>
        <v>451.10309999999993</v>
      </c>
      <c r="H29" s="301">
        <f>'Livestock GM - price var'!DI$37</f>
        <v>601.47079999999994</v>
      </c>
      <c r="I29" s="301">
        <f>'Livestock GM - price var'!DI$47</f>
        <v>154.04605263157896</v>
      </c>
      <c r="J29" s="301">
        <f>'Livestock GM - price var'!DI$46</f>
        <v>205.39473684210526</v>
      </c>
      <c r="K29" s="321">
        <f>'Livestock GM - price var'!DI$10*'Livestock GM - price var'!DI$11</f>
        <v>0.5625</v>
      </c>
      <c r="L29" s="303">
        <f>'Livestock GM - price var'!DI$9</f>
        <v>68.90789473684211</v>
      </c>
      <c r="M29" s="1"/>
      <c r="N29" s="1"/>
      <c r="O29" s="290"/>
      <c r="P29" s="320" t="str">
        <f t="shared" ref="P29:P30" si="6">B29</f>
        <v>DI</v>
      </c>
      <c r="Q29" s="300" t="str">
        <f t="shared" si="4"/>
        <v>Agroecological LFA sucker cows</v>
      </c>
      <c r="R29" s="624">
        <v>0.25</v>
      </c>
      <c r="S29" s="301">
        <f>E29</f>
        <v>297.05704736842102</v>
      </c>
      <c r="T29" s="301">
        <f t="shared" si="3"/>
        <v>396.07606315789468</v>
      </c>
      <c r="U29" s="301">
        <f t="shared" si="3"/>
        <v>451.10309999999993</v>
      </c>
      <c r="V29" s="301">
        <f t="shared" si="3"/>
        <v>601.47079999999994</v>
      </c>
      <c r="W29" s="301">
        <f t="shared" si="3"/>
        <v>154.04605263157896</v>
      </c>
      <c r="X29" s="301">
        <f t="shared" si="3"/>
        <v>205.39473684210526</v>
      </c>
      <c r="Y29" s="321">
        <f t="shared" si="3"/>
        <v>0.5625</v>
      </c>
      <c r="Z29" s="329">
        <f t="shared" si="3"/>
        <v>68.90789473684211</v>
      </c>
    </row>
    <row r="30" spans="1:52" x14ac:dyDescent="0.25">
      <c r="B30" s="320" t="s">
        <v>263</v>
      </c>
      <c r="C30" s="300" t="s">
        <v>264</v>
      </c>
      <c r="D30" s="624">
        <v>0</v>
      </c>
      <c r="E30" s="301">
        <f>'Livestock GM - price var'!DR$50</f>
        <v>103.16</v>
      </c>
      <c r="F30" s="301">
        <f>'Livestock GM - price var'!DR$49</f>
        <v>20.631999999999998</v>
      </c>
      <c r="G30" s="301">
        <f>'Livestock GM - price var'!DR$38</f>
        <v>293.15999999999997</v>
      </c>
      <c r="H30" s="301">
        <f>'Livestock GM - price var'!DR$37</f>
        <v>58.631999999999998</v>
      </c>
      <c r="I30" s="301">
        <f>'Livestock GM - price var'!DR$47</f>
        <v>190</v>
      </c>
      <c r="J30" s="301">
        <f>'Livestock GM - price var'!DR$46</f>
        <v>38</v>
      </c>
      <c r="K30" s="321">
        <f>'Livestock GM - price var'!DR$10*'Livestock GM - price var'!DR$11</f>
        <v>0.4</v>
      </c>
      <c r="L30" s="303">
        <f>'Livestock GM - price var'!DR$9</f>
        <v>6.5360000000000005</v>
      </c>
      <c r="M30" s="1"/>
      <c r="N30" s="1"/>
      <c r="O30" s="290"/>
      <c r="P30" s="320" t="str">
        <f t="shared" si="6"/>
        <v>DR</v>
      </c>
      <c r="Q30" s="300" t="str">
        <f t="shared" si="4"/>
        <v>Agroecological LFA ewes</v>
      </c>
      <c r="R30" s="624">
        <v>0.25</v>
      </c>
      <c r="S30" s="301">
        <f t="shared" si="5"/>
        <v>103.16</v>
      </c>
      <c r="T30" s="301">
        <f t="shared" si="3"/>
        <v>20.631999999999998</v>
      </c>
      <c r="U30" s="301">
        <f t="shared" si="3"/>
        <v>293.15999999999997</v>
      </c>
      <c r="V30" s="301">
        <f t="shared" si="3"/>
        <v>58.631999999999998</v>
      </c>
      <c r="W30" s="301">
        <f t="shared" si="3"/>
        <v>190</v>
      </c>
      <c r="X30" s="301">
        <f t="shared" si="3"/>
        <v>38</v>
      </c>
      <c r="Y30" s="321">
        <f t="shared" si="3"/>
        <v>0.4</v>
      </c>
      <c r="Z30" s="329">
        <f t="shared" si="3"/>
        <v>6.5360000000000005</v>
      </c>
    </row>
    <row r="31" spans="1:52" ht="11" thickBot="1" x14ac:dyDescent="0.3">
      <c r="B31" s="326"/>
      <c r="C31" s="300"/>
      <c r="D31" s="1"/>
      <c r="E31" s="1"/>
      <c r="F31" s="1"/>
      <c r="G31" s="1"/>
      <c r="H31" s="1"/>
      <c r="I31" s="1"/>
      <c r="J31" s="1"/>
      <c r="K31" s="1"/>
      <c r="L31" s="6"/>
      <c r="M31" s="1"/>
      <c r="N31" s="1"/>
      <c r="O31" s="290"/>
      <c r="P31" s="327"/>
      <c r="Q31" s="331"/>
      <c r="R31" s="332"/>
      <c r="S31" s="332"/>
      <c r="T31" s="332"/>
      <c r="U31" s="332"/>
      <c r="V31" s="332"/>
      <c r="W31" s="332"/>
      <c r="X31" s="332"/>
      <c r="Y31" s="332"/>
      <c r="Z31" s="333"/>
    </row>
    <row r="32" spans="1:52" ht="11" thickBot="1" x14ac:dyDescent="0.3">
      <c r="B32" s="328"/>
      <c r="C32" s="307" t="s">
        <v>246</v>
      </c>
      <c r="D32" s="308">
        <f>SUM(D23:D31)</f>
        <v>1</v>
      </c>
      <c r="E32" s="309">
        <f>SUMPRODUCT($D$23:$D$31,E23:E31)</f>
        <v>288.07521297995885</v>
      </c>
      <c r="F32" s="309"/>
      <c r="G32" s="309">
        <f t="shared" ref="G32:L32" si="7">SUMPRODUCT($D$23:$D$31,G23:G31)</f>
        <v>540.46595267016608</v>
      </c>
      <c r="H32" s="309"/>
      <c r="I32" s="309">
        <f t="shared" si="7"/>
        <v>252.3907396902072</v>
      </c>
      <c r="J32" s="309"/>
      <c r="K32" s="309">
        <f t="shared" si="7"/>
        <v>0.8733272847518907</v>
      </c>
      <c r="L32" s="310">
        <f t="shared" si="7"/>
        <v>36.730178238605419</v>
      </c>
      <c r="M32" s="1"/>
      <c r="N32" s="1"/>
      <c r="O32" s="290"/>
      <c r="P32" s="328"/>
      <c r="Q32" s="307" t="s">
        <v>246</v>
      </c>
      <c r="R32" s="308">
        <f>SUM(R23:R31)</f>
        <v>1</v>
      </c>
      <c r="S32" s="309">
        <f>SUMPRODUCT($R$23:$R$30,S23:S30)</f>
        <v>224.4971785087719</v>
      </c>
      <c r="T32" s="309"/>
      <c r="U32" s="309">
        <f t="shared" ref="U32:Z32" si="8">SUMPRODUCT($R$23:$R$30,U23:U30)</f>
        <v>406.09869166666658</v>
      </c>
      <c r="V32" s="309"/>
      <c r="W32" s="309">
        <f t="shared" si="8"/>
        <v>181.60151315789474</v>
      </c>
      <c r="X32" s="309"/>
      <c r="Y32" s="309">
        <f t="shared" si="8"/>
        <v>0.69062499999999993</v>
      </c>
      <c r="Z32" s="310">
        <f t="shared" si="8"/>
        <v>38.995773684210526</v>
      </c>
    </row>
    <row r="33" spans="2:52" s="235" customFormat="1" x14ac:dyDescent="0.25">
      <c r="B33" s="343"/>
      <c r="C33" s="340"/>
      <c r="D33" s="344"/>
      <c r="E33" s="341"/>
      <c r="F33" s="341"/>
      <c r="G33" s="341"/>
      <c r="H33" s="341"/>
      <c r="I33" s="341"/>
      <c r="J33" s="341"/>
      <c r="K33" s="290"/>
      <c r="L33" s="290"/>
      <c r="M33" s="290"/>
      <c r="N33" s="290"/>
      <c r="O33" s="290"/>
      <c r="P33" s="343"/>
      <c r="Q33" s="340"/>
      <c r="R33" s="344"/>
      <c r="S33" s="341"/>
      <c r="T33" s="341"/>
      <c r="U33" s="341"/>
      <c r="V33" s="341"/>
      <c r="W33" s="341"/>
      <c r="X33" s="341"/>
      <c r="Y33" s="290"/>
      <c r="Z33" s="290"/>
      <c r="AA33" s="345"/>
      <c r="AB33" s="267"/>
      <c r="AC33" s="2"/>
      <c r="AD33" s="2"/>
      <c r="AE33" s="2"/>
      <c r="AF33" s="2"/>
      <c r="AG33" s="2"/>
      <c r="AH33" s="2"/>
      <c r="AI33" s="2"/>
      <c r="AJ33" s="2"/>
      <c r="AK33" s="2"/>
      <c r="AL33" s="2"/>
      <c r="AM33" s="2"/>
      <c r="AN33" s="2"/>
      <c r="AO33" s="2"/>
      <c r="AP33" s="2"/>
      <c r="AQ33" s="2"/>
      <c r="AR33" s="2"/>
      <c r="AS33" s="2"/>
      <c r="AT33" s="2"/>
      <c r="AU33" s="2"/>
      <c r="AV33" s="2"/>
      <c r="AW33" s="2"/>
      <c r="AX33" s="2"/>
      <c r="AY33" s="2"/>
      <c r="AZ33" s="2"/>
    </row>
    <row r="34" spans="2:52" s="235" customFormat="1" x14ac:dyDescent="0.25">
      <c r="B34" s="343"/>
      <c r="C34" s="340"/>
      <c r="D34" s="92"/>
      <c r="E34" s="341"/>
      <c r="F34" s="341"/>
      <c r="G34" s="341"/>
      <c r="H34" s="341"/>
      <c r="I34" s="341"/>
      <c r="J34" s="341"/>
      <c r="K34" s="290"/>
      <c r="L34" s="290"/>
      <c r="M34" s="290"/>
      <c r="N34" s="290"/>
      <c r="O34" s="290"/>
      <c r="P34" s="343"/>
      <c r="Q34" s="340"/>
      <c r="R34" s="92"/>
      <c r="S34" s="341"/>
      <c r="T34" s="341"/>
      <c r="U34" s="341"/>
      <c r="V34" s="341"/>
      <c r="W34" s="341"/>
      <c r="X34" s="341"/>
      <c r="Y34" s="290"/>
      <c r="Z34" s="290"/>
      <c r="AA34" s="345"/>
      <c r="AB34" s="267"/>
      <c r="AC34" s="2"/>
      <c r="AD34" s="2"/>
      <c r="AE34" s="2"/>
      <c r="AF34" s="2"/>
      <c r="AG34" s="2"/>
      <c r="AH34" s="2"/>
      <c r="AI34" s="2"/>
      <c r="AJ34" s="2"/>
      <c r="AK34" s="2"/>
      <c r="AL34" s="2"/>
      <c r="AM34" s="2"/>
      <c r="AN34" s="2"/>
      <c r="AO34" s="2"/>
      <c r="AP34" s="2"/>
      <c r="AQ34" s="2"/>
      <c r="AR34" s="2"/>
      <c r="AS34" s="2"/>
      <c r="AT34" s="2"/>
      <c r="AU34" s="2"/>
      <c r="AV34" s="2"/>
      <c r="AW34" s="2"/>
      <c r="AX34" s="2"/>
      <c r="AY34" s="2"/>
      <c r="AZ34" s="2"/>
    </row>
    <row r="35" spans="2:52" s="235" customFormat="1" ht="11" thickBot="1" x14ac:dyDescent="0.3">
      <c r="AA35" s="345"/>
      <c r="AB35" s="267"/>
      <c r="AC35" s="2"/>
      <c r="AD35" s="2"/>
      <c r="AE35" s="2"/>
      <c r="AF35" s="2"/>
      <c r="AG35" s="2"/>
      <c r="AH35" s="2"/>
      <c r="AI35" s="2"/>
      <c r="AJ35" s="2"/>
      <c r="AK35" s="2"/>
      <c r="AL35" s="2"/>
      <c r="AM35" s="2"/>
      <c r="AN35" s="2"/>
      <c r="AO35" s="2"/>
      <c r="AP35" s="2"/>
      <c r="AQ35" s="2"/>
      <c r="AR35" s="2"/>
      <c r="AS35" s="2"/>
      <c r="AT35" s="2"/>
      <c r="AU35" s="2"/>
      <c r="AV35" s="2"/>
      <c r="AW35" s="2"/>
      <c r="AX35" s="2"/>
      <c r="AY35" s="2"/>
      <c r="AZ35" s="2"/>
    </row>
    <row r="36" spans="2:52" ht="32" thickBot="1" x14ac:dyDescent="0.3">
      <c r="B36" s="311" t="s">
        <v>265</v>
      </c>
      <c r="C36" s="315"/>
      <c r="D36" s="313" t="s">
        <v>198</v>
      </c>
      <c r="E36" s="313" t="s">
        <v>199</v>
      </c>
      <c r="F36" s="313" t="s">
        <v>200</v>
      </c>
      <c r="G36" s="313" t="s">
        <v>201</v>
      </c>
      <c r="H36" s="313" t="s">
        <v>202</v>
      </c>
      <c r="I36" s="313" t="s">
        <v>203</v>
      </c>
      <c r="J36" s="313" t="s">
        <v>204</v>
      </c>
      <c r="K36" s="313" t="s">
        <v>215</v>
      </c>
      <c r="L36" s="314" t="s">
        <v>216</v>
      </c>
      <c r="M36" s="3" t="s">
        <v>266</v>
      </c>
      <c r="N36" s="1"/>
      <c r="P36" s="311" t="s">
        <v>265</v>
      </c>
      <c r="Q36" s="315"/>
      <c r="R36" s="313" t="s">
        <v>198</v>
      </c>
      <c r="S36" s="313" t="s">
        <v>199</v>
      </c>
      <c r="T36" s="313" t="s">
        <v>200</v>
      </c>
      <c r="U36" s="313" t="s">
        <v>201</v>
      </c>
      <c r="V36" s="313" t="s">
        <v>202</v>
      </c>
      <c r="W36" s="313" t="s">
        <v>203</v>
      </c>
      <c r="X36" s="313" t="s">
        <v>204</v>
      </c>
      <c r="Y36" s="313" t="s">
        <v>215</v>
      </c>
      <c r="Z36" s="314" t="s">
        <v>216</v>
      </c>
    </row>
    <row r="37" spans="2:52" x14ac:dyDescent="0.25">
      <c r="B37" s="320" t="s">
        <v>267</v>
      </c>
      <c r="C37" s="300" t="s">
        <v>268</v>
      </c>
      <c r="D37" s="624">
        <v>0.64124999999999999</v>
      </c>
      <c r="E37" s="301">
        <f>'Livestock GM'!DY41</f>
        <v>2561.6383333333329</v>
      </c>
      <c r="F37" s="301">
        <f>'Livestock GM'!DY40</f>
        <v>1219.8277777777776</v>
      </c>
      <c r="G37" s="301">
        <f>'Livestock GM'!DY24</f>
        <v>4487.3383333333331</v>
      </c>
      <c r="H37" s="301">
        <f>'Livestock GM'!DY23</f>
        <v>2136.8277777777776</v>
      </c>
      <c r="I37" s="301">
        <f>'Livestock GM'!DY38</f>
        <v>1925.7</v>
      </c>
      <c r="J37" s="301">
        <f>'Livestock GM'!DY37</f>
        <v>917</v>
      </c>
      <c r="K37" s="321">
        <f>'Livestock GM'!DY45</f>
        <v>2.1</v>
      </c>
      <c r="L37" s="329">
        <f>'Livestock GM'!DY53</f>
        <v>37.056666666666665</v>
      </c>
      <c r="M37" s="1" t="s">
        <v>269</v>
      </c>
      <c r="N37" s="1"/>
      <c r="P37" s="241" t="s">
        <v>267</v>
      </c>
      <c r="Q37" s="316" t="str">
        <f>C37</f>
        <v>Dairy Cows - Holstein</v>
      </c>
      <c r="R37" s="625">
        <v>0</v>
      </c>
      <c r="S37" s="317">
        <f>E37</f>
        <v>2561.6383333333329</v>
      </c>
      <c r="T37" s="317">
        <f t="shared" ref="T37:Z43" si="9">F37</f>
        <v>1219.8277777777776</v>
      </c>
      <c r="U37" s="317">
        <f t="shared" si="9"/>
        <v>4487.3383333333331</v>
      </c>
      <c r="V37" s="317">
        <f t="shared" si="9"/>
        <v>2136.8277777777776</v>
      </c>
      <c r="W37" s="317">
        <f t="shared" si="9"/>
        <v>1925.7</v>
      </c>
      <c r="X37" s="317">
        <f t="shared" si="9"/>
        <v>917</v>
      </c>
      <c r="Y37" s="318">
        <f t="shared" si="9"/>
        <v>2.1</v>
      </c>
      <c r="Z37" s="330">
        <f t="shared" si="9"/>
        <v>37.056666666666665</v>
      </c>
    </row>
    <row r="38" spans="2:52" x14ac:dyDescent="0.25">
      <c r="B38" s="320" t="s">
        <v>270</v>
      </c>
      <c r="C38" s="300" t="s">
        <v>271</v>
      </c>
      <c r="D38" s="627">
        <v>7.1249999999999994E-2</v>
      </c>
      <c r="E38" s="301">
        <f>'Livestock GM'!ED41</f>
        <v>3023.3791756854262</v>
      </c>
      <c r="F38" s="301">
        <f>'Livestock GM'!ED40</f>
        <v>1209.3516702741704</v>
      </c>
      <c r="G38" s="301">
        <f>'Livestock GM'!ED24</f>
        <v>4582.2791756854258</v>
      </c>
      <c r="H38" s="301">
        <f>'Livestock GM'!ED23</f>
        <v>1832.9116702741703</v>
      </c>
      <c r="I38" s="301">
        <f>'Livestock GM'!ED38</f>
        <v>1558.8999999999999</v>
      </c>
      <c r="J38" s="301">
        <f>'Livestock GM'!ED37</f>
        <v>623.55999999999995</v>
      </c>
      <c r="K38" s="321">
        <f>'Livestock GM'!ED45</f>
        <v>2.1749999999999998</v>
      </c>
      <c r="L38" s="329">
        <f>'Livestock GM'!ED53</f>
        <v>33.078533333333333</v>
      </c>
      <c r="M38" s="1" t="s">
        <v>272</v>
      </c>
      <c r="P38" s="320" t="s">
        <v>270</v>
      </c>
      <c r="Q38" s="300" t="str">
        <f t="shared" ref="Q38:Q43" si="10">C38</f>
        <v>Dairy Cows - Channel Island</v>
      </c>
      <c r="R38" s="627">
        <v>0</v>
      </c>
      <c r="S38" s="301">
        <f t="shared" ref="S38:S43" si="11">E38</f>
        <v>3023.3791756854262</v>
      </c>
      <c r="T38" s="301">
        <f t="shared" si="9"/>
        <v>1209.3516702741704</v>
      </c>
      <c r="U38" s="301">
        <f t="shared" si="9"/>
        <v>4582.2791756854258</v>
      </c>
      <c r="V38" s="301">
        <f t="shared" si="9"/>
        <v>1832.9116702741703</v>
      </c>
      <c r="W38" s="301">
        <f t="shared" si="9"/>
        <v>1558.8999999999999</v>
      </c>
      <c r="X38" s="301">
        <f t="shared" si="9"/>
        <v>623.55999999999995</v>
      </c>
      <c r="Y38" s="321">
        <f t="shared" si="9"/>
        <v>2.1749999999999998</v>
      </c>
      <c r="Z38" s="329">
        <f t="shared" si="9"/>
        <v>33.078533333333333</v>
      </c>
    </row>
    <row r="39" spans="2:52" x14ac:dyDescent="0.25">
      <c r="B39" s="320" t="s">
        <v>273</v>
      </c>
      <c r="C39" s="300" t="s">
        <v>274</v>
      </c>
      <c r="D39" s="627">
        <v>0.23749999999999999</v>
      </c>
      <c r="E39" s="301">
        <f>'Livestock GM'!F$50</f>
        <v>1117.4151519999998</v>
      </c>
      <c r="F39" s="301">
        <f>'Livestock GM'!F$49</f>
        <v>798.15367999999989</v>
      </c>
      <c r="G39" s="301">
        <f>'Livestock GM'!F$38</f>
        <v>1738.5899999999997</v>
      </c>
      <c r="H39" s="301">
        <f>'Livestock GM'!F$37</f>
        <v>1241.8499999999999</v>
      </c>
      <c r="I39" s="301">
        <f>'Livestock GM'!F$47</f>
        <v>621.174848</v>
      </c>
      <c r="J39" s="301">
        <f>'Livestock GM'!F$46</f>
        <v>443.69632000000001</v>
      </c>
      <c r="K39" s="321">
        <f>'Livestock GM'!F$10*'Livestock GM'!F$11</f>
        <v>0.83533333333333326</v>
      </c>
      <c r="L39" s="303">
        <f>'Livestock GM'!F$9</f>
        <v>15.673926400000001</v>
      </c>
      <c r="M39" s="93" t="s">
        <v>275</v>
      </c>
      <c r="P39" s="320" t="s">
        <v>273</v>
      </c>
      <c r="Q39" s="300" t="str">
        <f t="shared" si="10"/>
        <v>Dairy replacements – Holstein</v>
      </c>
      <c r="R39" s="627">
        <v>0</v>
      </c>
      <c r="S39" s="301">
        <f t="shared" si="11"/>
        <v>1117.4151519999998</v>
      </c>
      <c r="T39" s="301">
        <f t="shared" si="9"/>
        <v>798.15367999999989</v>
      </c>
      <c r="U39" s="301">
        <f t="shared" si="9"/>
        <v>1738.5899999999997</v>
      </c>
      <c r="V39" s="301">
        <f t="shared" si="9"/>
        <v>1241.8499999999999</v>
      </c>
      <c r="W39" s="301">
        <f t="shared" si="9"/>
        <v>621.174848</v>
      </c>
      <c r="X39" s="301">
        <f t="shared" si="9"/>
        <v>443.69632000000001</v>
      </c>
      <c r="Y39" s="321">
        <f t="shared" si="9"/>
        <v>0.83533333333333326</v>
      </c>
      <c r="Z39" s="329">
        <f t="shared" si="9"/>
        <v>15.673926400000001</v>
      </c>
    </row>
    <row r="40" spans="2:52" x14ac:dyDescent="0.25">
      <c r="B40" s="320" t="s">
        <v>232</v>
      </c>
      <c r="C40" s="300" t="s">
        <v>233</v>
      </c>
      <c r="D40" s="624">
        <v>0.05</v>
      </c>
      <c r="E40" s="301">
        <f>'Livestock GM'!P$50</f>
        <v>687.31499999999994</v>
      </c>
      <c r="F40" s="301">
        <f>'Livestock GM'!P$49</f>
        <v>229.10499999999999</v>
      </c>
      <c r="G40" s="301">
        <f>'Livestock GM'!P$38</f>
        <v>1002.765</v>
      </c>
      <c r="H40" s="301">
        <f>'Livestock GM'!P$37</f>
        <v>334.255</v>
      </c>
      <c r="I40" s="301">
        <f>'Livestock GM'!P$47</f>
        <v>315.45000000000005</v>
      </c>
      <c r="J40" s="301">
        <f>'Livestock GM'!P$46</f>
        <v>105.15</v>
      </c>
      <c r="K40" s="321">
        <f>'Livestock GM'!P$10*'Livestock GM'!P$11</f>
        <v>1.9500000000000002</v>
      </c>
      <c r="L40" s="303">
        <f>'Livestock GM'!P$9</f>
        <v>32.343000000000004</v>
      </c>
      <c r="M40" s="1"/>
      <c r="P40" s="320" t="s">
        <v>232</v>
      </c>
      <c r="Q40" s="300" t="str">
        <f t="shared" si="10"/>
        <v>18 to 20 month beef from dairy bred calves</v>
      </c>
      <c r="R40" s="624">
        <v>0</v>
      </c>
      <c r="S40" s="301">
        <f t="shared" si="11"/>
        <v>687.31499999999994</v>
      </c>
      <c r="T40" s="301">
        <f t="shared" si="9"/>
        <v>229.10499999999999</v>
      </c>
      <c r="U40" s="301">
        <f t="shared" si="9"/>
        <v>1002.765</v>
      </c>
      <c r="V40" s="301">
        <f t="shared" si="9"/>
        <v>334.255</v>
      </c>
      <c r="W40" s="301">
        <f t="shared" si="9"/>
        <v>315.45000000000005</v>
      </c>
      <c r="X40" s="301">
        <f t="shared" si="9"/>
        <v>105.15</v>
      </c>
      <c r="Y40" s="321">
        <f t="shared" si="9"/>
        <v>1.9500000000000002</v>
      </c>
      <c r="Z40" s="329">
        <f t="shared" si="9"/>
        <v>32.343000000000004</v>
      </c>
    </row>
    <row r="41" spans="2:52" x14ac:dyDescent="0.25">
      <c r="B41" s="320" t="s">
        <v>276</v>
      </c>
      <c r="C41" s="300" t="s">
        <v>277</v>
      </c>
      <c r="D41" s="624">
        <v>0</v>
      </c>
      <c r="E41" s="301" t="e">
        <f>'Livestock GM - price var'!CZ$50</f>
        <v>#DIV/0!</v>
      </c>
      <c r="F41" s="301" t="e">
        <f>'Livestock GM - price var'!CZ$49</f>
        <v>#DIV/0!</v>
      </c>
      <c r="G41" s="301">
        <f>'Livestock GM - price var'!CZ$38</f>
        <v>2197.2399999999998</v>
      </c>
      <c r="H41" s="301">
        <f>'Livestock GM - price var'!CZ$37</f>
        <v>2197.2399999999998</v>
      </c>
      <c r="I41" s="301" t="e">
        <f>'Livestock GM - price var'!CZ$47</f>
        <v>#DIV/0!</v>
      </c>
      <c r="J41" s="301" t="e">
        <f>'Livestock GM - price var'!CZ$46</f>
        <v>#DIV/0!</v>
      </c>
      <c r="K41" s="321">
        <f>'Livestock GM - price var'!CZ$10*'Livestock GM - price var'!CZ$11</f>
        <v>1</v>
      </c>
      <c r="L41" s="303" t="e">
        <f>'Livestock GM - price var'!CZ$9</f>
        <v>#DIV/0!</v>
      </c>
      <c r="M41" s="1"/>
      <c r="P41" s="320" t="str">
        <f>B41</f>
        <v>CZ</v>
      </c>
      <c r="Q41" s="300" t="str">
        <f t="shared" si="10"/>
        <v>Agroecological dairy cows</v>
      </c>
      <c r="R41" s="624">
        <v>0.65</v>
      </c>
      <c r="S41" s="301" t="e">
        <f t="shared" si="11"/>
        <v>#DIV/0!</v>
      </c>
      <c r="T41" s="301" t="e">
        <f t="shared" si="9"/>
        <v>#DIV/0!</v>
      </c>
      <c r="U41" s="301">
        <f t="shared" si="9"/>
        <v>2197.2399999999998</v>
      </c>
      <c r="V41" s="301">
        <f t="shared" si="9"/>
        <v>2197.2399999999998</v>
      </c>
      <c r="W41" s="301" t="e">
        <f t="shared" si="9"/>
        <v>#DIV/0!</v>
      </c>
      <c r="X41" s="301" t="e">
        <f t="shared" si="9"/>
        <v>#DIV/0!</v>
      </c>
      <c r="Y41" s="321">
        <f t="shared" si="9"/>
        <v>1</v>
      </c>
      <c r="Z41" s="329" t="e">
        <f t="shared" si="9"/>
        <v>#DIV/0!</v>
      </c>
    </row>
    <row r="42" spans="2:52" x14ac:dyDescent="0.25">
      <c r="B42" s="320" t="s">
        <v>278</v>
      </c>
      <c r="C42" s="300" t="s">
        <v>279</v>
      </c>
      <c r="D42" s="624">
        <v>0</v>
      </c>
      <c r="E42" s="301" t="e">
        <f>'Livestock GM - price var'!DC$50</f>
        <v>#DIV/0!</v>
      </c>
      <c r="F42" s="301" t="e">
        <f>'Livestock GM - price var'!DC$49</f>
        <v>#DIV/0!</v>
      </c>
      <c r="G42" s="301">
        <f>'Livestock GM - price var'!DC$38</f>
        <v>2935.7999999999997</v>
      </c>
      <c r="H42" s="301">
        <f>'Livestock GM - price var'!DC$37</f>
        <v>2097</v>
      </c>
      <c r="I42" s="301" t="e">
        <f>'Livestock GM - price var'!DC$47</f>
        <v>#DIV/0!</v>
      </c>
      <c r="J42" s="301" t="e">
        <f>'Livestock GM - price var'!DC$46</f>
        <v>#DIV/0!</v>
      </c>
      <c r="K42" s="321">
        <f>'Livestock GM - price var'!DC$10*'Livestock GM - price var'!DC$11</f>
        <v>0.83533333333333326</v>
      </c>
      <c r="L42" s="303" t="e">
        <f>'Livestock GM - price var'!DC$9</f>
        <v>#DIV/0!</v>
      </c>
      <c r="M42" s="1"/>
      <c r="P42" s="320" t="str">
        <f t="shared" ref="P42:P43" si="12">B42</f>
        <v>DC</v>
      </c>
      <c r="Q42" s="300" t="str">
        <f t="shared" si="10"/>
        <v>Agroecological dairy replacements</v>
      </c>
      <c r="R42" s="624">
        <v>0.15</v>
      </c>
      <c r="S42" s="301" t="e">
        <f t="shared" si="11"/>
        <v>#DIV/0!</v>
      </c>
      <c r="T42" s="301" t="e">
        <f t="shared" si="9"/>
        <v>#DIV/0!</v>
      </c>
      <c r="U42" s="301">
        <f t="shared" si="9"/>
        <v>2935.7999999999997</v>
      </c>
      <c r="V42" s="301">
        <f t="shared" si="9"/>
        <v>2097</v>
      </c>
      <c r="W42" s="301" t="e">
        <f t="shared" si="9"/>
        <v>#DIV/0!</v>
      </c>
      <c r="X42" s="301" t="e">
        <f t="shared" si="9"/>
        <v>#DIV/0!</v>
      </c>
      <c r="Y42" s="321">
        <f t="shared" si="9"/>
        <v>0.83533333333333326</v>
      </c>
      <c r="Z42" s="329" t="e">
        <f t="shared" si="9"/>
        <v>#DIV/0!</v>
      </c>
    </row>
    <row r="43" spans="2:52" x14ac:dyDescent="0.25">
      <c r="B43" s="320" t="s">
        <v>236</v>
      </c>
      <c r="C43" s="300" t="s">
        <v>237</v>
      </c>
      <c r="D43" s="624">
        <v>0</v>
      </c>
      <c r="E43" s="301">
        <f>E12</f>
        <v>1360.3459368421054</v>
      </c>
      <c r="F43" s="301">
        <f t="shared" ref="F43:L43" si="13">F12</f>
        <v>1062.7702631578948</v>
      </c>
      <c r="G43" s="301">
        <f t="shared" si="13"/>
        <v>1721.4911999999999</v>
      </c>
      <c r="H43" s="301">
        <f t="shared" si="13"/>
        <v>1344.915</v>
      </c>
      <c r="I43" s="301">
        <f t="shared" si="13"/>
        <v>361.14526315789476</v>
      </c>
      <c r="J43" s="301">
        <f t="shared" si="13"/>
        <v>282.14473684210526</v>
      </c>
      <c r="K43" s="321">
        <f t="shared" si="13"/>
        <v>0.96</v>
      </c>
      <c r="L43" s="329">
        <f t="shared" si="13"/>
        <v>27.502894736842105</v>
      </c>
      <c r="M43" s="1"/>
      <c r="P43" s="320" t="str">
        <f t="shared" si="12"/>
        <v>DL</v>
      </c>
      <c r="Q43" s="300" t="str">
        <f t="shared" si="10"/>
        <v>Agroecological beef finishers</v>
      </c>
      <c r="R43" s="624">
        <v>0.2</v>
      </c>
      <c r="S43" s="301">
        <f t="shared" si="11"/>
        <v>1360.3459368421054</v>
      </c>
      <c r="T43" s="301">
        <f t="shared" si="9"/>
        <v>1062.7702631578948</v>
      </c>
      <c r="U43" s="301">
        <f t="shared" si="9"/>
        <v>1721.4911999999999</v>
      </c>
      <c r="V43" s="301">
        <f t="shared" si="9"/>
        <v>1344.915</v>
      </c>
      <c r="W43" s="301">
        <f t="shared" si="9"/>
        <v>361.14526315789476</v>
      </c>
      <c r="X43" s="301">
        <f t="shared" si="9"/>
        <v>282.14473684210526</v>
      </c>
      <c r="Y43" s="321">
        <f t="shared" si="9"/>
        <v>0.96</v>
      </c>
      <c r="Z43" s="329">
        <f t="shared" si="9"/>
        <v>27.502894736842105</v>
      </c>
    </row>
    <row r="44" spans="2:52" ht="11" thickBot="1" x14ac:dyDescent="0.3">
      <c r="B44" s="320"/>
      <c r="C44" s="300"/>
      <c r="D44" s="72"/>
      <c r="E44" s="301"/>
      <c r="F44" s="301"/>
      <c r="G44" s="301"/>
      <c r="H44" s="301"/>
      <c r="I44" s="301"/>
      <c r="J44" s="301"/>
      <c r="K44" s="321"/>
      <c r="L44" s="303"/>
      <c r="M44" s="1"/>
      <c r="P44" s="334"/>
      <c r="Q44" s="331"/>
      <c r="R44" s="335"/>
      <c r="S44" s="336"/>
      <c r="T44" s="336"/>
      <c r="U44" s="336"/>
      <c r="V44" s="336"/>
      <c r="W44" s="336"/>
      <c r="X44" s="336"/>
      <c r="Y44" s="336"/>
      <c r="Z44" s="337"/>
      <c r="AB44" s="347" t="s">
        <v>280</v>
      </c>
    </row>
    <row r="45" spans="2:52" ht="11" thickBot="1" x14ac:dyDescent="0.3">
      <c r="B45" s="328"/>
      <c r="C45" s="307" t="s">
        <v>246</v>
      </c>
      <c r="D45" s="308">
        <f>SUM(D37:D44)</f>
        <v>1</v>
      </c>
      <c r="E45" s="309" t="e">
        <f>SUMPRODUCT($D$37:$D$44,E37:E44)</f>
        <v>#DIV/0!</v>
      </c>
      <c r="F45" s="309"/>
      <c r="G45" s="309">
        <f t="shared" ref="G45:L45" si="14">SUMPRODUCT($D$37:$D$44,G37:G44)</f>
        <v>3667.0464725175866</v>
      </c>
      <c r="H45" s="309"/>
      <c r="I45" s="309" t="e">
        <f t="shared" si="14"/>
        <v>#DIV/0!</v>
      </c>
      <c r="J45" s="309"/>
      <c r="K45" s="309">
        <f t="shared" si="14"/>
        <v>1.7974854166666663</v>
      </c>
      <c r="L45" s="310" t="e">
        <f t="shared" si="14"/>
        <v>#DIV/0!</v>
      </c>
      <c r="M45" s="1"/>
      <c r="P45" s="328"/>
      <c r="Q45" s="307" t="s">
        <v>246</v>
      </c>
      <c r="R45" s="308">
        <f>SUM(R37:R44)</f>
        <v>1</v>
      </c>
      <c r="S45" s="338" t="e">
        <f>SUMPRODUCT($R$37:$R$43,S37:S43)</f>
        <v>#DIV/0!</v>
      </c>
      <c r="T45" s="338"/>
      <c r="U45" s="338">
        <f t="shared" ref="U45:Z45" si="15">SUMPRODUCT($R$37:$R$43,U37:U43)</f>
        <v>2212.8742399999996</v>
      </c>
      <c r="V45" s="338"/>
      <c r="W45" s="338" t="e">
        <f t="shared" si="15"/>
        <v>#DIV/0!</v>
      </c>
      <c r="X45" s="338"/>
      <c r="Y45" s="309">
        <f t="shared" si="15"/>
        <v>0.96730000000000005</v>
      </c>
      <c r="Z45" s="310" t="e">
        <f t="shared" si="15"/>
        <v>#DIV/0!</v>
      </c>
      <c r="AB45" s="347" t="s">
        <v>281</v>
      </c>
    </row>
    <row r="46" spans="2:52" s="235" customFormat="1" x14ac:dyDescent="0.25">
      <c r="B46" s="343"/>
      <c r="C46" s="340"/>
      <c r="D46" s="92"/>
      <c r="E46" s="341"/>
      <c r="F46" s="341"/>
      <c r="G46" s="341"/>
      <c r="H46" s="341"/>
      <c r="I46" s="341"/>
      <c r="J46" s="341"/>
      <c r="K46" s="290"/>
      <c r="L46" s="290"/>
      <c r="M46" s="290"/>
      <c r="AA46" s="345"/>
      <c r="AB46" s="267"/>
      <c r="AC46" s="2"/>
      <c r="AD46" s="2"/>
      <c r="AE46" s="2"/>
      <c r="AF46" s="2"/>
      <c r="AG46" s="2"/>
      <c r="AH46" s="2"/>
      <c r="AI46" s="2"/>
      <c r="AJ46" s="2"/>
      <c r="AK46" s="2"/>
      <c r="AL46" s="2"/>
      <c r="AM46" s="2"/>
      <c r="AN46" s="2"/>
      <c r="AO46" s="2"/>
      <c r="AP46" s="2"/>
      <c r="AQ46" s="2"/>
      <c r="AR46" s="2"/>
      <c r="AS46" s="2"/>
      <c r="AT46" s="2"/>
      <c r="AU46" s="2"/>
      <c r="AV46" s="2"/>
      <c r="AW46" s="2"/>
      <c r="AX46" s="2"/>
      <c r="AY46" s="2"/>
      <c r="AZ46" s="2"/>
    </row>
    <row r="47" spans="2:52" s="235" customFormat="1" x14ac:dyDescent="0.25">
      <c r="B47" s="343"/>
      <c r="C47" s="340"/>
      <c r="D47" s="92"/>
      <c r="E47" s="341"/>
      <c r="F47" s="341"/>
      <c r="G47" s="341"/>
      <c r="H47" s="341"/>
      <c r="I47" s="341"/>
      <c r="J47" s="341"/>
      <c r="K47" s="290"/>
      <c r="L47" s="290"/>
      <c r="M47" s="290"/>
      <c r="AA47" s="345"/>
      <c r="AB47" s="267"/>
      <c r="AC47" s="2"/>
      <c r="AD47" s="2"/>
      <c r="AE47" s="2"/>
      <c r="AF47" s="2"/>
      <c r="AG47" s="2"/>
      <c r="AH47" s="2"/>
      <c r="AI47" s="2"/>
      <c r="AJ47" s="2"/>
      <c r="AK47" s="2"/>
      <c r="AL47" s="2"/>
      <c r="AM47" s="2"/>
      <c r="AN47" s="2"/>
      <c r="AO47" s="2"/>
      <c r="AP47" s="2"/>
      <c r="AQ47" s="2"/>
      <c r="AR47" s="2"/>
      <c r="AS47" s="2"/>
      <c r="AT47" s="2"/>
      <c r="AU47" s="2"/>
      <c r="AV47" s="2"/>
      <c r="AW47" s="2"/>
      <c r="AX47" s="2"/>
      <c r="AY47" s="2"/>
      <c r="AZ47" s="2"/>
    </row>
    <row r="48" spans="2:52" s="235" customFormat="1" x14ac:dyDescent="0.25">
      <c r="AA48" s="345"/>
      <c r="AB48" s="267"/>
      <c r="AC48" s="2"/>
      <c r="AD48" s="2"/>
      <c r="AE48" s="2"/>
      <c r="AF48" s="2"/>
      <c r="AG48" s="2"/>
      <c r="AH48" s="2"/>
      <c r="AI48" s="2"/>
      <c r="AJ48" s="2"/>
      <c r="AK48" s="2"/>
      <c r="AL48" s="2"/>
      <c r="AM48" s="2"/>
      <c r="AN48" s="2"/>
      <c r="AO48" s="2"/>
      <c r="AP48" s="2"/>
      <c r="AQ48" s="2"/>
      <c r="AR48" s="2"/>
      <c r="AS48" s="2"/>
      <c r="AT48" s="2"/>
      <c r="AU48" s="2"/>
      <c r="AV48" s="2"/>
      <c r="AW48" s="2"/>
      <c r="AX48" s="2"/>
      <c r="AY48" s="2"/>
      <c r="AZ48" s="2"/>
    </row>
    <row r="49" spans="2:52" s="235" customFormat="1" x14ac:dyDescent="0.25">
      <c r="B49" s="237"/>
      <c r="C49" s="237"/>
      <c r="AA49" s="345"/>
      <c r="AB49" s="267"/>
      <c r="AC49" s="2"/>
      <c r="AD49" s="2"/>
      <c r="AE49" s="2"/>
      <c r="AF49" s="2"/>
      <c r="AG49" s="2"/>
      <c r="AH49" s="2"/>
      <c r="AI49" s="2"/>
      <c r="AJ49" s="2"/>
      <c r="AK49" s="2"/>
      <c r="AL49" s="2"/>
      <c r="AM49" s="2"/>
      <c r="AN49" s="2"/>
      <c r="AO49" s="2"/>
      <c r="AP49" s="2"/>
      <c r="AQ49" s="2"/>
      <c r="AR49" s="2"/>
      <c r="AS49" s="2"/>
      <c r="AT49" s="2"/>
      <c r="AU49" s="2"/>
      <c r="AV49" s="2"/>
      <c r="AW49" s="2"/>
      <c r="AX49" s="2"/>
      <c r="AY49" s="2"/>
      <c r="AZ49" s="2"/>
    </row>
    <row r="50" spans="2:52" s="235" customFormat="1" x14ac:dyDescent="0.25">
      <c r="AA50" s="345"/>
      <c r="AB50" s="267"/>
      <c r="AC50" s="2"/>
      <c r="AD50" s="2"/>
      <c r="AE50" s="2"/>
      <c r="AF50" s="2"/>
      <c r="AG50" s="2"/>
      <c r="AH50" s="2"/>
      <c r="AI50" s="2"/>
      <c r="AJ50" s="2"/>
      <c r="AK50" s="2"/>
      <c r="AL50" s="2"/>
      <c r="AM50" s="2"/>
      <c r="AN50" s="2"/>
      <c r="AO50" s="2"/>
      <c r="AP50" s="2"/>
      <c r="AQ50" s="2"/>
      <c r="AR50" s="2"/>
      <c r="AS50" s="2"/>
      <c r="AT50" s="2"/>
      <c r="AU50" s="2"/>
      <c r="AV50" s="2"/>
      <c r="AW50" s="2"/>
      <c r="AX50" s="2"/>
      <c r="AY50" s="2"/>
      <c r="AZ50" s="2"/>
    </row>
    <row r="51" spans="2:52" s="235" customFormat="1" x14ac:dyDescent="0.25">
      <c r="D51" s="645"/>
      <c r="AA51" s="345"/>
      <c r="AB51" s="267"/>
      <c r="AC51" s="2"/>
      <c r="AD51" s="2"/>
      <c r="AE51" s="2"/>
      <c r="AF51" s="2"/>
      <c r="AG51" s="2"/>
      <c r="AH51" s="2"/>
      <c r="AI51" s="2"/>
      <c r="AJ51" s="2"/>
      <c r="AK51" s="2"/>
      <c r="AL51" s="2"/>
      <c r="AM51" s="2"/>
      <c r="AN51" s="2"/>
      <c r="AO51" s="2"/>
      <c r="AP51" s="2"/>
      <c r="AQ51" s="2"/>
      <c r="AR51" s="2"/>
      <c r="AS51" s="2"/>
      <c r="AT51" s="2"/>
      <c r="AU51" s="2"/>
      <c r="AV51" s="2"/>
      <c r="AW51" s="2"/>
      <c r="AX51" s="2"/>
      <c r="AY51" s="2"/>
      <c r="AZ51" s="2"/>
    </row>
    <row r="52" spans="2:52" s="235" customFormat="1" x14ac:dyDescent="0.25">
      <c r="AA52" s="345"/>
      <c r="AB52" s="267"/>
      <c r="AC52" s="2"/>
      <c r="AD52" s="2"/>
      <c r="AE52" s="2"/>
      <c r="AF52" s="2"/>
      <c r="AG52" s="2"/>
      <c r="AH52" s="2"/>
      <c r="AI52" s="2"/>
      <c r="AJ52" s="2"/>
      <c r="AK52" s="2"/>
      <c r="AL52" s="2"/>
      <c r="AM52" s="2"/>
      <c r="AN52" s="2"/>
      <c r="AO52" s="2"/>
      <c r="AP52" s="2"/>
      <c r="AQ52" s="2"/>
      <c r="AR52" s="2"/>
      <c r="AS52" s="2"/>
      <c r="AT52" s="2"/>
      <c r="AU52" s="2"/>
      <c r="AV52" s="2"/>
      <c r="AW52" s="2"/>
      <c r="AX52" s="2"/>
      <c r="AY52" s="2"/>
      <c r="AZ52" s="2"/>
    </row>
    <row r="53" spans="2:52" s="235" customFormat="1" x14ac:dyDescent="0.25">
      <c r="D53" s="645"/>
      <c r="AA53" s="345"/>
      <c r="AB53" s="267"/>
      <c r="AC53" s="2"/>
      <c r="AD53" s="2"/>
      <c r="AE53" s="2"/>
      <c r="AF53" s="2"/>
      <c r="AG53" s="2"/>
      <c r="AH53" s="2"/>
      <c r="AI53" s="2"/>
      <c r="AJ53" s="2"/>
      <c r="AK53" s="2"/>
      <c r="AL53" s="2"/>
      <c r="AM53" s="2"/>
      <c r="AN53" s="2"/>
      <c r="AO53" s="2"/>
      <c r="AP53" s="2"/>
      <c r="AQ53" s="2"/>
      <c r="AR53" s="2"/>
      <c r="AS53" s="2"/>
      <c r="AT53" s="2"/>
      <c r="AU53" s="2"/>
      <c r="AV53" s="2"/>
      <c r="AW53" s="2"/>
      <c r="AX53" s="2"/>
      <c r="AY53" s="2"/>
      <c r="AZ53" s="2"/>
    </row>
    <row r="54" spans="2:52" s="235" customFormat="1" x14ac:dyDescent="0.25">
      <c r="D54" s="645"/>
      <c r="AA54" s="345"/>
      <c r="AB54" s="267"/>
      <c r="AC54" s="2"/>
      <c r="AD54" s="2"/>
      <c r="AE54" s="2"/>
      <c r="AF54" s="2"/>
      <c r="AG54" s="2"/>
      <c r="AH54" s="2"/>
      <c r="AI54" s="2"/>
      <c r="AJ54" s="2"/>
      <c r="AK54" s="2"/>
      <c r="AL54" s="2"/>
      <c r="AM54" s="2"/>
      <c r="AN54" s="2"/>
      <c r="AO54" s="2"/>
      <c r="AP54" s="2"/>
      <c r="AQ54" s="2"/>
      <c r="AR54" s="2"/>
      <c r="AS54" s="2"/>
      <c r="AT54" s="2"/>
      <c r="AU54" s="2"/>
      <c r="AV54" s="2"/>
      <c r="AW54" s="2"/>
      <c r="AX54" s="2"/>
      <c r="AY54" s="2"/>
      <c r="AZ54" s="2"/>
    </row>
    <row r="55" spans="2:52" s="235" customFormat="1" x14ac:dyDescent="0.25">
      <c r="D55" s="645"/>
      <c r="AA55" s="345"/>
      <c r="AB55" s="267"/>
      <c r="AC55" s="2"/>
      <c r="AD55" s="2"/>
      <c r="AE55" s="2"/>
      <c r="AF55" s="2"/>
      <c r="AG55" s="2"/>
      <c r="AH55" s="2"/>
      <c r="AI55" s="2"/>
      <c r="AJ55" s="2"/>
      <c r="AK55" s="2"/>
      <c r="AL55" s="2"/>
      <c r="AM55" s="2"/>
      <c r="AN55" s="2"/>
      <c r="AO55" s="2"/>
      <c r="AP55" s="2"/>
      <c r="AQ55" s="2"/>
      <c r="AR55" s="2"/>
      <c r="AS55" s="2"/>
      <c r="AT55" s="2"/>
      <c r="AU55" s="2"/>
      <c r="AV55" s="2"/>
      <c r="AW55" s="2"/>
      <c r="AX55" s="2"/>
      <c r="AY55" s="2"/>
      <c r="AZ55" s="2"/>
    </row>
    <row r="56" spans="2:52" s="235" customFormat="1" x14ac:dyDescent="0.25">
      <c r="AA56" s="345"/>
      <c r="AB56" s="267"/>
      <c r="AC56" s="2"/>
      <c r="AD56" s="2"/>
      <c r="AE56" s="2"/>
      <c r="AF56" s="2"/>
      <c r="AG56" s="2"/>
      <c r="AH56" s="2"/>
      <c r="AI56" s="2"/>
      <c r="AJ56" s="2"/>
      <c r="AK56" s="2"/>
      <c r="AL56" s="2"/>
      <c r="AM56" s="2"/>
      <c r="AN56" s="2"/>
      <c r="AO56" s="2"/>
      <c r="AP56" s="2"/>
      <c r="AQ56" s="2"/>
      <c r="AR56" s="2"/>
      <c r="AS56" s="2"/>
      <c r="AT56" s="2"/>
      <c r="AU56" s="2"/>
      <c r="AV56" s="2"/>
      <c r="AW56" s="2"/>
      <c r="AX56" s="2"/>
      <c r="AY56" s="2"/>
      <c r="AZ56" s="2"/>
    </row>
    <row r="57" spans="2:52" s="235" customFormat="1" x14ac:dyDescent="0.25">
      <c r="AA57" s="345"/>
      <c r="AB57" s="267"/>
      <c r="AC57" s="2"/>
      <c r="AD57" s="2"/>
      <c r="AE57" s="2"/>
      <c r="AF57" s="2"/>
      <c r="AG57" s="2"/>
      <c r="AH57" s="2"/>
      <c r="AI57" s="2"/>
      <c r="AJ57" s="2"/>
      <c r="AK57" s="2"/>
      <c r="AL57" s="2"/>
      <c r="AM57" s="2"/>
      <c r="AN57" s="2"/>
      <c r="AO57" s="2"/>
      <c r="AP57" s="2"/>
      <c r="AQ57" s="2"/>
      <c r="AR57" s="2"/>
      <c r="AS57" s="2"/>
      <c r="AT57" s="2"/>
      <c r="AU57" s="2"/>
      <c r="AV57" s="2"/>
      <c r="AW57" s="2"/>
      <c r="AX57" s="2"/>
      <c r="AY57" s="2"/>
      <c r="AZ57" s="2"/>
    </row>
    <row r="58" spans="2:52" s="235" customFormat="1" x14ac:dyDescent="0.25">
      <c r="AA58" s="345"/>
      <c r="AB58" s="267"/>
      <c r="AC58" s="2"/>
      <c r="AD58" s="2"/>
      <c r="AE58" s="2"/>
      <c r="AF58" s="2"/>
      <c r="AG58" s="2"/>
      <c r="AH58" s="2"/>
      <c r="AI58" s="2"/>
      <c r="AJ58" s="2"/>
      <c r="AK58" s="2"/>
      <c r="AL58" s="2"/>
      <c r="AM58" s="2"/>
      <c r="AN58" s="2"/>
      <c r="AO58" s="2"/>
      <c r="AP58" s="2"/>
      <c r="AQ58" s="2"/>
      <c r="AR58" s="2"/>
      <c r="AS58" s="2"/>
      <c r="AT58" s="2"/>
      <c r="AU58" s="2"/>
      <c r="AV58" s="2"/>
      <c r="AW58" s="2"/>
      <c r="AX58" s="2"/>
      <c r="AY58" s="2"/>
      <c r="AZ58" s="2"/>
    </row>
    <row r="59" spans="2:52" s="235" customFormat="1" x14ac:dyDescent="0.25">
      <c r="AA59" s="345"/>
      <c r="AB59" s="267"/>
      <c r="AC59" s="2"/>
      <c r="AD59" s="2"/>
      <c r="AE59" s="2"/>
      <c r="AF59" s="2"/>
      <c r="AG59" s="2"/>
      <c r="AH59" s="2"/>
      <c r="AI59" s="2"/>
      <c r="AJ59" s="2"/>
      <c r="AK59" s="2"/>
      <c r="AL59" s="2"/>
      <c r="AM59" s="2"/>
      <c r="AN59" s="2"/>
      <c r="AO59" s="2"/>
      <c r="AP59" s="2"/>
      <c r="AQ59" s="2"/>
      <c r="AR59" s="2"/>
      <c r="AS59" s="2"/>
      <c r="AT59" s="2"/>
      <c r="AU59" s="2"/>
      <c r="AV59" s="2"/>
      <c r="AW59" s="2"/>
      <c r="AX59" s="2"/>
      <c r="AY59" s="2"/>
      <c r="AZ59" s="2"/>
    </row>
    <row r="60" spans="2:52" s="235" customFormat="1" x14ac:dyDescent="0.25">
      <c r="AA60" s="345"/>
      <c r="AB60" s="267"/>
      <c r="AC60" s="2"/>
      <c r="AD60" s="2"/>
      <c r="AE60" s="2"/>
      <c r="AF60" s="2"/>
      <c r="AG60" s="2"/>
      <c r="AH60" s="2"/>
      <c r="AI60" s="2"/>
      <c r="AJ60" s="2"/>
      <c r="AK60" s="2"/>
      <c r="AL60" s="2"/>
      <c r="AM60" s="2"/>
      <c r="AN60" s="2"/>
      <c r="AO60" s="2"/>
      <c r="AP60" s="2"/>
      <c r="AQ60" s="2"/>
      <c r="AR60" s="2"/>
      <c r="AS60" s="2"/>
      <c r="AT60" s="2"/>
      <c r="AU60" s="2"/>
      <c r="AV60" s="2"/>
      <c r="AW60" s="2"/>
      <c r="AX60" s="2"/>
      <c r="AY60" s="2"/>
      <c r="AZ60" s="2"/>
    </row>
    <row r="61" spans="2:52" s="235" customFormat="1" x14ac:dyDescent="0.25">
      <c r="AA61" s="345"/>
      <c r="AB61" s="267"/>
      <c r="AC61" s="2"/>
      <c r="AD61" s="2"/>
      <c r="AE61" s="2"/>
      <c r="AF61" s="2"/>
      <c r="AG61" s="2"/>
      <c r="AH61" s="2"/>
      <c r="AI61" s="2"/>
      <c r="AJ61" s="2"/>
      <c r="AK61" s="2"/>
      <c r="AL61" s="2"/>
      <c r="AM61" s="2"/>
      <c r="AN61" s="2"/>
    </row>
    <row r="62" spans="2:52" s="235" customFormat="1" x14ac:dyDescent="0.25">
      <c r="AA62" s="345"/>
      <c r="AB62" s="267"/>
      <c r="AC62" s="2"/>
      <c r="AD62" s="2"/>
      <c r="AE62" s="2"/>
      <c r="AF62" s="2"/>
      <c r="AG62" s="2"/>
      <c r="AH62" s="2"/>
      <c r="AI62" s="2"/>
      <c r="AJ62" s="2"/>
      <c r="AK62" s="2"/>
      <c r="AL62" s="2"/>
      <c r="AM62" s="2"/>
      <c r="AN62" s="2"/>
    </row>
    <row r="63" spans="2:52" s="235" customFormat="1" x14ac:dyDescent="0.25">
      <c r="AA63" s="345"/>
      <c r="AB63" s="267"/>
      <c r="AC63" s="2"/>
      <c r="AD63" s="2"/>
      <c r="AE63" s="2"/>
      <c r="AF63" s="2"/>
      <c r="AG63" s="2"/>
      <c r="AH63" s="2"/>
      <c r="AI63" s="2"/>
      <c r="AJ63" s="2"/>
      <c r="AK63" s="2"/>
      <c r="AL63" s="2"/>
      <c r="AM63" s="2"/>
      <c r="AN63" s="2"/>
    </row>
    <row r="64" spans="2:52" s="235" customFormat="1" x14ac:dyDescent="0.25">
      <c r="AA64" s="345"/>
      <c r="AB64" s="267"/>
      <c r="AC64" s="2"/>
      <c r="AD64" s="2"/>
      <c r="AE64" s="2"/>
      <c r="AF64" s="2"/>
      <c r="AG64" s="2"/>
      <c r="AH64" s="2"/>
      <c r="AI64" s="2"/>
      <c r="AJ64" s="2"/>
      <c r="AK64" s="2"/>
      <c r="AL64" s="2"/>
      <c r="AM64" s="2"/>
      <c r="AN64" s="2"/>
    </row>
    <row r="65" spans="27:40" s="235" customFormat="1" x14ac:dyDescent="0.25">
      <c r="AA65" s="345"/>
      <c r="AB65" s="267"/>
      <c r="AC65" s="2"/>
      <c r="AD65" s="2"/>
      <c r="AE65" s="2"/>
      <c r="AF65" s="2"/>
      <c r="AG65" s="2"/>
      <c r="AH65" s="2"/>
      <c r="AI65" s="2"/>
      <c r="AJ65" s="2"/>
      <c r="AK65" s="2"/>
      <c r="AL65" s="2"/>
      <c r="AM65" s="2"/>
      <c r="AN65" s="2"/>
    </row>
    <row r="66" spans="27:40" s="235" customFormat="1" x14ac:dyDescent="0.25">
      <c r="AA66" s="345"/>
      <c r="AB66" s="267"/>
      <c r="AC66" s="2"/>
      <c r="AD66" s="2"/>
      <c r="AE66" s="2"/>
      <c r="AF66" s="2"/>
      <c r="AG66" s="2"/>
      <c r="AH66" s="2"/>
      <c r="AI66" s="2"/>
      <c r="AJ66" s="2"/>
      <c r="AK66" s="2"/>
      <c r="AL66" s="2"/>
      <c r="AM66" s="2"/>
      <c r="AN66" s="2"/>
    </row>
    <row r="67" spans="27:40" s="235" customFormat="1" x14ac:dyDescent="0.25">
      <c r="AA67" s="345"/>
      <c r="AB67" s="267"/>
      <c r="AC67" s="2"/>
      <c r="AD67" s="2"/>
      <c r="AE67" s="2"/>
      <c r="AF67" s="2"/>
      <c r="AG67" s="2"/>
      <c r="AH67" s="2"/>
      <c r="AI67" s="2"/>
      <c r="AJ67" s="2"/>
      <c r="AK67" s="2"/>
      <c r="AL67" s="2"/>
      <c r="AM67" s="2"/>
      <c r="AN67" s="2"/>
    </row>
    <row r="68" spans="27:40" s="235" customFormat="1" x14ac:dyDescent="0.25">
      <c r="AA68" s="345"/>
      <c r="AB68" s="267"/>
      <c r="AC68" s="2"/>
      <c r="AD68" s="2"/>
      <c r="AE68" s="2"/>
      <c r="AF68" s="2"/>
      <c r="AG68" s="2"/>
      <c r="AH68" s="2"/>
      <c r="AI68" s="2"/>
      <c r="AJ68" s="2"/>
      <c r="AK68" s="2"/>
      <c r="AL68" s="2"/>
      <c r="AM68" s="2"/>
      <c r="AN68" s="2"/>
    </row>
    <row r="69" spans="27:40" s="235" customFormat="1" x14ac:dyDescent="0.25">
      <c r="AA69" s="345"/>
      <c r="AB69" s="267"/>
      <c r="AC69" s="2"/>
      <c r="AD69" s="2"/>
      <c r="AE69" s="2"/>
      <c r="AF69" s="2"/>
      <c r="AG69" s="2"/>
      <c r="AH69" s="2"/>
      <c r="AI69" s="2"/>
      <c r="AJ69" s="2"/>
      <c r="AK69" s="2"/>
      <c r="AL69" s="2"/>
      <c r="AM69" s="2"/>
      <c r="AN69" s="2"/>
    </row>
    <row r="70" spans="27:40" s="235" customFormat="1" x14ac:dyDescent="0.25">
      <c r="AA70" s="345"/>
      <c r="AB70" s="267"/>
      <c r="AC70" s="2"/>
      <c r="AD70" s="2"/>
      <c r="AE70" s="2"/>
      <c r="AF70" s="2"/>
      <c r="AG70" s="2"/>
      <c r="AH70" s="2"/>
      <c r="AI70" s="2"/>
      <c r="AJ70" s="2"/>
      <c r="AK70" s="2"/>
      <c r="AL70" s="2"/>
      <c r="AM70" s="2"/>
      <c r="AN70" s="2"/>
    </row>
    <row r="71" spans="27:40" s="235" customFormat="1" x14ac:dyDescent="0.25">
      <c r="AA71" s="345"/>
      <c r="AB71" s="267"/>
      <c r="AC71" s="2"/>
      <c r="AD71" s="2"/>
      <c r="AE71" s="2"/>
      <c r="AF71" s="2"/>
      <c r="AG71" s="2"/>
      <c r="AH71" s="2"/>
      <c r="AI71" s="2"/>
      <c r="AJ71" s="2"/>
      <c r="AK71" s="2"/>
      <c r="AL71" s="2"/>
      <c r="AM71" s="2"/>
      <c r="AN71" s="2"/>
    </row>
    <row r="72" spans="27:40" s="235" customFormat="1" x14ac:dyDescent="0.25">
      <c r="AA72" s="345"/>
      <c r="AB72" s="267"/>
      <c r="AC72" s="2"/>
      <c r="AD72" s="2"/>
      <c r="AE72" s="2"/>
      <c r="AF72" s="2"/>
      <c r="AG72" s="2"/>
      <c r="AH72" s="2"/>
      <c r="AI72" s="2"/>
      <c r="AJ72" s="2"/>
      <c r="AK72" s="2"/>
      <c r="AL72" s="2"/>
      <c r="AM72" s="2"/>
      <c r="AN72" s="2"/>
    </row>
    <row r="73" spans="27:40" s="235" customFormat="1" x14ac:dyDescent="0.25">
      <c r="AA73" s="345"/>
      <c r="AB73" s="267"/>
      <c r="AC73" s="2"/>
      <c r="AD73" s="2"/>
      <c r="AE73" s="2"/>
      <c r="AF73" s="2"/>
      <c r="AG73" s="2"/>
      <c r="AH73" s="2"/>
      <c r="AI73" s="2"/>
      <c r="AJ73" s="2"/>
      <c r="AK73" s="2"/>
      <c r="AL73" s="2"/>
      <c r="AM73" s="2"/>
      <c r="AN73" s="2"/>
    </row>
    <row r="74" spans="27:40" s="235" customFormat="1" x14ac:dyDescent="0.25">
      <c r="AA74" s="345"/>
      <c r="AB74" s="267"/>
      <c r="AC74" s="2"/>
      <c r="AD74" s="2"/>
      <c r="AE74" s="2"/>
      <c r="AF74" s="2"/>
      <c r="AG74" s="2"/>
      <c r="AH74" s="2"/>
      <c r="AI74" s="2"/>
      <c r="AJ74" s="2"/>
      <c r="AK74" s="2"/>
      <c r="AL74" s="2"/>
      <c r="AM74" s="2"/>
      <c r="AN74" s="2"/>
    </row>
    <row r="75" spans="27:40" s="235" customFormat="1" x14ac:dyDescent="0.25">
      <c r="AA75" s="345"/>
      <c r="AB75" s="267"/>
      <c r="AC75" s="2"/>
      <c r="AD75" s="2"/>
      <c r="AE75" s="2"/>
      <c r="AF75" s="2"/>
      <c r="AG75" s="2"/>
      <c r="AH75" s="2"/>
      <c r="AI75" s="2"/>
      <c r="AJ75" s="2"/>
      <c r="AK75" s="2"/>
      <c r="AL75" s="2"/>
      <c r="AM75" s="2"/>
      <c r="AN75" s="2"/>
    </row>
    <row r="76" spans="27:40" s="235" customFormat="1" x14ac:dyDescent="0.25">
      <c r="AA76" s="345"/>
      <c r="AB76" s="267"/>
      <c r="AC76" s="2"/>
      <c r="AD76" s="2"/>
      <c r="AE76" s="2"/>
      <c r="AF76" s="2"/>
      <c r="AG76" s="2"/>
      <c r="AH76" s="2"/>
      <c r="AI76" s="2"/>
      <c r="AJ76" s="2"/>
      <c r="AK76" s="2"/>
      <c r="AL76" s="2"/>
      <c r="AM76" s="2"/>
      <c r="AN76" s="2"/>
    </row>
    <row r="77" spans="27:40" s="235" customFormat="1" x14ac:dyDescent="0.25">
      <c r="AA77" s="345"/>
      <c r="AB77" s="267"/>
      <c r="AC77" s="2"/>
      <c r="AD77" s="2"/>
      <c r="AE77" s="2"/>
      <c r="AF77" s="2"/>
      <c r="AG77" s="2"/>
      <c r="AH77" s="2"/>
      <c r="AI77" s="2"/>
      <c r="AJ77" s="2"/>
      <c r="AK77" s="2"/>
      <c r="AL77" s="2"/>
      <c r="AM77" s="2"/>
      <c r="AN77" s="2"/>
    </row>
    <row r="78" spans="27:40" s="235" customFormat="1" x14ac:dyDescent="0.25">
      <c r="AA78" s="345"/>
      <c r="AB78" s="267"/>
      <c r="AC78" s="2"/>
      <c r="AD78" s="2"/>
      <c r="AE78" s="2"/>
      <c r="AF78" s="2"/>
      <c r="AG78" s="2"/>
      <c r="AH78" s="2"/>
      <c r="AI78" s="2"/>
      <c r="AJ78" s="2"/>
      <c r="AK78" s="2"/>
      <c r="AL78" s="2"/>
      <c r="AM78" s="2"/>
      <c r="AN78" s="2"/>
    </row>
    <row r="79" spans="27:40" s="235" customFormat="1" x14ac:dyDescent="0.25">
      <c r="AA79" s="345"/>
      <c r="AB79" s="267"/>
      <c r="AC79" s="2"/>
      <c r="AD79" s="2"/>
      <c r="AE79" s="2"/>
      <c r="AF79" s="2"/>
      <c r="AG79" s="2"/>
      <c r="AH79" s="2"/>
      <c r="AI79" s="2"/>
      <c r="AJ79" s="2"/>
      <c r="AK79" s="2"/>
      <c r="AL79" s="2"/>
      <c r="AM79" s="2"/>
      <c r="AN79" s="2"/>
    </row>
    <row r="80" spans="27:40" s="235" customFormat="1" x14ac:dyDescent="0.25">
      <c r="AA80" s="345"/>
      <c r="AB80" s="267"/>
      <c r="AC80" s="2"/>
      <c r="AD80" s="2"/>
      <c r="AE80" s="2"/>
      <c r="AF80" s="2"/>
      <c r="AG80" s="2"/>
      <c r="AH80" s="2"/>
      <c r="AI80" s="2"/>
      <c r="AJ80" s="2"/>
      <c r="AK80" s="2"/>
      <c r="AL80" s="2"/>
      <c r="AM80" s="2"/>
      <c r="AN80" s="2"/>
    </row>
    <row r="81" spans="27:40" s="235" customFormat="1" x14ac:dyDescent="0.25">
      <c r="AA81" s="345"/>
      <c r="AB81" s="267"/>
      <c r="AC81" s="2"/>
      <c r="AD81" s="2"/>
      <c r="AE81" s="2"/>
      <c r="AF81" s="2"/>
      <c r="AG81" s="2"/>
      <c r="AH81" s="2"/>
      <c r="AI81" s="2"/>
      <c r="AJ81" s="2"/>
      <c r="AK81" s="2"/>
      <c r="AL81" s="2"/>
      <c r="AM81" s="2"/>
      <c r="AN81" s="2"/>
    </row>
    <row r="82" spans="27:40" s="235" customFormat="1" x14ac:dyDescent="0.25">
      <c r="AA82" s="345"/>
      <c r="AB82" s="267"/>
      <c r="AC82" s="2"/>
      <c r="AD82" s="2"/>
      <c r="AE82" s="2"/>
      <c r="AF82" s="2"/>
      <c r="AG82" s="2"/>
      <c r="AH82" s="2"/>
      <c r="AI82" s="2"/>
      <c r="AJ82" s="2"/>
      <c r="AK82" s="2"/>
      <c r="AL82" s="2"/>
      <c r="AM82" s="2"/>
      <c r="AN82" s="2"/>
    </row>
    <row r="83" spans="27:40" s="235" customFormat="1" x14ac:dyDescent="0.25">
      <c r="AA83" s="345"/>
      <c r="AB83" s="267"/>
      <c r="AC83" s="2"/>
      <c r="AD83" s="2"/>
      <c r="AE83" s="2"/>
      <c r="AF83" s="2"/>
      <c r="AG83" s="2"/>
      <c r="AH83" s="2"/>
      <c r="AI83" s="2"/>
      <c r="AJ83" s="2"/>
      <c r="AK83" s="2"/>
      <c r="AL83" s="2"/>
      <c r="AM83" s="2"/>
      <c r="AN83" s="2"/>
    </row>
    <row r="84" spans="27:40" s="235" customFormat="1" x14ac:dyDescent="0.25">
      <c r="AA84" s="345"/>
      <c r="AB84" s="267"/>
      <c r="AC84" s="2"/>
      <c r="AD84" s="2"/>
      <c r="AE84" s="2"/>
      <c r="AF84" s="2"/>
      <c r="AG84" s="2"/>
      <c r="AH84" s="2"/>
      <c r="AI84" s="2"/>
      <c r="AJ84" s="2"/>
      <c r="AK84" s="2"/>
      <c r="AL84" s="2"/>
      <c r="AM84" s="2"/>
      <c r="AN84" s="2"/>
    </row>
    <row r="85" spans="27:40" s="235" customFormat="1" x14ac:dyDescent="0.25">
      <c r="AA85" s="345"/>
      <c r="AB85" s="267"/>
      <c r="AC85" s="2"/>
      <c r="AD85" s="2"/>
      <c r="AE85" s="2"/>
      <c r="AF85" s="2"/>
      <c r="AG85" s="2"/>
      <c r="AH85" s="2"/>
      <c r="AI85" s="2"/>
      <c r="AJ85" s="2"/>
      <c r="AK85" s="2"/>
      <c r="AL85" s="2"/>
      <c r="AM85" s="2"/>
      <c r="AN85" s="2"/>
    </row>
    <row r="86" spans="27:40" s="235" customFormat="1" x14ac:dyDescent="0.25">
      <c r="AA86" s="345"/>
      <c r="AB86" s="267"/>
      <c r="AC86" s="2"/>
      <c r="AD86" s="2"/>
      <c r="AE86" s="2"/>
      <c r="AF86" s="2"/>
      <c r="AG86" s="2"/>
      <c r="AH86" s="2"/>
      <c r="AI86" s="2"/>
      <c r="AJ86" s="2"/>
      <c r="AK86" s="2"/>
      <c r="AL86" s="2"/>
      <c r="AM86" s="2"/>
      <c r="AN86" s="2"/>
    </row>
    <row r="87" spans="27:40" s="235" customFormat="1" x14ac:dyDescent="0.25">
      <c r="AA87" s="345"/>
      <c r="AB87" s="267"/>
      <c r="AC87" s="2"/>
      <c r="AD87" s="2"/>
      <c r="AE87" s="2"/>
      <c r="AF87" s="2"/>
      <c r="AG87" s="2"/>
      <c r="AH87" s="2"/>
      <c r="AI87" s="2"/>
      <c r="AJ87" s="2"/>
      <c r="AK87" s="2"/>
      <c r="AL87" s="2"/>
      <c r="AM87" s="2"/>
      <c r="AN87" s="2"/>
    </row>
    <row r="88" spans="27:40" s="235" customFormat="1" x14ac:dyDescent="0.25">
      <c r="AA88" s="345"/>
      <c r="AB88" s="267"/>
      <c r="AC88" s="2"/>
      <c r="AD88" s="2"/>
      <c r="AE88" s="2"/>
      <c r="AF88" s="2"/>
      <c r="AG88" s="2"/>
      <c r="AH88" s="2"/>
      <c r="AI88" s="2"/>
      <c r="AJ88" s="2"/>
      <c r="AK88" s="2"/>
      <c r="AL88" s="2"/>
      <c r="AM88" s="2"/>
      <c r="AN88" s="2"/>
    </row>
    <row r="89" spans="27:40" s="235" customFormat="1" x14ac:dyDescent="0.25">
      <c r="AA89" s="345"/>
      <c r="AB89" s="267"/>
      <c r="AC89" s="2"/>
      <c r="AD89" s="2"/>
      <c r="AE89" s="2"/>
      <c r="AF89" s="2"/>
      <c r="AG89" s="2"/>
      <c r="AH89" s="2"/>
      <c r="AI89" s="2"/>
      <c r="AJ89" s="2"/>
      <c r="AK89" s="2"/>
      <c r="AL89" s="2"/>
      <c r="AM89" s="2"/>
      <c r="AN89" s="2"/>
    </row>
    <row r="90" spans="27:40" s="235" customFormat="1" x14ac:dyDescent="0.25">
      <c r="AA90" s="345"/>
      <c r="AB90" s="267"/>
      <c r="AC90" s="2"/>
      <c r="AD90" s="2"/>
      <c r="AE90" s="2"/>
      <c r="AF90" s="2"/>
      <c r="AG90" s="2"/>
      <c r="AH90" s="2"/>
      <c r="AI90" s="2"/>
      <c r="AJ90" s="2"/>
      <c r="AK90" s="2"/>
      <c r="AL90" s="2"/>
      <c r="AM90" s="2"/>
      <c r="AN90" s="2"/>
    </row>
    <row r="91" spans="27:40" s="235" customFormat="1" x14ac:dyDescent="0.25">
      <c r="AA91" s="345"/>
      <c r="AB91" s="267"/>
      <c r="AC91" s="2"/>
      <c r="AD91" s="2"/>
      <c r="AE91" s="2"/>
      <c r="AF91" s="2"/>
      <c r="AG91" s="2"/>
      <c r="AH91" s="2"/>
      <c r="AI91" s="2"/>
      <c r="AJ91" s="2"/>
      <c r="AK91" s="2"/>
      <c r="AL91" s="2"/>
      <c r="AM91" s="2"/>
      <c r="AN91" s="2"/>
    </row>
    <row r="92" spans="27:40" s="235" customFormat="1" x14ac:dyDescent="0.25">
      <c r="AA92" s="345"/>
      <c r="AB92" s="267"/>
      <c r="AC92" s="2"/>
      <c r="AD92" s="2"/>
      <c r="AE92" s="2"/>
      <c r="AF92" s="2"/>
      <c r="AG92" s="2"/>
      <c r="AH92" s="2"/>
      <c r="AI92" s="2"/>
      <c r="AJ92" s="2"/>
      <c r="AK92" s="2"/>
      <c r="AL92" s="2"/>
      <c r="AM92" s="2"/>
      <c r="AN92" s="2"/>
    </row>
    <row r="93" spans="27:40" s="235" customFormat="1" x14ac:dyDescent="0.25">
      <c r="AA93" s="345"/>
      <c r="AB93" s="267"/>
      <c r="AC93" s="2"/>
      <c r="AD93" s="2"/>
      <c r="AE93" s="2"/>
      <c r="AF93" s="2"/>
      <c r="AG93" s="2"/>
      <c r="AH93" s="2"/>
      <c r="AI93" s="2"/>
      <c r="AJ93" s="2"/>
      <c r="AK93" s="2"/>
      <c r="AL93" s="2"/>
      <c r="AM93" s="2"/>
      <c r="AN93" s="2"/>
    </row>
    <row r="94" spans="27:40" s="235" customFormat="1" x14ac:dyDescent="0.25">
      <c r="AA94" s="345"/>
      <c r="AB94" s="267"/>
      <c r="AC94" s="2"/>
      <c r="AD94" s="2"/>
      <c r="AE94" s="2"/>
      <c r="AF94" s="2"/>
      <c r="AG94" s="2"/>
      <c r="AH94" s="2"/>
      <c r="AI94" s="2"/>
      <c r="AJ94" s="2"/>
      <c r="AK94" s="2"/>
      <c r="AL94" s="2"/>
      <c r="AM94" s="2"/>
      <c r="AN94" s="2"/>
    </row>
    <row r="95" spans="27:40" s="235" customFormat="1" x14ac:dyDescent="0.25">
      <c r="AA95" s="345"/>
      <c r="AB95" s="267"/>
      <c r="AC95" s="2"/>
      <c r="AD95" s="2"/>
      <c r="AE95" s="2"/>
      <c r="AF95" s="2"/>
      <c r="AG95" s="2"/>
      <c r="AH95" s="2"/>
      <c r="AI95" s="2"/>
      <c r="AJ95" s="2"/>
      <c r="AK95" s="2"/>
      <c r="AL95" s="2"/>
      <c r="AM95" s="2"/>
      <c r="AN95" s="2"/>
    </row>
    <row r="96" spans="27:40" s="235" customFormat="1" x14ac:dyDescent="0.25">
      <c r="AA96" s="345"/>
      <c r="AB96" s="267"/>
      <c r="AC96" s="2"/>
      <c r="AD96" s="2"/>
      <c r="AE96" s="2"/>
      <c r="AF96" s="2"/>
      <c r="AG96" s="2"/>
      <c r="AH96" s="2"/>
      <c r="AI96" s="2"/>
      <c r="AJ96" s="2"/>
      <c r="AK96" s="2"/>
      <c r="AL96" s="2"/>
      <c r="AM96" s="2"/>
      <c r="AN96" s="2"/>
    </row>
    <row r="97" spans="27:40" s="235" customFormat="1" x14ac:dyDescent="0.25">
      <c r="AA97" s="345"/>
      <c r="AB97" s="267"/>
      <c r="AC97" s="2"/>
      <c r="AD97" s="2"/>
      <c r="AE97" s="2"/>
      <c r="AF97" s="2"/>
      <c r="AG97" s="2"/>
      <c r="AH97" s="2"/>
      <c r="AI97" s="2"/>
      <c r="AJ97" s="2"/>
      <c r="AK97" s="2"/>
      <c r="AL97" s="2"/>
      <c r="AM97" s="2"/>
      <c r="AN97" s="2"/>
    </row>
    <row r="98" spans="27:40" s="235" customFormat="1" x14ac:dyDescent="0.25">
      <c r="AA98" s="345"/>
      <c r="AB98" s="267"/>
      <c r="AC98" s="2"/>
      <c r="AD98" s="2"/>
      <c r="AE98" s="2"/>
      <c r="AF98" s="2"/>
      <c r="AG98" s="2"/>
      <c r="AH98" s="2"/>
      <c r="AI98" s="2"/>
      <c r="AJ98" s="2"/>
      <c r="AK98" s="2"/>
      <c r="AL98" s="2"/>
      <c r="AM98" s="2"/>
      <c r="AN98" s="2"/>
    </row>
    <row r="99" spans="27:40" s="235" customFormat="1" x14ac:dyDescent="0.25">
      <c r="AA99" s="345"/>
      <c r="AB99" s="267"/>
      <c r="AC99" s="2"/>
      <c r="AD99" s="2"/>
      <c r="AE99" s="2"/>
      <c r="AF99" s="2"/>
      <c r="AG99" s="2"/>
      <c r="AH99" s="2"/>
      <c r="AI99" s="2"/>
      <c r="AJ99" s="2"/>
      <c r="AK99" s="2"/>
      <c r="AL99" s="2"/>
      <c r="AM99" s="2"/>
      <c r="AN99" s="2"/>
    </row>
    <row r="100" spans="27:40" s="235" customFormat="1" x14ac:dyDescent="0.25">
      <c r="AA100" s="345"/>
      <c r="AB100" s="267"/>
      <c r="AC100" s="2"/>
      <c r="AD100" s="2"/>
      <c r="AE100" s="2"/>
      <c r="AF100" s="2"/>
      <c r="AG100" s="2"/>
      <c r="AH100" s="2"/>
      <c r="AI100" s="2"/>
      <c r="AJ100" s="2"/>
      <c r="AK100" s="2"/>
      <c r="AL100" s="2"/>
      <c r="AM100" s="2"/>
      <c r="AN100" s="2"/>
    </row>
    <row r="101" spans="27:40" s="235" customFormat="1" x14ac:dyDescent="0.25">
      <c r="AA101" s="345"/>
      <c r="AB101" s="267"/>
      <c r="AC101" s="2"/>
      <c r="AD101" s="2"/>
      <c r="AE101" s="2"/>
      <c r="AF101" s="2"/>
      <c r="AG101" s="2"/>
      <c r="AH101" s="2"/>
      <c r="AI101" s="2"/>
      <c r="AJ101" s="2"/>
      <c r="AK101" s="2"/>
      <c r="AL101" s="2"/>
      <c r="AM101" s="2"/>
      <c r="AN101" s="2"/>
    </row>
    <row r="102" spans="27:40" s="235" customFormat="1" x14ac:dyDescent="0.25">
      <c r="AA102" s="345"/>
      <c r="AB102" s="267"/>
      <c r="AC102" s="2"/>
      <c r="AD102" s="2"/>
      <c r="AE102" s="2"/>
      <c r="AF102" s="2"/>
      <c r="AG102" s="2"/>
      <c r="AH102" s="2"/>
      <c r="AI102" s="2"/>
      <c r="AJ102" s="2"/>
      <c r="AK102" s="2"/>
      <c r="AL102" s="2"/>
      <c r="AM102" s="2"/>
      <c r="AN102" s="2"/>
    </row>
    <row r="103" spans="27:40" s="235" customFormat="1" x14ac:dyDescent="0.25">
      <c r="AA103" s="345"/>
      <c r="AB103" s="267"/>
      <c r="AC103" s="2"/>
      <c r="AD103" s="2"/>
      <c r="AE103" s="2"/>
      <c r="AF103" s="2"/>
      <c r="AG103" s="2"/>
      <c r="AH103" s="2"/>
      <c r="AI103" s="2"/>
      <c r="AJ103" s="2"/>
      <c r="AK103" s="2"/>
      <c r="AL103" s="2"/>
      <c r="AM103" s="2"/>
      <c r="AN103" s="2"/>
    </row>
    <row r="104" spans="27:40" s="235" customFormat="1" x14ac:dyDescent="0.25">
      <c r="AA104" s="345"/>
      <c r="AB104" s="267"/>
      <c r="AC104" s="2"/>
      <c r="AD104" s="2"/>
      <c r="AE104" s="2"/>
      <c r="AF104" s="2"/>
      <c r="AG104" s="2"/>
      <c r="AH104" s="2"/>
      <c r="AI104" s="2"/>
      <c r="AJ104" s="2"/>
      <c r="AK104" s="2"/>
      <c r="AL104" s="2"/>
      <c r="AM104" s="2"/>
      <c r="AN104" s="2"/>
    </row>
    <row r="105" spans="27:40" s="235" customFormat="1" x14ac:dyDescent="0.25">
      <c r="AA105" s="345"/>
      <c r="AB105" s="267"/>
      <c r="AC105" s="2"/>
      <c r="AD105" s="2"/>
      <c r="AE105" s="2"/>
      <c r="AF105" s="2"/>
      <c r="AG105" s="2"/>
      <c r="AH105" s="2"/>
      <c r="AI105" s="2"/>
      <c r="AJ105" s="2"/>
      <c r="AK105" s="2"/>
      <c r="AL105" s="2"/>
      <c r="AM105" s="2"/>
      <c r="AN105" s="2"/>
    </row>
    <row r="106" spans="27:40" s="235" customFormat="1" x14ac:dyDescent="0.25">
      <c r="AA106" s="345"/>
      <c r="AB106" s="267"/>
      <c r="AC106" s="2"/>
      <c r="AD106" s="2"/>
      <c r="AE106" s="2"/>
      <c r="AF106" s="2"/>
      <c r="AG106" s="2"/>
      <c r="AH106" s="2"/>
      <c r="AI106" s="2"/>
      <c r="AJ106" s="2"/>
      <c r="AK106" s="2"/>
      <c r="AL106" s="2"/>
      <c r="AM106" s="2"/>
      <c r="AN106" s="2"/>
    </row>
    <row r="107" spans="27:40" s="235" customFormat="1" x14ac:dyDescent="0.25">
      <c r="AA107" s="345"/>
      <c r="AB107" s="267"/>
      <c r="AC107" s="2"/>
      <c r="AD107" s="2"/>
      <c r="AE107" s="2"/>
      <c r="AF107" s="2"/>
      <c r="AG107" s="2"/>
      <c r="AH107" s="2"/>
      <c r="AI107" s="2"/>
      <c r="AJ107" s="2"/>
      <c r="AK107" s="2"/>
      <c r="AL107" s="2"/>
      <c r="AM107" s="2"/>
      <c r="AN107" s="2"/>
    </row>
    <row r="108" spans="27:40" s="235" customFormat="1" x14ac:dyDescent="0.25">
      <c r="AA108" s="345"/>
      <c r="AB108" s="267"/>
      <c r="AC108" s="2"/>
      <c r="AD108" s="2"/>
      <c r="AE108" s="2"/>
      <c r="AF108" s="2"/>
      <c r="AG108" s="2"/>
      <c r="AH108" s="2"/>
      <c r="AI108" s="2"/>
      <c r="AJ108" s="2"/>
      <c r="AK108" s="2"/>
      <c r="AL108" s="2"/>
      <c r="AM108" s="2"/>
      <c r="AN108" s="2"/>
    </row>
    <row r="109" spans="27:40" s="235" customFormat="1" x14ac:dyDescent="0.25">
      <c r="AA109" s="345"/>
      <c r="AB109" s="267"/>
      <c r="AC109" s="2"/>
      <c r="AD109" s="2"/>
      <c r="AE109" s="2"/>
      <c r="AF109" s="2"/>
      <c r="AG109" s="2"/>
      <c r="AH109" s="2"/>
      <c r="AI109" s="2"/>
      <c r="AJ109" s="2"/>
      <c r="AK109" s="2"/>
      <c r="AL109" s="2"/>
      <c r="AM109" s="2"/>
      <c r="AN109" s="2"/>
    </row>
    <row r="110" spans="27:40" s="235" customFormat="1" x14ac:dyDescent="0.25">
      <c r="AA110" s="345"/>
      <c r="AB110" s="267"/>
      <c r="AC110" s="2"/>
      <c r="AD110" s="2"/>
      <c r="AE110" s="2"/>
      <c r="AF110" s="2"/>
      <c r="AG110" s="2"/>
      <c r="AH110" s="2"/>
      <c r="AI110" s="2"/>
      <c r="AJ110" s="2"/>
      <c r="AK110" s="2"/>
      <c r="AL110" s="2"/>
      <c r="AM110" s="2"/>
      <c r="AN110" s="2"/>
    </row>
    <row r="111" spans="27:40" s="235" customFormat="1" x14ac:dyDescent="0.25">
      <c r="AA111" s="345"/>
      <c r="AB111" s="267"/>
      <c r="AC111" s="2"/>
      <c r="AD111" s="2"/>
      <c r="AE111" s="2"/>
      <c r="AF111" s="2"/>
      <c r="AG111" s="2"/>
      <c r="AH111" s="2"/>
      <c r="AI111" s="2"/>
      <c r="AJ111" s="2"/>
      <c r="AK111" s="2"/>
      <c r="AL111" s="2"/>
      <c r="AM111" s="2"/>
      <c r="AN111" s="2"/>
    </row>
    <row r="112" spans="27:40" s="235" customFormat="1" x14ac:dyDescent="0.25">
      <c r="AA112" s="345"/>
      <c r="AB112" s="267"/>
      <c r="AC112" s="2"/>
      <c r="AD112" s="2"/>
      <c r="AE112" s="2"/>
      <c r="AF112" s="2"/>
      <c r="AG112" s="2"/>
      <c r="AH112" s="2"/>
      <c r="AI112" s="2"/>
      <c r="AJ112" s="2"/>
      <c r="AK112" s="2"/>
      <c r="AL112" s="2"/>
      <c r="AM112" s="2"/>
      <c r="AN112" s="2"/>
    </row>
    <row r="113" spans="27:40" s="235" customFormat="1" x14ac:dyDescent="0.25">
      <c r="AA113" s="345"/>
      <c r="AB113" s="267"/>
      <c r="AC113" s="2"/>
      <c r="AD113" s="2"/>
      <c r="AE113" s="2"/>
      <c r="AF113" s="2"/>
      <c r="AG113" s="2"/>
      <c r="AH113" s="2"/>
      <c r="AI113" s="2"/>
      <c r="AJ113" s="2"/>
      <c r="AK113" s="2"/>
      <c r="AL113" s="2"/>
      <c r="AM113" s="2"/>
      <c r="AN113" s="2"/>
    </row>
    <row r="114" spans="27:40" s="235" customFormat="1" x14ac:dyDescent="0.25">
      <c r="AA114" s="345"/>
      <c r="AB114" s="267"/>
      <c r="AC114" s="2"/>
      <c r="AD114" s="2"/>
      <c r="AE114" s="2"/>
      <c r="AF114" s="2"/>
      <c r="AG114" s="2"/>
      <c r="AH114" s="2"/>
      <c r="AI114" s="2"/>
      <c r="AJ114" s="2"/>
      <c r="AK114" s="2"/>
      <c r="AL114" s="2"/>
      <c r="AM114" s="2"/>
      <c r="AN114" s="2"/>
    </row>
    <row r="115" spans="27:40" s="235" customFormat="1" x14ac:dyDescent="0.25">
      <c r="AA115" s="345"/>
      <c r="AB115" s="267"/>
      <c r="AC115" s="2"/>
      <c r="AD115" s="2"/>
      <c r="AE115" s="2"/>
      <c r="AF115" s="2"/>
      <c r="AG115" s="2"/>
      <c r="AH115" s="2"/>
      <c r="AI115" s="2"/>
      <c r="AJ115" s="2"/>
      <c r="AK115" s="2"/>
      <c r="AL115" s="2"/>
      <c r="AM115" s="2"/>
      <c r="AN115" s="2"/>
    </row>
    <row r="116" spans="27:40" s="235" customFormat="1" x14ac:dyDescent="0.25">
      <c r="AA116" s="345"/>
      <c r="AB116" s="267"/>
      <c r="AC116" s="2"/>
      <c r="AD116" s="2"/>
      <c r="AE116" s="2"/>
      <c r="AF116" s="2"/>
      <c r="AG116" s="2"/>
      <c r="AH116" s="2"/>
      <c r="AI116" s="2"/>
      <c r="AJ116" s="2"/>
      <c r="AK116" s="2"/>
      <c r="AL116" s="2"/>
      <c r="AM116" s="2"/>
      <c r="AN116" s="2"/>
    </row>
    <row r="117" spans="27:40" s="235" customFormat="1" x14ac:dyDescent="0.25">
      <c r="AA117" s="345"/>
      <c r="AB117" s="267"/>
      <c r="AC117" s="2"/>
      <c r="AD117" s="2"/>
      <c r="AE117" s="2"/>
      <c r="AF117" s="2"/>
      <c r="AG117" s="2"/>
      <c r="AH117" s="2"/>
      <c r="AI117" s="2"/>
      <c r="AJ117" s="2"/>
      <c r="AK117" s="2"/>
      <c r="AL117" s="2"/>
      <c r="AM117" s="2"/>
      <c r="AN117" s="2"/>
    </row>
    <row r="118" spans="27:40" s="235" customFormat="1" x14ac:dyDescent="0.25">
      <c r="AA118" s="345"/>
      <c r="AB118" s="267"/>
      <c r="AC118" s="2"/>
      <c r="AD118" s="2"/>
      <c r="AE118" s="2"/>
      <c r="AF118" s="2"/>
      <c r="AG118" s="2"/>
      <c r="AH118" s="2"/>
      <c r="AI118" s="2"/>
      <c r="AJ118" s="2"/>
      <c r="AK118" s="2"/>
      <c r="AL118" s="2"/>
      <c r="AM118" s="2"/>
      <c r="AN118" s="2"/>
    </row>
    <row r="119" spans="27:40" s="235" customFormat="1" x14ac:dyDescent="0.25">
      <c r="AA119" s="345"/>
      <c r="AB119" s="267"/>
      <c r="AC119" s="2"/>
      <c r="AD119" s="2"/>
      <c r="AE119" s="2"/>
      <c r="AF119" s="2"/>
      <c r="AG119" s="2"/>
      <c r="AH119" s="2"/>
      <c r="AI119" s="2"/>
      <c r="AJ119" s="2"/>
      <c r="AK119" s="2"/>
      <c r="AL119" s="2"/>
      <c r="AM119" s="2"/>
      <c r="AN119" s="2"/>
    </row>
    <row r="120" spans="27:40" s="235" customFormat="1" x14ac:dyDescent="0.25">
      <c r="AA120" s="345"/>
      <c r="AB120" s="267"/>
      <c r="AC120" s="2"/>
      <c r="AD120" s="2"/>
      <c r="AE120" s="2"/>
      <c r="AF120" s="2"/>
      <c r="AG120" s="2"/>
      <c r="AH120" s="2"/>
      <c r="AI120" s="2"/>
      <c r="AJ120" s="2"/>
      <c r="AK120" s="2"/>
      <c r="AL120" s="2"/>
      <c r="AM120" s="2"/>
      <c r="AN120" s="2"/>
    </row>
    <row r="121" spans="27:40" s="235" customFormat="1" x14ac:dyDescent="0.25">
      <c r="AA121" s="345"/>
      <c r="AB121" s="267"/>
      <c r="AC121" s="2"/>
      <c r="AD121" s="2"/>
      <c r="AE121" s="2"/>
      <c r="AF121" s="2"/>
      <c r="AG121" s="2"/>
      <c r="AH121" s="2"/>
      <c r="AI121" s="2"/>
      <c r="AJ121" s="2"/>
      <c r="AK121" s="2"/>
      <c r="AL121" s="2"/>
      <c r="AM121" s="2"/>
      <c r="AN121" s="2"/>
    </row>
    <row r="122" spans="27:40" s="235" customFormat="1" x14ac:dyDescent="0.25">
      <c r="AA122" s="345"/>
      <c r="AB122" s="267"/>
      <c r="AC122" s="2"/>
      <c r="AD122" s="2"/>
      <c r="AE122" s="2"/>
      <c r="AF122" s="2"/>
      <c r="AG122" s="2"/>
      <c r="AH122" s="2"/>
      <c r="AI122" s="2"/>
      <c r="AJ122" s="2"/>
      <c r="AK122" s="2"/>
      <c r="AL122" s="2"/>
      <c r="AM122" s="2"/>
      <c r="AN122" s="2"/>
    </row>
    <row r="123" spans="27:40" s="235" customFormat="1" x14ac:dyDescent="0.25">
      <c r="AA123" s="345"/>
      <c r="AB123" s="267"/>
      <c r="AC123" s="2"/>
      <c r="AD123" s="2"/>
      <c r="AE123" s="2"/>
      <c r="AF123" s="2"/>
      <c r="AG123" s="2"/>
      <c r="AH123" s="2"/>
      <c r="AI123" s="2"/>
      <c r="AJ123" s="2"/>
      <c r="AK123" s="2"/>
      <c r="AL123" s="2"/>
      <c r="AM123" s="2"/>
      <c r="AN123" s="2"/>
    </row>
    <row r="124" spans="27:40" s="235" customFormat="1" x14ac:dyDescent="0.25">
      <c r="AA124" s="345"/>
      <c r="AB124" s="267"/>
      <c r="AC124" s="2"/>
      <c r="AD124" s="2"/>
      <c r="AE124" s="2"/>
      <c r="AF124" s="2"/>
      <c r="AG124" s="2"/>
      <c r="AH124" s="2"/>
      <c r="AI124" s="2"/>
      <c r="AJ124" s="2"/>
      <c r="AK124" s="2"/>
      <c r="AL124" s="2"/>
      <c r="AM124" s="2"/>
      <c r="AN124" s="2"/>
    </row>
    <row r="125" spans="27:40" s="235" customFormat="1" x14ac:dyDescent="0.25">
      <c r="AA125" s="345"/>
      <c r="AB125" s="267"/>
      <c r="AC125" s="2"/>
      <c r="AD125" s="2"/>
      <c r="AE125" s="2"/>
      <c r="AF125" s="2"/>
      <c r="AG125" s="2"/>
      <c r="AH125" s="2"/>
      <c r="AI125" s="2"/>
      <c r="AJ125" s="2"/>
      <c r="AK125" s="2"/>
      <c r="AL125" s="2"/>
      <c r="AM125" s="2"/>
      <c r="AN125" s="2"/>
    </row>
    <row r="126" spans="27:40" s="235" customFormat="1" x14ac:dyDescent="0.25">
      <c r="AA126" s="345"/>
      <c r="AB126" s="267"/>
      <c r="AC126" s="2"/>
      <c r="AD126" s="2"/>
      <c r="AE126" s="2"/>
      <c r="AF126" s="2"/>
      <c r="AG126" s="2"/>
      <c r="AH126" s="2"/>
      <c r="AI126" s="2"/>
      <c r="AJ126" s="2"/>
      <c r="AK126" s="2"/>
      <c r="AL126" s="2"/>
      <c r="AM126" s="2"/>
      <c r="AN126" s="2"/>
    </row>
    <row r="127" spans="27:40" s="235" customFormat="1" x14ac:dyDescent="0.25">
      <c r="AA127" s="345"/>
      <c r="AB127" s="267"/>
      <c r="AC127" s="2"/>
      <c r="AD127" s="2"/>
      <c r="AE127" s="2"/>
      <c r="AF127" s="2"/>
      <c r="AG127" s="2"/>
      <c r="AH127" s="2"/>
      <c r="AI127" s="2"/>
      <c r="AJ127" s="2"/>
      <c r="AK127" s="2"/>
      <c r="AL127" s="2"/>
      <c r="AM127" s="2"/>
      <c r="AN127" s="2"/>
    </row>
    <row r="128" spans="27:40" s="235" customFormat="1" x14ac:dyDescent="0.25">
      <c r="AA128" s="345"/>
      <c r="AB128" s="267"/>
      <c r="AC128" s="2"/>
      <c r="AD128" s="2"/>
      <c r="AE128" s="2"/>
      <c r="AF128" s="2"/>
      <c r="AG128" s="2"/>
      <c r="AH128" s="2"/>
      <c r="AI128" s="2"/>
      <c r="AJ128" s="2"/>
      <c r="AK128" s="2"/>
      <c r="AL128" s="2"/>
      <c r="AM128" s="2"/>
      <c r="AN128" s="2"/>
    </row>
    <row r="129" spans="27:40" s="235" customFormat="1" x14ac:dyDescent="0.25">
      <c r="AA129" s="345"/>
      <c r="AB129" s="267"/>
      <c r="AC129" s="2"/>
      <c r="AD129" s="2"/>
      <c r="AE129" s="2"/>
      <c r="AF129" s="2"/>
      <c r="AG129" s="2"/>
      <c r="AH129" s="2"/>
      <c r="AI129" s="2"/>
      <c r="AJ129" s="2"/>
      <c r="AK129" s="2"/>
      <c r="AL129" s="2"/>
      <c r="AM129" s="2"/>
      <c r="AN129" s="2"/>
    </row>
    <row r="130" spans="27:40" s="235" customFormat="1" x14ac:dyDescent="0.25">
      <c r="AA130" s="345"/>
      <c r="AB130" s="267"/>
      <c r="AC130" s="2"/>
      <c r="AD130" s="2"/>
      <c r="AE130" s="2"/>
      <c r="AF130" s="2"/>
      <c r="AG130" s="2"/>
      <c r="AH130" s="2"/>
      <c r="AI130" s="2"/>
      <c r="AJ130" s="2"/>
      <c r="AK130" s="2"/>
      <c r="AL130" s="2"/>
      <c r="AM130" s="2"/>
      <c r="AN130" s="2"/>
    </row>
    <row r="131" spans="27:40" s="235" customFormat="1" x14ac:dyDescent="0.25">
      <c r="AA131" s="345"/>
      <c r="AB131" s="267"/>
      <c r="AC131" s="2"/>
      <c r="AD131" s="2"/>
      <c r="AE131" s="2"/>
      <c r="AF131" s="2"/>
      <c r="AG131" s="2"/>
      <c r="AH131" s="2"/>
      <c r="AI131" s="2"/>
      <c r="AJ131" s="2"/>
      <c r="AK131" s="2"/>
      <c r="AL131" s="2"/>
      <c r="AM131" s="2"/>
      <c r="AN131" s="2"/>
    </row>
    <row r="132" spans="27:40" s="235" customFormat="1" x14ac:dyDescent="0.25">
      <c r="AA132" s="345"/>
      <c r="AB132" s="267"/>
      <c r="AC132" s="2"/>
      <c r="AD132" s="2"/>
      <c r="AE132" s="2"/>
      <c r="AF132" s="2"/>
      <c r="AG132" s="2"/>
      <c r="AH132" s="2"/>
      <c r="AI132" s="2"/>
      <c r="AJ132" s="2"/>
      <c r="AK132" s="2"/>
      <c r="AL132" s="2"/>
      <c r="AM132" s="2"/>
      <c r="AN132" s="2"/>
    </row>
    <row r="133" spans="27:40" s="235" customFormat="1" x14ac:dyDescent="0.25">
      <c r="AA133" s="345"/>
      <c r="AB133" s="267"/>
      <c r="AC133" s="2"/>
      <c r="AD133" s="2"/>
      <c r="AE133" s="2"/>
      <c r="AF133" s="2"/>
      <c r="AG133" s="2"/>
      <c r="AH133" s="2"/>
      <c r="AI133" s="2"/>
      <c r="AJ133" s="2"/>
      <c r="AK133" s="2"/>
      <c r="AL133" s="2"/>
      <c r="AM133" s="2"/>
      <c r="AN133" s="2"/>
    </row>
    <row r="134" spans="27:40" s="235" customFormat="1" x14ac:dyDescent="0.25">
      <c r="AA134" s="345"/>
      <c r="AB134" s="267"/>
      <c r="AC134" s="2"/>
      <c r="AD134" s="2"/>
      <c r="AE134" s="2"/>
      <c r="AF134" s="2"/>
      <c r="AG134" s="2"/>
      <c r="AH134" s="2"/>
      <c r="AI134" s="2"/>
      <c r="AJ134" s="2"/>
      <c r="AK134" s="2"/>
      <c r="AL134" s="2"/>
      <c r="AM134" s="2"/>
      <c r="AN134" s="2"/>
    </row>
    <row r="135" spans="27:40" s="235" customFormat="1" x14ac:dyDescent="0.25">
      <c r="AA135" s="345"/>
      <c r="AB135" s="267"/>
      <c r="AC135" s="2"/>
      <c r="AD135" s="2"/>
      <c r="AE135" s="2"/>
      <c r="AF135" s="2"/>
      <c r="AG135" s="2"/>
      <c r="AH135" s="2"/>
      <c r="AI135" s="2"/>
      <c r="AJ135" s="2"/>
      <c r="AK135" s="2"/>
      <c r="AL135" s="2"/>
      <c r="AM135" s="2"/>
      <c r="AN135" s="2"/>
    </row>
    <row r="136" spans="27:40" s="235" customFormat="1" x14ac:dyDescent="0.25">
      <c r="AA136" s="345"/>
      <c r="AB136" s="267"/>
      <c r="AC136" s="2"/>
      <c r="AD136" s="2"/>
      <c r="AE136" s="2"/>
      <c r="AF136" s="2"/>
      <c r="AG136" s="2"/>
      <c r="AH136" s="2"/>
      <c r="AI136" s="2"/>
      <c r="AJ136" s="2"/>
      <c r="AK136" s="2"/>
      <c r="AL136" s="2"/>
      <c r="AM136" s="2"/>
      <c r="AN136" s="2"/>
    </row>
    <row r="137" spans="27:40" s="235" customFormat="1" x14ac:dyDescent="0.25">
      <c r="AA137" s="345"/>
      <c r="AB137" s="267"/>
      <c r="AC137" s="2"/>
      <c r="AD137" s="2"/>
      <c r="AE137" s="2"/>
      <c r="AF137" s="2"/>
      <c r="AG137" s="2"/>
      <c r="AH137" s="2"/>
      <c r="AI137" s="2"/>
      <c r="AJ137" s="2"/>
      <c r="AK137" s="2"/>
      <c r="AL137" s="2"/>
      <c r="AM137" s="2"/>
      <c r="AN137" s="2"/>
    </row>
    <row r="138" spans="27:40" s="235" customFormat="1" x14ac:dyDescent="0.25">
      <c r="AA138" s="345"/>
      <c r="AB138" s="267"/>
      <c r="AC138" s="2"/>
      <c r="AD138" s="2"/>
      <c r="AE138" s="2"/>
      <c r="AF138" s="2"/>
      <c r="AG138" s="2"/>
      <c r="AH138" s="2"/>
      <c r="AI138" s="2"/>
      <c r="AJ138" s="2"/>
      <c r="AK138" s="2"/>
      <c r="AL138" s="2"/>
      <c r="AM138" s="2"/>
      <c r="AN138" s="2"/>
    </row>
    <row r="139" spans="27:40" s="235" customFormat="1" x14ac:dyDescent="0.25">
      <c r="AA139" s="345"/>
      <c r="AB139" s="267"/>
      <c r="AC139" s="2"/>
      <c r="AD139" s="2"/>
      <c r="AE139" s="2"/>
      <c r="AF139" s="2"/>
      <c r="AG139" s="2"/>
      <c r="AH139" s="2"/>
      <c r="AI139" s="2"/>
      <c r="AJ139" s="2"/>
      <c r="AK139" s="2"/>
      <c r="AL139" s="2"/>
      <c r="AM139" s="2"/>
      <c r="AN139" s="2"/>
    </row>
    <row r="140" spans="27:40" s="235" customFormat="1" x14ac:dyDescent="0.25">
      <c r="AA140" s="345"/>
      <c r="AB140" s="267"/>
      <c r="AC140" s="2"/>
      <c r="AD140" s="2"/>
      <c r="AE140" s="2"/>
      <c r="AF140" s="2"/>
      <c r="AG140" s="2"/>
      <c r="AH140" s="2"/>
      <c r="AI140" s="2"/>
      <c r="AJ140" s="2"/>
      <c r="AK140" s="2"/>
      <c r="AL140" s="2"/>
      <c r="AM140" s="2"/>
      <c r="AN140" s="2"/>
    </row>
    <row r="141" spans="27:40" s="235" customFormat="1" x14ac:dyDescent="0.25">
      <c r="AA141" s="345"/>
      <c r="AB141" s="267"/>
      <c r="AC141" s="2"/>
      <c r="AD141" s="2"/>
      <c r="AE141" s="2"/>
      <c r="AF141" s="2"/>
      <c r="AG141" s="2"/>
      <c r="AH141" s="2"/>
      <c r="AI141" s="2"/>
      <c r="AJ141" s="2"/>
      <c r="AK141" s="2"/>
      <c r="AL141" s="2"/>
      <c r="AM141" s="2"/>
      <c r="AN141" s="2"/>
    </row>
    <row r="142" spans="27:40" s="235" customFormat="1" x14ac:dyDescent="0.25">
      <c r="AA142" s="345"/>
      <c r="AB142" s="267"/>
      <c r="AC142" s="2"/>
      <c r="AD142" s="2"/>
      <c r="AE142" s="2"/>
      <c r="AF142" s="2"/>
      <c r="AG142" s="2"/>
      <c r="AH142" s="2"/>
      <c r="AI142" s="2"/>
      <c r="AJ142" s="2"/>
      <c r="AK142" s="2"/>
      <c r="AL142" s="2"/>
      <c r="AM142" s="2"/>
      <c r="AN142" s="2"/>
    </row>
    <row r="143" spans="27:40" s="235" customFormat="1" x14ac:dyDescent="0.25">
      <c r="AA143" s="345"/>
      <c r="AB143" s="267"/>
      <c r="AC143" s="2"/>
      <c r="AD143" s="2"/>
      <c r="AE143" s="2"/>
      <c r="AF143" s="2"/>
      <c r="AG143" s="2"/>
      <c r="AH143" s="2"/>
      <c r="AI143" s="2"/>
      <c r="AJ143" s="2"/>
      <c r="AK143" s="2"/>
      <c r="AL143" s="2"/>
      <c r="AM143" s="2"/>
      <c r="AN143" s="2"/>
    </row>
    <row r="144" spans="27:40" s="235" customFormat="1" x14ac:dyDescent="0.25">
      <c r="AA144" s="345"/>
      <c r="AB144" s="267"/>
      <c r="AC144" s="2"/>
      <c r="AD144" s="2"/>
      <c r="AE144" s="2"/>
      <c r="AF144" s="2"/>
      <c r="AG144" s="2"/>
      <c r="AH144" s="2"/>
      <c r="AI144" s="2"/>
      <c r="AJ144" s="2"/>
      <c r="AK144" s="2"/>
      <c r="AL144" s="2"/>
      <c r="AM144" s="2"/>
      <c r="AN144" s="2"/>
    </row>
    <row r="145" spans="27:40" s="235" customFormat="1" x14ac:dyDescent="0.25">
      <c r="AA145" s="345"/>
      <c r="AB145" s="267"/>
      <c r="AC145" s="2"/>
      <c r="AD145" s="2"/>
      <c r="AE145" s="2"/>
      <c r="AF145" s="2"/>
      <c r="AG145" s="2"/>
      <c r="AH145" s="2"/>
      <c r="AI145" s="2"/>
      <c r="AJ145" s="2"/>
      <c r="AK145" s="2"/>
      <c r="AL145" s="2"/>
      <c r="AM145" s="2"/>
      <c r="AN145" s="2"/>
    </row>
    <row r="146" spans="27:40" s="235" customFormat="1" x14ac:dyDescent="0.25">
      <c r="AA146" s="345"/>
      <c r="AB146" s="267"/>
      <c r="AC146" s="2"/>
      <c r="AD146" s="2"/>
      <c r="AE146" s="2"/>
      <c r="AF146" s="2"/>
      <c r="AG146" s="2"/>
      <c r="AH146" s="2"/>
      <c r="AI146" s="2"/>
      <c r="AJ146" s="2"/>
      <c r="AK146" s="2"/>
      <c r="AL146" s="2"/>
      <c r="AM146" s="2"/>
      <c r="AN146" s="2"/>
    </row>
    <row r="147" spans="27:40" s="235" customFormat="1" x14ac:dyDescent="0.25">
      <c r="AA147" s="345"/>
      <c r="AB147" s="267"/>
      <c r="AC147" s="2"/>
      <c r="AD147" s="2"/>
      <c r="AE147" s="2"/>
      <c r="AF147" s="2"/>
      <c r="AG147" s="2"/>
      <c r="AH147" s="2"/>
      <c r="AI147" s="2"/>
      <c r="AJ147" s="2"/>
      <c r="AK147" s="2"/>
      <c r="AL147" s="2"/>
      <c r="AM147" s="2"/>
      <c r="AN147" s="2"/>
    </row>
    <row r="148" spans="27:40" s="235" customFormat="1" x14ac:dyDescent="0.25">
      <c r="AA148" s="345"/>
      <c r="AB148" s="267"/>
      <c r="AC148" s="2"/>
      <c r="AD148" s="2"/>
      <c r="AE148" s="2"/>
      <c r="AF148" s="2"/>
      <c r="AG148" s="2"/>
      <c r="AH148" s="2"/>
      <c r="AI148" s="2"/>
      <c r="AJ148" s="2"/>
      <c r="AK148" s="2"/>
      <c r="AL148" s="2"/>
      <c r="AM148" s="2"/>
      <c r="AN148" s="2"/>
    </row>
    <row r="149" spans="27:40" s="235" customFormat="1" x14ac:dyDescent="0.25">
      <c r="AA149" s="345"/>
      <c r="AB149" s="267"/>
      <c r="AC149" s="2"/>
      <c r="AD149" s="2"/>
      <c r="AE149" s="2"/>
      <c r="AF149" s="2"/>
      <c r="AG149" s="2"/>
      <c r="AH149" s="2"/>
      <c r="AI149" s="2"/>
      <c r="AJ149" s="2"/>
      <c r="AK149" s="2"/>
      <c r="AL149" s="2"/>
      <c r="AM149" s="2"/>
      <c r="AN149" s="2"/>
    </row>
    <row r="150" spans="27:40" s="235" customFormat="1" x14ac:dyDescent="0.25">
      <c r="AA150" s="345"/>
      <c r="AB150" s="267"/>
      <c r="AC150" s="2"/>
      <c r="AD150" s="2"/>
      <c r="AE150" s="2"/>
      <c r="AF150" s="2"/>
      <c r="AG150" s="2"/>
      <c r="AH150" s="2"/>
      <c r="AI150" s="2"/>
      <c r="AJ150" s="2"/>
      <c r="AK150" s="2"/>
      <c r="AL150" s="2"/>
      <c r="AM150" s="2"/>
      <c r="AN150" s="2"/>
    </row>
    <row r="151" spans="27:40" s="235" customFormat="1" x14ac:dyDescent="0.25">
      <c r="AA151" s="345"/>
      <c r="AB151" s="267"/>
      <c r="AC151" s="2"/>
      <c r="AD151" s="2"/>
      <c r="AE151" s="2"/>
      <c r="AF151" s="2"/>
      <c r="AG151" s="2"/>
      <c r="AH151" s="2"/>
      <c r="AI151" s="2"/>
      <c r="AJ151" s="2"/>
      <c r="AK151" s="2"/>
      <c r="AL151" s="2"/>
      <c r="AM151" s="2"/>
      <c r="AN151" s="2"/>
    </row>
    <row r="152" spans="27:40" s="235" customFormat="1" x14ac:dyDescent="0.25">
      <c r="AA152" s="345"/>
      <c r="AB152" s="267"/>
      <c r="AC152" s="2"/>
      <c r="AD152" s="2"/>
      <c r="AE152" s="2"/>
      <c r="AF152" s="2"/>
      <c r="AG152" s="2"/>
      <c r="AH152" s="2"/>
      <c r="AI152" s="2"/>
      <c r="AJ152" s="2"/>
      <c r="AK152" s="2"/>
      <c r="AL152" s="2"/>
      <c r="AM152" s="2"/>
      <c r="AN152" s="2"/>
    </row>
    <row r="153" spans="27:40" s="235" customFormat="1" x14ac:dyDescent="0.25">
      <c r="AA153" s="345"/>
      <c r="AB153" s="267"/>
      <c r="AC153" s="2"/>
      <c r="AD153" s="2"/>
      <c r="AE153" s="2"/>
      <c r="AF153" s="2"/>
      <c r="AG153" s="2"/>
      <c r="AH153" s="2"/>
      <c r="AI153" s="2"/>
      <c r="AJ153" s="2"/>
      <c r="AK153" s="2"/>
      <c r="AL153" s="2"/>
      <c r="AM153" s="2"/>
      <c r="AN153" s="2"/>
    </row>
    <row r="154" spans="27:40" s="235" customFormat="1" x14ac:dyDescent="0.25">
      <c r="AA154" s="345"/>
      <c r="AB154" s="267"/>
      <c r="AC154" s="2"/>
      <c r="AD154" s="2"/>
      <c r="AE154" s="2"/>
      <c r="AF154" s="2"/>
      <c r="AG154" s="2"/>
      <c r="AH154" s="2"/>
      <c r="AI154" s="2"/>
      <c r="AJ154" s="2"/>
      <c r="AK154" s="2"/>
      <c r="AL154" s="2"/>
      <c r="AM154" s="2"/>
      <c r="AN154" s="2"/>
    </row>
    <row r="155" spans="27:40" s="235" customFormat="1" x14ac:dyDescent="0.25">
      <c r="AA155" s="345"/>
      <c r="AB155" s="267"/>
      <c r="AC155" s="2"/>
      <c r="AD155" s="2"/>
      <c r="AE155" s="2"/>
      <c r="AF155" s="2"/>
      <c r="AG155" s="2"/>
      <c r="AH155" s="2"/>
      <c r="AI155" s="2"/>
      <c r="AJ155" s="2"/>
      <c r="AK155" s="2"/>
      <c r="AL155" s="2"/>
      <c r="AM155" s="2"/>
      <c r="AN155" s="2"/>
    </row>
    <row r="156" spans="27:40" s="235" customFormat="1" x14ac:dyDescent="0.25">
      <c r="AA156" s="345"/>
      <c r="AB156" s="267"/>
      <c r="AC156" s="2"/>
      <c r="AD156" s="2"/>
      <c r="AE156" s="2"/>
      <c r="AF156" s="2"/>
      <c r="AG156" s="2"/>
      <c r="AH156" s="2"/>
      <c r="AI156" s="2"/>
      <c r="AJ156" s="2"/>
      <c r="AK156" s="2"/>
      <c r="AL156" s="2"/>
      <c r="AM156" s="2"/>
      <c r="AN156" s="2"/>
    </row>
    <row r="157" spans="27:40" s="235" customFormat="1" x14ac:dyDescent="0.25">
      <c r="AA157" s="345"/>
      <c r="AB157" s="267"/>
      <c r="AC157" s="2"/>
      <c r="AD157" s="2"/>
      <c r="AE157" s="2"/>
      <c r="AF157" s="2"/>
      <c r="AG157" s="2"/>
      <c r="AH157" s="2"/>
      <c r="AI157" s="2"/>
      <c r="AJ157" s="2"/>
      <c r="AK157" s="2"/>
      <c r="AL157" s="2"/>
      <c r="AM157" s="2"/>
      <c r="AN157" s="2"/>
    </row>
    <row r="158" spans="27:40" s="235" customFormat="1" x14ac:dyDescent="0.25">
      <c r="AA158" s="345"/>
      <c r="AB158" s="267"/>
      <c r="AC158" s="2"/>
      <c r="AD158" s="2"/>
      <c r="AE158" s="2"/>
      <c r="AF158" s="2"/>
      <c r="AG158" s="2"/>
      <c r="AH158" s="2"/>
      <c r="AI158" s="2"/>
      <c r="AJ158" s="2"/>
      <c r="AK158" s="2"/>
      <c r="AL158" s="2"/>
      <c r="AM158" s="2"/>
      <c r="AN158" s="2"/>
    </row>
    <row r="159" spans="27:40" s="235" customFormat="1" x14ac:dyDescent="0.25">
      <c r="AA159" s="345"/>
      <c r="AB159" s="267"/>
      <c r="AC159" s="2"/>
      <c r="AD159" s="2"/>
      <c r="AE159" s="2"/>
      <c r="AF159" s="2"/>
      <c r="AG159" s="2"/>
      <c r="AH159" s="2"/>
      <c r="AI159" s="2"/>
      <c r="AJ159" s="2"/>
      <c r="AK159" s="2"/>
      <c r="AL159" s="2"/>
      <c r="AM159" s="2"/>
      <c r="AN159" s="2"/>
    </row>
    <row r="160" spans="27:40" s="235" customFormat="1" x14ac:dyDescent="0.25">
      <c r="AA160" s="345"/>
      <c r="AB160" s="267"/>
      <c r="AC160" s="2"/>
      <c r="AD160" s="2"/>
      <c r="AE160" s="2"/>
      <c r="AF160" s="2"/>
      <c r="AG160" s="2"/>
      <c r="AH160" s="2"/>
      <c r="AI160" s="2"/>
      <c r="AJ160" s="2"/>
      <c r="AK160" s="2"/>
      <c r="AL160" s="2"/>
      <c r="AM160" s="2"/>
      <c r="AN160" s="2"/>
    </row>
    <row r="161" spans="27:40" s="235" customFormat="1" x14ac:dyDescent="0.25">
      <c r="AA161" s="345"/>
      <c r="AB161" s="267"/>
      <c r="AC161" s="2"/>
      <c r="AD161" s="2"/>
      <c r="AE161" s="2"/>
      <c r="AF161" s="2"/>
      <c r="AG161" s="2"/>
      <c r="AH161" s="2"/>
      <c r="AI161" s="2"/>
      <c r="AJ161" s="2"/>
      <c r="AK161" s="2"/>
      <c r="AL161" s="2"/>
      <c r="AM161" s="2"/>
      <c r="AN161" s="2"/>
    </row>
    <row r="162" spans="27:40" s="235" customFormat="1" x14ac:dyDescent="0.25">
      <c r="AA162" s="345"/>
      <c r="AB162" s="267"/>
      <c r="AC162" s="2"/>
      <c r="AD162" s="2"/>
      <c r="AE162" s="2"/>
      <c r="AF162" s="2"/>
      <c r="AG162" s="2"/>
      <c r="AH162" s="2"/>
      <c r="AI162" s="2"/>
      <c r="AJ162" s="2"/>
      <c r="AK162" s="2"/>
      <c r="AL162" s="2"/>
      <c r="AM162" s="2"/>
      <c r="AN162" s="2"/>
    </row>
    <row r="163" spans="27:40" s="235" customFormat="1" x14ac:dyDescent="0.25">
      <c r="AA163" s="345"/>
      <c r="AB163" s="267"/>
      <c r="AC163" s="2"/>
      <c r="AD163" s="2"/>
      <c r="AE163" s="2"/>
      <c r="AF163" s="2"/>
      <c r="AG163" s="2"/>
      <c r="AH163" s="2"/>
      <c r="AI163" s="2"/>
      <c r="AJ163" s="2"/>
      <c r="AK163" s="2"/>
      <c r="AL163" s="2"/>
      <c r="AM163" s="2"/>
      <c r="AN163" s="2"/>
    </row>
    <row r="164" spans="27:40" s="235" customFormat="1" x14ac:dyDescent="0.25">
      <c r="AA164" s="345"/>
      <c r="AB164" s="267"/>
      <c r="AC164" s="2"/>
      <c r="AD164" s="2"/>
      <c r="AE164" s="2"/>
      <c r="AF164" s="2"/>
      <c r="AG164" s="2"/>
      <c r="AH164" s="2"/>
      <c r="AI164" s="2"/>
      <c r="AJ164" s="2"/>
      <c r="AK164" s="2"/>
      <c r="AL164" s="2"/>
      <c r="AM164" s="2"/>
      <c r="AN164" s="2"/>
    </row>
    <row r="165" spans="27:40" s="235" customFormat="1" x14ac:dyDescent="0.25">
      <c r="AA165" s="345"/>
      <c r="AB165" s="267"/>
      <c r="AC165" s="2"/>
      <c r="AD165" s="2"/>
      <c r="AE165" s="2"/>
      <c r="AF165" s="2"/>
      <c r="AG165" s="2"/>
      <c r="AH165" s="2"/>
      <c r="AI165" s="2"/>
      <c r="AJ165" s="2"/>
      <c r="AK165" s="2"/>
      <c r="AL165" s="2"/>
      <c r="AM165" s="2"/>
      <c r="AN165" s="2"/>
    </row>
    <row r="166" spans="27:40" s="235" customFormat="1" x14ac:dyDescent="0.25">
      <c r="AA166" s="345"/>
      <c r="AB166" s="267"/>
      <c r="AC166" s="2"/>
      <c r="AD166" s="2"/>
      <c r="AE166" s="2"/>
      <c r="AF166" s="2"/>
      <c r="AG166" s="2"/>
      <c r="AH166" s="2"/>
      <c r="AI166" s="2"/>
      <c r="AJ166" s="2"/>
      <c r="AK166" s="2"/>
      <c r="AL166" s="2"/>
      <c r="AM166" s="2"/>
      <c r="AN166" s="2"/>
    </row>
    <row r="167" spans="27:40" s="235" customFormat="1" x14ac:dyDescent="0.25">
      <c r="AA167" s="345"/>
      <c r="AB167" s="267"/>
      <c r="AC167" s="2"/>
      <c r="AD167" s="2"/>
      <c r="AE167" s="2"/>
      <c r="AF167" s="2"/>
      <c r="AG167" s="2"/>
      <c r="AH167" s="2"/>
      <c r="AI167" s="2"/>
      <c r="AJ167" s="2"/>
      <c r="AK167" s="2"/>
      <c r="AL167" s="2"/>
      <c r="AM167" s="2"/>
      <c r="AN167" s="2"/>
    </row>
    <row r="168" spans="27:40" s="235" customFormat="1" x14ac:dyDescent="0.25">
      <c r="AA168" s="345"/>
      <c r="AB168" s="267"/>
      <c r="AC168" s="2"/>
      <c r="AD168" s="2"/>
      <c r="AE168" s="2"/>
      <c r="AF168" s="2"/>
      <c r="AG168" s="2"/>
      <c r="AH168" s="2"/>
      <c r="AI168" s="2"/>
      <c r="AJ168" s="2"/>
      <c r="AK168" s="2"/>
      <c r="AL168" s="2"/>
      <c r="AM168" s="2"/>
      <c r="AN168" s="2"/>
    </row>
    <row r="169" spans="27:40" s="235" customFormat="1" x14ac:dyDescent="0.25">
      <c r="AA169" s="345"/>
      <c r="AB169" s="267"/>
      <c r="AC169" s="2"/>
      <c r="AD169" s="2"/>
      <c r="AE169" s="2"/>
      <c r="AF169" s="2"/>
      <c r="AG169" s="2"/>
      <c r="AH169" s="2"/>
      <c r="AI169" s="2"/>
      <c r="AJ169" s="2"/>
      <c r="AK169" s="2"/>
      <c r="AL169" s="2"/>
      <c r="AM169" s="2"/>
      <c r="AN169" s="2"/>
    </row>
    <row r="170" spans="27:40" s="235" customFormat="1" x14ac:dyDescent="0.25">
      <c r="AA170" s="345"/>
      <c r="AB170" s="267"/>
      <c r="AC170" s="2"/>
      <c r="AD170" s="2"/>
      <c r="AE170" s="2"/>
      <c r="AF170" s="2"/>
      <c r="AG170" s="2"/>
      <c r="AH170" s="2"/>
      <c r="AI170" s="2"/>
      <c r="AJ170" s="2"/>
      <c r="AK170" s="2"/>
      <c r="AL170" s="2"/>
      <c r="AM170" s="2"/>
      <c r="AN170" s="2"/>
    </row>
    <row r="171" spans="27:40" s="235" customFormat="1" x14ac:dyDescent="0.25">
      <c r="AA171" s="345"/>
      <c r="AB171" s="267"/>
      <c r="AC171" s="2"/>
      <c r="AD171" s="2"/>
      <c r="AE171" s="2"/>
      <c r="AF171" s="2"/>
      <c r="AG171" s="2"/>
      <c r="AH171" s="2"/>
      <c r="AI171" s="2"/>
      <c r="AJ171" s="2"/>
      <c r="AK171" s="2"/>
      <c r="AL171" s="2"/>
      <c r="AM171" s="2"/>
      <c r="AN171" s="2"/>
    </row>
    <row r="172" spans="27:40" s="235" customFormat="1" x14ac:dyDescent="0.25">
      <c r="AA172" s="345"/>
      <c r="AB172" s="267"/>
      <c r="AC172" s="2"/>
      <c r="AD172" s="2"/>
      <c r="AE172" s="2"/>
      <c r="AF172" s="2"/>
      <c r="AG172" s="2"/>
      <c r="AH172" s="2"/>
      <c r="AI172" s="2"/>
      <c r="AJ172" s="2"/>
      <c r="AK172" s="2"/>
      <c r="AL172" s="2"/>
      <c r="AM172" s="2"/>
      <c r="AN172" s="2"/>
    </row>
    <row r="173" spans="27:40" s="235" customFormat="1" x14ac:dyDescent="0.25">
      <c r="AA173" s="345"/>
      <c r="AB173" s="267"/>
      <c r="AC173" s="2"/>
      <c r="AD173" s="2"/>
      <c r="AE173" s="2"/>
      <c r="AF173" s="2"/>
      <c r="AG173" s="2"/>
      <c r="AH173" s="2"/>
      <c r="AI173" s="2"/>
      <c r="AJ173" s="2"/>
      <c r="AK173" s="2"/>
      <c r="AL173" s="2"/>
      <c r="AM173" s="2"/>
      <c r="AN173" s="2"/>
    </row>
    <row r="174" spans="27:40" s="235" customFormat="1" x14ac:dyDescent="0.25">
      <c r="AA174" s="345"/>
      <c r="AB174" s="267"/>
      <c r="AC174" s="2"/>
      <c r="AD174" s="2"/>
      <c r="AE174" s="2"/>
      <c r="AF174" s="2"/>
      <c r="AG174" s="2"/>
      <c r="AH174" s="2"/>
      <c r="AI174" s="2"/>
      <c r="AJ174" s="2"/>
      <c r="AK174" s="2"/>
      <c r="AL174" s="2"/>
      <c r="AM174" s="2"/>
      <c r="AN174" s="2"/>
    </row>
    <row r="175" spans="27:40" s="235" customFormat="1" x14ac:dyDescent="0.25">
      <c r="AA175" s="345"/>
      <c r="AB175" s="267"/>
      <c r="AC175" s="2"/>
      <c r="AD175" s="2"/>
      <c r="AE175" s="2"/>
      <c r="AF175" s="2"/>
      <c r="AG175" s="2"/>
      <c r="AH175" s="2"/>
      <c r="AI175" s="2"/>
      <c r="AJ175" s="2"/>
      <c r="AK175" s="2"/>
      <c r="AL175" s="2"/>
      <c r="AM175" s="2"/>
      <c r="AN175" s="2"/>
    </row>
    <row r="176" spans="27:40" s="235" customFormat="1" x14ac:dyDescent="0.25">
      <c r="AA176" s="345"/>
      <c r="AB176" s="267"/>
      <c r="AC176" s="2"/>
      <c r="AD176" s="2"/>
      <c r="AE176" s="2"/>
      <c r="AF176" s="2"/>
      <c r="AG176" s="2"/>
      <c r="AH176" s="2"/>
      <c r="AI176" s="2"/>
      <c r="AJ176" s="2"/>
      <c r="AK176" s="2"/>
      <c r="AL176" s="2"/>
      <c r="AM176" s="2"/>
      <c r="AN176" s="2"/>
    </row>
    <row r="177" spans="27:40" s="235" customFormat="1" x14ac:dyDescent="0.25">
      <c r="AA177" s="345"/>
      <c r="AB177" s="267"/>
      <c r="AC177" s="2"/>
      <c r="AD177" s="2"/>
      <c r="AE177" s="2"/>
      <c r="AF177" s="2"/>
      <c r="AG177" s="2"/>
      <c r="AH177" s="2"/>
      <c r="AI177" s="2"/>
      <c r="AJ177" s="2"/>
      <c r="AK177" s="2"/>
      <c r="AL177" s="2"/>
      <c r="AM177" s="2"/>
      <c r="AN177" s="2"/>
    </row>
    <row r="178" spans="27:40" s="235" customFormat="1" x14ac:dyDescent="0.25">
      <c r="AA178" s="345"/>
      <c r="AB178" s="267"/>
      <c r="AC178" s="2"/>
      <c r="AD178" s="2"/>
      <c r="AE178" s="2"/>
      <c r="AF178" s="2"/>
      <c r="AG178" s="2"/>
      <c r="AH178" s="2"/>
      <c r="AI178" s="2"/>
      <c r="AJ178" s="2"/>
      <c r="AK178" s="2"/>
      <c r="AL178" s="2"/>
      <c r="AM178" s="2"/>
      <c r="AN178" s="2"/>
    </row>
    <row r="179" spans="27:40" s="235" customFormat="1" x14ac:dyDescent="0.25">
      <c r="AA179" s="345"/>
      <c r="AB179" s="267"/>
      <c r="AC179" s="2"/>
      <c r="AD179" s="2"/>
      <c r="AE179" s="2"/>
      <c r="AF179" s="2"/>
      <c r="AG179" s="2"/>
      <c r="AH179" s="2"/>
      <c r="AI179" s="2"/>
      <c r="AJ179" s="2"/>
      <c r="AK179" s="2"/>
      <c r="AL179" s="2"/>
      <c r="AM179" s="2"/>
      <c r="AN179" s="2"/>
    </row>
    <row r="180" spans="27:40" s="235" customFormat="1" x14ac:dyDescent="0.25">
      <c r="AA180" s="345"/>
      <c r="AB180" s="267"/>
      <c r="AC180" s="2"/>
      <c r="AD180" s="2"/>
      <c r="AE180" s="2"/>
      <c r="AF180" s="2"/>
      <c r="AG180" s="2"/>
      <c r="AH180" s="2"/>
      <c r="AI180" s="2"/>
      <c r="AJ180" s="2"/>
      <c r="AK180" s="2"/>
      <c r="AL180" s="2"/>
      <c r="AM180" s="2"/>
      <c r="AN180" s="2"/>
    </row>
    <row r="181" spans="27:40" s="235" customFormat="1" x14ac:dyDescent="0.25">
      <c r="AA181" s="345"/>
      <c r="AB181" s="267"/>
      <c r="AC181" s="2"/>
      <c r="AD181" s="2"/>
      <c r="AE181" s="2"/>
      <c r="AF181" s="2"/>
      <c r="AG181" s="2"/>
      <c r="AH181" s="2"/>
      <c r="AI181" s="2"/>
      <c r="AJ181" s="2"/>
      <c r="AK181" s="2"/>
      <c r="AL181" s="2"/>
      <c r="AM181" s="2"/>
      <c r="AN181" s="2"/>
    </row>
    <row r="182" spans="27:40" s="235" customFormat="1" x14ac:dyDescent="0.25">
      <c r="AA182" s="345"/>
      <c r="AB182" s="267"/>
      <c r="AC182" s="2"/>
      <c r="AD182" s="2"/>
      <c r="AE182" s="2"/>
      <c r="AF182" s="2"/>
      <c r="AG182" s="2"/>
      <c r="AH182" s="2"/>
      <c r="AI182" s="2"/>
      <c r="AJ182" s="2"/>
      <c r="AK182" s="2"/>
      <c r="AL182" s="2"/>
      <c r="AM182" s="2"/>
      <c r="AN182" s="2"/>
    </row>
    <row r="183" spans="27:40" s="235" customFormat="1" x14ac:dyDescent="0.25">
      <c r="AA183" s="345"/>
      <c r="AB183" s="267"/>
      <c r="AC183" s="2"/>
      <c r="AD183" s="2"/>
      <c r="AE183" s="2"/>
      <c r="AF183" s="2"/>
      <c r="AG183" s="2"/>
      <c r="AH183" s="2"/>
      <c r="AI183" s="2"/>
      <c r="AJ183" s="2"/>
      <c r="AK183" s="2"/>
      <c r="AL183" s="2"/>
      <c r="AM183" s="2"/>
      <c r="AN183" s="2"/>
    </row>
    <row r="184" spans="27:40" s="235" customFormat="1" x14ac:dyDescent="0.25">
      <c r="AA184" s="345"/>
      <c r="AB184" s="267"/>
      <c r="AC184" s="2"/>
      <c r="AD184" s="2"/>
      <c r="AE184" s="2"/>
      <c r="AF184" s="2"/>
      <c r="AG184" s="2"/>
      <c r="AH184" s="2"/>
      <c r="AI184" s="2"/>
      <c r="AJ184" s="2"/>
      <c r="AK184" s="2"/>
      <c r="AL184" s="2"/>
      <c r="AM184" s="2"/>
      <c r="AN184" s="2"/>
    </row>
    <row r="185" spans="27:40" s="235" customFormat="1" x14ac:dyDescent="0.25">
      <c r="AA185" s="345"/>
      <c r="AB185" s="267"/>
      <c r="AC185" s="2"/>
      <c r="AD185" s="2"/>
      <c r="AE185" s="2"/>
      <c r="AF185" s="2"/>
      <c r="AG185" s="2"/>
      <c r="AH185" s="2"/>
      <c r="AI185" s="2"/>
      <c r="AJ185" s="2"/>
      <c r="AK185" s="2"/>
      <c r="AL185" s="2"/>
      <c r="AM185" s="2"/>
      <c r="AN185" s="2"/>
    </row>
    <row r="186" spans="27:40" s="235" customFormat="1" x14ac:dyDescent="0.25">
      <c r="AA186" s="345"/>
      <c r="AB186" s="267"/>
      <c r="AC186" s="2"/>
      <c r="AD186" s="2"/>
      <c r="AE186" s="2"/>
      <c r="AF186" s="2"/>
      <c r="AG186" s="2"/>
      <c r="AH186" s="2"/>
      <c r="AI186" s="2"/>
      <c r="AJ186" s="2"/>
      <c r="AK186" s="2"/>
      <c r="AL186" s="2"/>
      <c r="AM186" s="2"/>
      <c r="AN186" s="2"/>
    </row>
    <row r="187" spans="27:40" s="235" customFormat="1" x14ac:dyDescent="0.25">
      <c r="AA187" s="345"/>
      <c r="AB187" s="267"/>
      <c r="AC187" s="2"/>
      <c r="AD187" s="2"/>
      <c r="AE187" s="2"/>
      <c r="AF187" s="2"/>
      <c r="AG187" s="2"/>
      <c r="AH187" s="2"/>
      <c r="AI187" s="2"/>
      <c r="AJ187" s="2"/>
      <c r="AK187" s="2"/>
      <c r="AL187" s="2"/>
      <c r="AM187" s="2"/>
      <c r="AN187" s="2"/>
    </row>
    <row r="188" spans="27:40" s="235" customFormat="1" x14ac:dyDescent="0.25">
      <c r="AA188" s="345"/>
      <c r="AB188" s="267"/>
      <c r="AC188" s="2"/>
      <c r="AD188" s="2"/>
      <c r="AE188" s="2"/>
      <c r="AF188" s="2"/>
      <c r="AG188" s="2"/>
      <c r="AH188" s="2"/>
      <c r="AI188" s="2"/>
      <c r="AJ188" s="2"/>
      <c r="AK188" s="2"/>
      <c r="AL188" s="2"/>
      <c r="AM188" s="2"/>
      <c r="AN188" s="2"/>
    </row>
    <row r="189" spans="27:40" s="235" customFormat="1" x14ac:dyDescent="0.25">
      <c r="AA189" s="345"/>
      <c r="AB189" s="267"/>
      <c r="AC189" s="2"/>
      <c r="AD189" s="2"/>
      <c r="AE189" s="2"/>
      <c r="AF189" s="2"/>
      <c r="AG189" s="2"/>
      <c r="AH189" s="2"/>
      <c r="AI189" s="2"/>
      <c r="AJ189" s="2"/>
      <c r="AK189" s="2"/>
      <c r="AL189" s="2"/>
      <c r="AM189" s="2"/>
      <c r="AN189" s="2"/>
    </row>
    <row r="190" spans="27:40" s="235" customFormat="1" x14ac:dyDescent="0.25">
      <c r="AA190" s="345"/>
      <c r="AB190" s="267"/>
      <c r="AC190" s="2"/>
      <c r="AD190" s="2"/>
      <c r="AE190" s="2"/>
      <c r="AF190" s="2"/>
      <c r="AG190" s="2"/>
      <c r="AH190" s="2"/>
      <c r="AI190" s="2"/>
      <c r="AJ190" s="2"/>
      <c r="AK190" s="2"/>
      <c r="AL190" s="2"/>
      <c r="AM190" s="2"/>
      <c r="AN190" s="2"/>
    </row>
    <row r="191" spans="27:40" s="235" customFormat="1" x14ac:dyDescent="0.25">
      <c r="AA191" s="345"/>
      <c r="AB191" s="267"/>
      <c r="AC191" s="2"/>
      <c r="AD191" s="2"/>
      <c r="AE191" s="2"/>
      <c r="AF191" s="2"/>
      <c r="AG191" s="2"/>
      <c r="AH191" s="2"/>
      <c r="AI191" s="2"/>
      <c r="AJ191" s="2"/>
      <c r="AK191" s="2"/>
      <c r="AL191" s="2"/>
      <c r="AM191" s="2"/>
      <c r="AN191" s="2"/>
    </row>
    <row r="192" spans="27:40" s="235" customFormat="1" x14ac:dyDescent="0.25">
      <c r="AA192" s="345"/>
      <c r="AB192" s="267"/>
      <c r="AC192" s="2"/>
      <c r="AD192" s="2"/>
      <c r="AE192" s="2"/>
      <c r="AF192" s="2"/>
      <c r="AG192" s="2"/>
      <c r="AH192" s="2"/>
      <c r="AI192" s="2"/>
      <c r="AJ192" s="2"/>
      <c r="AK192" s="2"/>
      <c r="AL192" s="2"/>
      <c r="AM192" s="2"/>
      <c r="AN192" s="2"/>
    </row>
    <row r="193" spans="27:40" s="235" customFormat="1" x14ac:dyDescent="0.25">
      <c r="AA193" s="345"/>
      <c r="AB193" s="267"/>
      <c r="AC193" s="2"/>
      <c r="AD193" s="2"/>
      <c r="AE193" s="2"/>
      <c r="AF193" s="2"/>
      <c r="AG193" s="2"/>
      <c r="AH193" s="2"/>
      <c r="AI193" s="2"/>
      <c r="AJ193" s="2"/>
      <c r="AK193" s="2"/>
      <c r="AL193" s="2"/>
      <c r="AM193" s="2"/>
      <c r="AN193" s="2"/>
    </row>
    <row r="194" spans="27:40" s="235" customFormat="1" x14ac:dyDescent="0.25">
      <c r="AA194" s="345"/>
      <c r="AB194" s="267"/>
      <c r="AC194" s="2"/>
      <c r="AD194" s="2"/>
      <c r="AE194" s="2"/>
      <c r="AF194" s="2"/>
      <c r="AG194" s="2"/>
      <c r="AH194" s="2"/>
      <c r="AI194" s="2"/>
      <c r="AJ194" s="2"/>
      <c r="AK194" s="2"/>
      <c r="AL194" s="2"/>
      <c r="AM194" s="2"/>
      <c r="AN194" s="2"/>
    </row>
    <row r="195" spans="27:40" s="235" customFormat="1" x14ac:dyDescent="0.25">
      <c r="AA195" s="345"/>
      <c r="AB195" s="267"/>
      <c r="AC195" s="2"/>
      <c r="AD195" s="2"/>
      <c r="AE195" s="2"/>
      <c r="AF195" s="2"/>
      <c r="AG195" s="2"/>
      <c r="AH195" s="2"/>
      <c r="AI195" s="2"/>
      <c r="AJ195" s="2"/>
      <c r="AK195" s="2"/>
      <c r="AL195" s="2"/>
      <c r="AM195" s="2"/>
      <c r="AN195" s="2"/>
    </row>
    <row r="196" spans="27:40" s="235" customFormat="1" x14ac:dyDescent="0.25">
      <c r="AA196" s="345"/>
      <c r="AB196" s="267"/>
      <c r="AC196" s="2"/>
      <c r="AD196" s="2"/>
      <c r="AE196" s="2"/>
      <c r="AF196" s="2"/>
      <c r="AG196" s="2"/>
      <c r="AH196" s="2"/>
      <c r="AI196" s="2"/>
      <c r="AJ196" s="2"/>
      <c r="AK196" s="2"/>
      <c r="AL196" s="2"/>
      <c r="AM196" s="2"/>
      <c r="AN196" s="2"/>
    </row>
    <row r="197" spans="27:40" s="235" customFormat="1" x14ac:dyDescent="0.25">
      <c r="AA197" s="345"/>
      <c r="AB197" s="267"/>
      <c r="AC197" s="2"/>
      <c r="AD197" s="2"/>
      <c r="AE197" s="2"/>
      <c r="AF197" s="2"/>
      <c r="AG197" s="2"/>
      <c r="AH197" s="2"/>
      <c r="AI197" s="2"/>
      <c r="AJ197" s="2"/>
      <c r="AK197" s="2"/>
      <c r="AL197" s="2"/>
      <c r="AM197" s="2"/>
      <c r="AN197" s="2"/>
    </row>
    <row r="198" spans="27:40" s="235" customFormat="1" x14ac:dyDescent="0.25">
      <c r="AA198" s="345"/>
      <c r="AB198" s="267"/>
      <c r="AC198" s="2"/>
      <c r="AD198" s="2"/>
      <c r="AE198" s="2"/>
      <c r="AF198" s="2"/>
      <c r="AG198" s="2"/>
      <c r="AH198" s="2"/>
      <c r="AI198" s="2"/>
      <c r="AJ198" s="2"/>
      <c r="AK198" s="2"/>
      <c r="AL198" s="2"/>
      <c r="AM198" s="2"/>
      <c r="AN198" s="2"/>
    </row>
    <row r="199" spans="27:40" s="235" customFormat="1" x14ac:dyDescent="0.25">
      <c r="AA199" s="345"/>
      <c r="AB199" s="267"/>
      <c r="AC199" s="2"/>
      <c r="AD199" s="2"/>
      <c r="AE199" s="2"/>
      <c r="AF199" s="2"/>
      <c r="AG199" s="2"/>
      <c r="AH199" s="2"/>
      <c r="AI199" s="2"/>
      <c r="AJ199" s="2"/>
      <c r="AK199" s="2"/>
      <c r="AL199" s="2"/>
      <c r="AM199" s="2"/>
      <c r="AN199" s="2"/>
    </row>
    <row r="200" spans="27:40" s="235" customFormat="1" x14ac:dyDescent="0.25">
      <c r="AA200" s="345"/>
      <c r="AB200" s="267"/>
      <c r="AC200" s="2"/>
      <c r="AD200" s="2"/>
      <c r="AE200" s="2"/>
      <c r="AF200" s="2"/>
      <c r="AG200" s="2"/>
      <c r="AH200" s="2"/>
      <c r="AI200" s="2"/>
      <c r="AJ200" s="2"/>
      <c r="AK200" s="2"/>
      <c r="AL200" s="2"/>
      <c r="AM200" s="2"/>
      <c r="AN200" s="2"/>
    </row>
    <row r="201" spans="27:40" s="235" customFormat="1" x14ac:dyDescent="0.25">
      <c r="AA201" s="345"/>
      <c r="AB201" s="267"/>
      <c r="AC201" s="2"/>
      <c r="AD201" s="2"/>
      <c r="AE201" s="2"/>
      <c r="AF201" s="2"/>
      <c r="AG201" s="2"/>
      <c r="AH201" s="2"/>
      <c r="AI201" s="2"/>
      <c r="AJ201" s="2"/>
      <c r="AK201" s="2"/>
      <c r="AL201" s="2"/>
      <c r="AM201" s="2"/>
      <c r="AN201" s="2"/>
    </row>
    <row r="202" spans="27:40" s="235" customFormat="1" x14ac:dyDescent="0.25">
      <c r="AA202" s="345"/>
      <c r="AB202" s="267"/>
      <c r="AC202" s="2"/>
      <c r="AD202" s="2"/>
      <c r="AE202" s="2"/>
      <c r="AF202" s="2"/>
      <c r="AG202" s="2"/>
      <c r="AH202" s="2"/>
      <c r="AI202" s="2"/>
      <c r="AJ202" s="2"/>
      <c r="AK202" s="2"/>
      <c r="AL202" s="2"/>
      <c r="AM202" s="2"/>
      <c r="AN202" s="2"/>
    </row>
    <row r="203" spans="27:40" s="235" customFormat="1" x14ac:dyDescent="0.25">
      <c r="AA203" s="345"/>
      <c r="AB203" s="267"/>
      <c r="AC203" s="2"/>
      <c r="AD203" s="2"/>
      <c r="AE203" s="2"/>
      <c r="AF203" s="2"/>
      <c r="AG203" s="2"/>
      <c r="AH203" s="2"/>
      <c r="AI203" s="2"/>
      <c r="AJ203" s="2"/>
      <c r="AK203" s="2"/>
      <c r="AL203" s="2"/>
      <c r="AM203" s="2"/>
      <c r="AN203" s="2"/>
    </row>
    <row r="204" spans="27:40" s="235" customFormat="1" x14ac:dyDescent="0.25">
      <c r="AA204" s="345"/>
      <c r="AB204" s="267"/>
      <c r="AC204" s="2"/>
      <c r="AD204" s="2"/>
      <c r="AE204" s="2"/>
      <c r="AF204" s="2"/>
      <c r="AG204" s="2"/>
      <c r="AH204" s="2"/>
      <c r="AI204" s="2"/>
      <c r="AJ204" s="2"/>
      <c r="AK204" s="2"/>
      <c r="AL204" s="2"/>
      <c r="AM204" s="2"/>
      <c r="AN204" s="2"/>
    </row>
    <row r="205" spans="27:40" s="235" customFormat="1" x14ac:dyDescent="0.25">
      <c r="AA205" s="345"/>
      <c r="AB205" s="267"/>
      <c r="AC205" s="2"/>
      <c r="AD205" s="2"/>
      <c r="AE205" s="2"/>
      <c r="AF205" s="2"/>
      <c r="AG205" s="2"/>
      <c r="AH205" s="2"/>
      <c r="AI205" s="2"/>
      <c r="AJ205" s="2"/>
      <c r="AK205" s="2"/>
      <c r="AL205" s="2"/>
      <c r="AM205" s="2"/>
      <c r="AN205" s="2"/>
    </row>
    <row r="206" spans="27:40" s="235" customFormat="1" x14ac:dyDescent="0.25">
      <c r="AA206" s="345"/>
      <c r="AB206" s="267"/>
      <c r="AC206" s="2"/>
      <c r="AD206" s="2"/>
      <c r="AE206" s="2"/>
      <c r="AF206" s="2"/>
      <c r="AG206" s="2"/>
      <c r="AH206" s="2"/>
      <c r="AI206" s="2"/>
      <c r="AJ206" s="2"/>
      <c r="AK206" s="2"/>
      <c r="AL206" s="2"/>
      <c r="AM206" s="2"/>
      <c r="AN206" s="2"/>
    </row>
    <row r="207" spans="27:40" s="235" customFormat="1" x14ac:dyDescent="0.25">
      <c r="AA207" s="345"/>
      <c r="AB207" s="267"/>
      <c r="AC207" s="2"/>
      <c r="AD207" s="2"/>
      <c r="AE207" s="2"/>
      <c r="AF207" s="2"/>
      <c r="AG207" s="2"/>
      <c r="AH207" s="2"/>
      <c r="AI207" s="2"/>
      <c r="AJ207" s="2"/>
      <c r="AK207" s="2"/>
      <c r="AL207" s="2"/>
      <c r="AM207" s="2"/>
      <c r="AN207" s="2"/>
    </row>
    <row r="208" spans="27:40" s="235" customFormat="1" x14ac:dyDescent="0.25">
      <c r="AA208" s="345"/>
      <c r="AB208" s="267"/>
      <c r="AC208" s="2"/>
      <c r="AD208" s="2"/>
      <c r="AE208" s="2"/>
      <c r="AF208" s="2"/>
      <c r="AG208" s="2"/>
      <c r="AH208" s="2"/>
      <c r="AI208" s="2"/>
      <c r="AJ208" s="2"/>
      <c r="AK208" s="2"/>
      <c r="AL208" s="2"/>
      <c r="AM208" s="2"/>
      <c r="AN208" s="2"/>
    </row>
    <row r="209" spans="27:40" s="235" customFormat="1" x14ac:dyDescent="0.25">
      <c r="AA209" s="345"/>
      <c r="AB209" s="267"/>
      <c r="AC209" s="2"/>
      <c r="AD209" s="2"/>
      <c r="AE209" s="2"/>
      <c r="AF209" s="2"/>
      <c r="AG209" s="2"/>
      <c r="AH209" s="2"/>
      <c r="AI209" s="2"/>
      <c r="AJ209" s="2"/>
      <c r="AK209" s="2"/>
      <c r="AL209" s="2"/>
      <c r="AM209" s="2"/>
      <c r="AN209" s="2"/>
    </row>
    <row r="210" spans="27:40" s="235" customFormat="1" x14ac:dyDescent="0.25">
      <c r="AA210" s="345"/>
      <c r="AB210" s="267"/>
      <c r="AC210" s="2"/>
      <c r="AD210" s="2"/>
      <c r="AE210" s="2"/>
      <c r="AF210" s="2"/>
      <c r="AG210" s="2"/>
      <c r="AH210" s="2"/>
      <c r="AI210" s="2"/>
      <c r="AJ210" s="2"/>
      <c r="AK210" s="2"/>
      <c r="AL210" s="2"/>
      <c r="AM210" s="2"/>
      <c r="AN210" s="2"/>
    </row>
    <row r="211" spans="27:40" s="235" customFormat="1" x14ac:dyDescent="0.25">
      <c r="AA211" s="345"/>
      <c r="AB211" s="267"/>
      <c r="AC211" s="2"/>
      <c r="AD211" s="2"/>
      <c r="AE211" s="2"/>
      <c r="AF211" s="2"/>
      <c r="AG211" s="2"/>
      <c r="AH211" s="2"/>
      <c r="AI211" s="2"/>
      <c r="AJ211" s="2"/>
      <c r="AK211" s="2"/>
      <c r="AL211" s="2"/>
      <c r="AM211" s="2"/>
      <c r="AN211" s="2"/>
    </row>
    <row r="212" spans="27:40" s="235" customFormat="1" x14ac:dyDescent="0.25">
      <c r="AA212" s="345"/>
      <c r="AB212" s="267"/>
      <c r="AC212" s="2"/>
      <c r="AD212" s="2"/>
      <c r="AE212" s="2"/>
      <c r="AF212" s="2"/>
      <c r="AG212" s="2"/>
      <c r="AH212" s="2"/>
      <c r="AI212" s="2"/>
      <c r="AJ212" s="2"/>
      <c r="AK212" s="2"/>
      <c r="AL212" s="2"/>
      <c r="AM212" s="2"/>
      <c r="AN212" s="2"/>
    </row>
    <row r="213" spans="27:40" s="235" customFormat="1" x14ac:dyDescent="0.25">
      <c r="AA213" s="345"/>
      <c r="AB213" s="267"/>
      <c r="AC213" s="2"/>
      <c r="AD213" s="2"/>
      <c r="AE213" s="2"/>
      <c r="AF213" s="2"/>
      <c r="AG213" s="2"/>
      <c r="AH213" s="2"/>
      <c r="AI213" s="2"/>
      <c r="AJ213" s="2"/>
      <c r="AK213" s="2"/>
      <c r="AL213" s="2"/>
      <c r="AM213" s="2"/>
      <c r="AN213" s="2"/>
    </row>
    <row r="214" spans="27:40" s="235" customFormat="1" x14ac:dyDescent="0.25">
      <c r="AA214" s="345"/>
      <c r="AB214" s="267"/>
      <c r="AC214" s="2"/>
      <c r="AD214" s="2"/>
      <c r="AE214" s="2"/>
      <c r="AF214" s="2"/>
      <c r="AG214" s="2"/>
      <c r="AH214" s="2"/>
      <c r="AI214" s="2"/>
      <c r="AJ214" s="2"/>
      <c r="AK214" s="2"/>
      <c r="AL214" s="2"/>
      <c r="AM214" s="2"/>
      <c r="AN214" s="2"/>
    </row>
    <row r="215" spans="27:40" s="235" customFormat="1" x14ac:dyDescent="0.25">
      <c r="AA215" s="345"/>
      <c r="AB215" s="267"/>
      <c r="AC215" s="2"/>
      <c r="AD215" s="2"/>
      <c r="AE215" s="2"/>
      <c r="AF215" s="2"/>
      <c r="AG215" s="2"/>
      <c r="AH215" s="2"/>
      <c r="AI215" s="2"/>
      <c r="AJ215" s="2"/>
      <c r="AK215" s="2"/>
      <c r="AL215" s="2"/>
      <c r="AM215" s="2"/>
      <c r="AN215" s="2"/>
    </row>
    <row r="216" spans="27:40" s="235" customFormat="1" x14ac:dyDescent="0.25">
      <c r="AA216" s="345"/>
      <c r="AB216" s="267"/>
      <c r="AC216" s="2"/>
      <c r="AD216" s="2"/>
      <c r="AE216" s="2"/>
      <c r="AF216" s="2"/>
      <c r="AG216" s="2"/>
      <c r="AH216" s="2"/>
      <c r="AI216" s="2"/>
      <c r="AJ216" s="2"/>
      <c r="AK216" s="2"/>
      <c r="AL216" s="2"/>
      <c r="AM216" s="2"/>
      <c r="AN216" s="2"/>
    </row>
    <row r="217" spans="27:40" s="235" customFormat="1" x14ac:dyDescent="0.25">
      <c r="AA217" s="345"/>
      <c r="AB217" s="267"/>
      <c r="AC217" s="2"/>
      <c r="AD217" s="2"/>
      <c r="AE217" s="2"/>
      <c r="AF217" s="2"/>
      <c r="AG217" s="2"/>
      <c r="AH217" s="2"/>
      <c r="AI217" s="2"/>
      <c r="AJ217" s="2"/>
      <c r="AK217" s="2"/>
      <c r="AL217" s="2"/>
      <c r="AM217" s="2"/>
      <c r="AN217" s="2"/>
    </row>
    <row r="218" spans="27:40" s="235" customFormat="1" x14ac:dyDescent="0.25">
      <c r="AA218" s="345"/>
      <c r="AB218" s="267"/>
      <c r="AC218" s="2"/>
      <c r="AD218" s="2"/>
      <c r="AE218" s="2"/>
      <c r="AF218" s="2"/>
      <c r="AG218" s="2"/>
      <c r="AH218" s="2"/>
      <c r="AI218" s="2"/>
      <c r="AJ218" s="2"/>
      <c r="AK218" s="2"/>
      <c r="AL218" s="2"/>
      <c r="AM218" s="2"/>
      <c r="AN218" s="2"/>
    </row>
    <row r="219" spans="27:40" s="235" customFormat="1" x14ac:dyDescent="0.25">
      <c r="AA219" s="345"/>
      <c r="AB219" s="267"/>
      <c r="AC219" s="2"/>
      <c r="AD219" s="2"/>
      <c r="AE219" s="2"/>
      <c r="AF219" s="2"/>
      <c r="AG219" s="2"/>
      <c r="AH219" s="2"/>
      <c r="AI219" s="2"/>
      <c r="AJ219" s="2"/>
      <c r="AK219" s="2"/>
      <c r="AL219" s="2"/>
      <c r="AM219" s="2"/>
      <c r="AN219" s="2"/>
    </row>
    <row r="220" spans="27:40" s="235" customFormat="1" x14ac:dyDescent="0.25">
      <c r="AA220" s="345"/>
      <c r="AB220" s="267"/>
      <c r="AC220" s="2"/>
      <c r="AD220" s="2"/>
      <c r="AE220" s="2"/>
      <c r="AF220" s="2"/>
      <c r="AG220" s="2"/>
      <c r="AH220" s="2"/>
      <c r="AI220" s="2"/>
      <c r="AJ220" s="2"/>
      <c r="AK220" s="2"/>
      <c r="AL220" s="2"/>
      <c r="AM220" s="2"/>
      <c r="AN220" s="2"/>
    </row>
    <row r="221" spans="27:40" s="235" customFormat="1" x14ac:dyDescent="0.25">
      <c r="AA221" s="345"/>
      <c r="AB221" s="267"/>
      <c r="AC221" s="2"/>
      <c r="AD221" s="2"/>
      <c r="AE221" s="2"/>
      <c r="AF221" s="2"/>
      <c r="AG221" s="2"/>
      <c r="AH221" s="2"/>
      <c r="AI221" s="2"/>
      <c r="AJ221" s="2"/>
      <c r="AK221" s="2"/>
      <c r="AL221" s="2"/>
      <c r="AM221" s="2"/>
      <c r="AN221" s="2"/>
    </row>
    <row r="222" spans="27:40" s="235" customFormat="1" x14ac:dyDescent="0.25">
      <c r="AA222" s="345"/>
      <c r="AB222" s="267"/>
      <c r="AC222" s="2"/>
      <c r="AD222" s="2"/>
      <c r="AE222" s="2"/>
      <c r="AF222" s="2"/>
      <c r="AG222" s="2"/>
      <c r="AH222" s="2"/>
      <c r="AI222" s="2"/>
      <c r="AJ222" s="2"/>
      <c r="AK222" s="2"/>
      <c r="AL222" s="2"/>
      <c r="AM222" s="2"/>
      <c r="AN222" s="2"/>
    </row>
    <row r="223" spans="27:40" s="235" customFormat="1" x14ac:dyDescent="0.25">
      <c r="AA223" s="345"/>
      <c r="AB223" s="267"/>
      <c r="AC223" s="2"/>
      <c r="AD223" s="2"/>
      <c r="AE223" s="2"/>
      <c r="AF223" s="2"/>
      <c r="AG223" s="2"/>
      <c r="AH223" s="2"/>
      <c r="AI223" s="2"/>
      <c r="AJ223" s="2"/>
      <c r="AK223" s="2"/>
      <c r="AL223" s="2"/>
      <c r="AM223" s="2"/>
      <c r="AN223" s="2"/>
    </row>
    <row r="224" spans="27:40" s="235" customFormat="1" x14ac:dyDescent="0.25">
      <c r="AA224" s="345"/>
      <c r="AB224" s="267"/>
      <c r="AC224" s="2"/>
      <c r="AD224" s="2"/>
      <c r="AE224" s="2"/>
      <c r="AF224" s="2"/>
      <c r="AG224" s="2"/>
      <c r="AH224" s="2"/>
      <c r="AI224" s="2"/>
      <c r="AJ224" s="2"/>
      <c r="AK224" s="2"/>
      <c r="AL224" s="2"/>
      <c r="AM224" s="2"/>
      <c r="AN224" s="2"/>
    </row>
    <row r="225" spans="27:40" s="235" customFormat="1" x14ac:dyDescent="0.25">
      <c r="AA225" s="345"/>
      <c r="AB225" s="267"/>
      <c r="AC225" s="2"/>
      <c r="AD225" s="2"/>
      <c r="AE225" s="2"/>
      <c r="AF225" s="2"/>
      <c r="AG225" s="2"/>
      <c r="AH225" s="2"/>
      <c r="AI225" s="2"/>
      <c r="AJ225" s="2"/>
      <c r="AK225" s="2"/>
      <c r="AL225" s="2"/>
      <c r="AM225" s="2"/>
      <c r="AN225" s="2"/>
    </row>
    <row r="226" spans="27:40" s="235" customFormat="1" x14ac:dyDescent="0.25">
      <c r="AA226" s="345"/>
      <c r="AB226" s="267"/>
      <c r="AC226" s="2"/>
      <c r="AD226" s="2"/>
      <c r="AE226" s="2"/>
      <c r="AF226" s="2"/>
      <c r="AG226" s="2"/>
      <c r="AH226" s="2"/>
      <c r="AI226" s="2"/>
      <c r="AJ226" s="2"/>
      <c r="AK226" s="2"/>
      <c r="AL226" s="2"/>
      <c r="AM226" s="2"/>
      <c r="AN226" s="2"/>
    </row>
    <row r="227" spans="27:40" s="235" customFormat="1" x14ac:dyDescent="0.25">
      <c r="AA227" s="345"/>
      <c r="AB227" s="267"/>
      <c r="AC227" s="2"/>
      <c r="AD227" s="2"/>
      <c r="AE227" s="2"/>
      <c r="AF227" s="2"/>
      <c r="AG227" s="2"/>
      <c r="AH227" s="2"/>
      <c r="AI227" s="2"/>
      <c r="AJ227" s="2"/>
      <c r="AK227" s="2"/>
      <c r="AL227" s="2"/>
      <c r="AM227" s="2"/>
      <c r="AN227" s="2"/>
    </row>
    <row r="228" spans="27:40" s="235" customFormat="1" x14ac:dyDescent="0.25">
      <c r="AA228" s="345"/>
      <c r="AB228" s="267"/>
      <c r="AC228" s="2"/>
      <c r="AD228" s="2"/>
      <c r="AE228" s="2"/>
      <c r="AF228" s="2"/>
      <c r="AG228" s="2"/>
      <c r="AH228" s="2"/>
      <c r="AI228" s="2"/>
      <c r="AJ228" s="2"/>
      <c r="AK228" s="2"/>
      <c r="AL228" s="2"/>
      <c r="AM228" s="2"/>
      <c r="AN228" s="2"/>
    </row>
    <row r="229" spans="27:40" s="235" customFormat="1" x14ac:dyDescent="0.25">
      <c r="AA229" s="345"/>
      <c r="AB229" s="267"/>
      <c r="AC229" s="2"/>
      <c r="AD229" s="2"/>
      <c r="AE229" s="2"/>
      <c r="AF229" s="2"/>
      <c r="AG229" s="2"/>
      <c r="AH229" s="2"/>
      <c r="AI229" s="2"/>
      <c r="AJ229" s="2"/>
      <c r="AK229" s="2"/>
      <c r="AL229" s="2"/>
      <c r="AM229" s="2"/>
      <c r="AN229" s="2"/>
    </row>
    <row r="230" spans="27:40" s="235" customFormat="1" x14ac:dyDescent="0.25">
      <c r="AA230" s="345"/>
      <c r="AB230" s="267"/>
      <c r="AC230" s="2"/>
      <c r="AD230" s="2"/>
      <c r="AE230" s="2"/>
      <c r="AF230" s="2"/>
      <c r="AG230" s="2"/>
      <c r="AH230" s="2"/>
      <c r="AI230" s="2"/>
      <c r="AJ230" s="2"/>
      <c r="AK230" s="2"/>
      <c r="AL230" s="2"/>
      <c r="AM230" s="2"/>
      <c r="AN230" s="2"/>
    </row>
    <row r="231" spans="27:40" s="235" customFormat="1" x14ac:dyDescent="0.25">
      <c r="AA231" s="345"/>
      <c r="AB231" s="267"/>
      <c r="AC231" s="2"/>
      <c r="AD231" s="2"/>
      <c r="AE231" s="2"/>
      <c r="AF231" s="2"/>
      <c r="AG231" s="2"/>
      <c r="AH231" s="2"/>
      <c r="AI231" s="2"/>
      <c r="AJ231" s="2"/>
      <c r="AK231" s="2"/>
      <c r="AL231" s="2"/>
      <c r="AM231" s="2"/>
      <c r="AN231" s="2"/>
    </row>
    <row r="232" spans="27:40" s="235" customFormat="1" x14ac:dyDescent="0.25">
      <c r="AA232" s="345"/>
      <c r="AB232" s="267"/>
      <c r="AC232" s="2"/>
      <c r="AD232" s="2"/>
      <c r="AE232" s="2"/>
      <c r="AF232" s="2"/>
      <c r="AG232" s="2"/>
      <c r="AH232" s="2"/>
      <c r="AI232" s="2"/>
      <c r="AJ232" s="2"/>
      <c r="AK232" s="2"/>
      <c r="AL232" s="2"/>
      <c r="AM232" s="2"/>
      <c r="AN232" s="2"/>
    </row>
    <row r="233" spans="27:40" s="235" customFormat="1" x14ac:dyDescent="0.25">
      <c r="AA233" s="345"/>
      <c r="AB233" s="267"/>
      <c r="AC233" s="2"/>
      <c r="AD233" s="2"/>
      <c r="AE233" s="2"/>
      <c r="AF233" s="2"/>
      <c r="AG233" s="2"/>
      <c r="AH233" s="2"/>
      <c r="AI233" s="2"/>
      <c r="AJ233" s="2"/>
      <c r="AK233" s="2"/>
      <c r="AL233" s="2"/>
      <c r="AM233" s="2"/>
      <c r="AN233" s="2"/>
    </row>
    <row r="234" spans="27:40" s="235" customFormat="1" x14ac:dyDescent="0.25">
      <c r="AA234" s="345"/>
      <c r="AB234" s="267"/>
      <c r="AC234" s="2"/>
      <c r="AD234" s="2"/>
      <c r="AE234" s="2"/>
      <c r="AF234" s="2"/>
      <c r="AG234" s="2"/>
      <c r="AH234" s="2"/>
      <c r="AI234" s="2"/>
      <c r="AJ234" s="2"/>
      <c r="AK234" s="2"/>
      <c r="AL234" s="2"/>
      <c r="AM234" s="2"/>
      <c r="AN234" s="2"/>
    </row>
    <row r="235" spans="27:40" s="235" customFormat="1" x14ac:dyDescent="0.25">
      <c r="AA235" s="345"/>
      <c r="AB235" s="267"/>
      <c r="AC235" s="2"/>
      <c r="AD235" s="2"/>
      <c r="AE235" s="2"/>
      <c r="AF235" s="2"/>
      <c r="AG235" s="2"/>
      <c r="AH235" s="2"/>
      <c r="AI235" s="2"/>
      <c r="AJ235" s="2"/>
      <c r="AK235" s="2"/>
      <c r="AL235" s="2"/>
      <c r="AM235" s="2"/>
      <c r="AN235" s="2"/>
    </row>
    <row r="236" spans="27:40" s="235" customFormat="1" x14ac:dyDescent="0.25">
      <c r="AA236" s="345"/>
      <c r="AB236" s="267"/>
      <c r="AC236" s="2"/>
      <c r="AD236" s="2"/>
      <c r="AE236" s="2"/>
      <c r="AF236" s="2"/>
      <c r="AG236" s="2"/>
      <c r="AH236" s="2"/>
      <c r="AI236" s="2"/>
      <c r="AJ236" s="2"/>
      <c r="AK236" s="2"/>
      <c r="AL236" s="2"/>
      <c r="AM236" s="2"/>
      <c r="AN236" s="2"/>
    </row>
    <row r="237" spans="27:40" s="235" customFormat="1" x14ac:dyDescent="0.25">
      <c r="AA237" s="345"/>
      <c r="AB237" s="267"/>
      <c r="AC237" s="2"/>
      <c r="AD237" s="2"/>
      <c r="AE237" s="2"/>
      <c r="AF237" s="2"/>
      <c r="AG237" s="2"/>
      <c r="AH237" s="2"/>
      <c r="AI237" s="2"/>
      <c r="AJ237" s="2"/>
      <c r="AK237" s="2"/>
      <c r="AL237" s="2"/>
      <c r="AM237" s="2"/>
      <c r="AN237" s="2"/>
    </row>
    <row r="238" spans="27:40" s="235" customFormat="1" x14ac:dyDescent="0.25">
      <c r="AA238" s="345"/>
      <c r="AB238" s="267"/>
      <c r="AC238" s="2"/>
      <c r="AD238" s="2"/>
      <c r="AE238" s="2"/>
      <c r="AF238" s="2"/>
      <c r="AG238" s="2"/>
      <c r="AH238" s="2"/>
      <c r="AI238" s="2"/>
      <c r="AJ238" s="2"/>
      <c r="AK238" s="2"/>
      <c r="AL238" s="2"/>
      <c r="AM238" s="2"/>
      <c r="AN238" s="2"/>
    </row>
    <row r="239" spans="27:40" s="235" customFormat="1" x14ac:dyDescent="0.25">
      <c r="AA239" s="345"/>
      <c r="AB239" s="267"/>
      <c r="AC239" s="2"/>
      <c r="AD239" s="2"/>
      <c r="AE239" s="2"/>
      <c r="AF239" s="2"/>
      <c r="AG239" s="2"/>
      <c r="AH239" s="2"/>
      <c r="AI239" s="2"/>
      <c r="AJ239" s="2"/>
      <c r="AK239" s="2"/>
      <c r="AL239" s="2"/>
      <c r="AM239" s="2"/>
      <c r="AN239" s="2"/>
    </row>
    <row r="240" spans="27:40" s="235" customFormat="1" x14ac:dyDescent="0.25">
      <c r="AA240" s="345"/>
      <c r="AB240" s="267"/>
      <c r="AC240" s="2"/>
      <c r="AD240" s="2"/>
      <c r="AE240" s="2"/>
      <c r="AF240" s="2"/>
      <c r="AG240" s="2"/>
      <c r="AH240" s="2"/>
      <c r="AI240" s="2"/>
      <c r="AJ240" s="2"/>
      <c r="AK240" s="2"/>
      <c r="AL240" s="2"/>
      <c r="AM240" s="2"/>
      <c r="AN240" s="2"/>
    </row>
    <row r="241" spans="27:40" s="235" customFormat="1" x14ac:dyDescent="0.25">
      <c r="AA241" s="345"/>
      <c r="AB241" s="267"/>
      <c r="AC241" s="2"/>
      <c r="AD241" s="2"/>
      <c r="AE241" s="2"/>
      <c r="AF241" s="2"/>
      <c r="AG241" s="2"/>
      <c r="AH241" s="2"/>
      <c r="AI241" s="2"/>
      <c r="AJ241" s="2"/>
      <c r="AK241" s="2"/>
      <c r="AL241" s="2"/>
      <c r="AM241" s="2"/>
      <c r="AN241" s="2"/>
    </row>
    <row r="242" spans="27:40" s="235" customFormat="1" x14ac:dyDescent="0.25">
      <c r="AA242" s="345"/>
      <c r="AB242" s="267"/>
      <c r="AC242" s="2"/>
      <c r="AD242" s="2"/>
      <c r="AE242" s="2"/>
      <c r="AF242" s="2"/>
      <c r="AG242" s="2"/>
      <c r="AH242" s="2"/>
      <c r="AI242" s="2"/>
      <c r="AJ242" s="2"/>
      <c r="AK242" s="2"/>
      <c r="AL242" s="2"/>
      <c r="AM242" s="2"/>
      <c r="AN242" s="2"/>
    </row>
    <row r="243" spans="27:40" s="235" customFormat="1" x14ac:dyDescent="0.25">
      <c r="AA243" s="345"/>
      <c r="AB243" s="267"/>
      <c r="AC243" s="2"/>
      <c r="AD243" s="2"/>
      <c r="AE243" s="2"/>
      <c r="AF243" s="2"/>
      <c r="AG243" s="2"/>
      <c r="AH243" s="2"/>
      <c r="AI243" s="2"/>
      <c r="AJ243" s="2"/>
      <c r="AK243" s="2"/>
      <c r="AL243" s="2"/>
      <c r="AM243" s="2"/>
      <c r="AN243" s="2"/>
    </row>
    <row r="244" spans="27:40" s="235" customFormat="1" x14ac:dyDescent="0.25">
      <c r="AA244" s="345"/>
      <c r="AB244" s="267"/>
      <c r="AC244" s="2"/>
      <c r="AD244" s="2"/>
      <c r="AE244" s="2"/>
      <c r="AF244" s="2"/>
      <c r="AG244" s="2"/>
      <c r="AH244" s="2"/>
      <c r="AI244" s="2"/>
      <c r="AJ244" s="2"/>
      <c r="AK244" s="2"/>
      <c r="AL244" s="2"/>
      <c r="AM244" s="2"/>
      <c r="AN244" s="2"/>
    </row>
    <row r="245" spans="27:40" s="235" customFormat="1" x14ac:dyDescent="0.25">
      <c r="AA245" s="345"/>
      <c r="AB245" s="267"/>
      <c r="AC245" s="2"/>
      <c r="AD245" s="2"/>
      <c r="AE245" s="2"/>
      <c r="AF245" s="2"/>
      <c r="AG245" s="2"/>
      <c r="AH245" s="2"/>
      <c r="AI245" s="2"/>
      <c r="AJ245" s="2"/>
      <c r="AK245" s="2"/>
      <c r="AL245" s="2"/>
      <c r="AM245" s="2"/>
      <c r="AN245" s="2"/>
    </row>
    <row r="246" spans="27:40" s="235" customFormat="1" x14ac:dyDescent="0.25">
      <c r="AA246" s="345"/>
      <c r="AB246" s="267"/>
      <c r="AC246" s="2"/>
      <c r="AD246" s="2"/>
      <c r="AE246" s="2"/>
      <c r="AF246" s="2"/>
      <c r="AG246" s="2"/>
      <c r="AH246" s="2"/>
      <c r="AI246" s="2"/>
      <c r="AJ246" s="2"/>
      <c r="AK246" s="2"/>
      <c r="AL246" s="2"/>
      <c r="AM246" s="2"/>
      <c r="AN246" s="2"/>
    </row>
    <row r="247" spans="27:40" s="235" customFormat="1" x14ac:dyDescent="0.25">
      <c r="AA247" s="345"/>
      <c r="AB247" s="267"/>
      <c r="AC247" s="2"/>
      <c r="AD247" s="2"/>
      <c r="AE247" s="2"/>
      <c r="AF247" s="2"/>
      <c r="AG247" s="2"/>
      <c r="AH247" s="2"/>
      <c r="AI247" s="2"/>
      <c r="AJ247" s="2"/>
      <c r="AK247" s="2"/>
      <c r="AL247" s="2"/>
      <c r="AM247" s="2"/>
      <c r="AN247" s="2"/>
    </row>
    <row r="248" spans="27:40" s="235" customFormat="1" x14ac:dyDescent="0.25">
      <c r="AA248" s="345"/>
      <c r="AB248" s="267"/>
      <c r="AC248" s="2"/>
      <c r="AD248" s="2"/>
      <c r="AE248" s="2"/>
      <c r="AF248" s="2"/>
      <c r="AG248" s="2"/>
      <c r="AH248" s="2"/>
      <c r="AI248" s="2"/>
      <c r="AJ248" s="2"/>
      <c r="AK248" s="2"/>
      <c r="AL248" s="2"/>
      <c r="AM248" s="2"/>
      <c r="AN248" s="2"/>
    </row>
    <row r="249" spans="27:40" s="235" customFormat="1" x14ac:dyDescent="0.25">
      <c r="AA249" s="345"/>
      <c r="AB249" s="267"/>
      <c r="AC249" s="2"/>
      <c r="AD249" s="2"/>
      <c r="AE249" s="2"/>
      <c r="AF249" s="2"/>
      <c r="AG249" s="2"/>
      <c r="AH249" s="2"/>
      <c r="AI249" s="2"/>
      <c r="AJ249" s="2"/>
      <c r="AK249" s="2"/>
      <c r="AL249" s="2"/>
      <c r="AM249" s="2"/>
      <c r="AN249" s="2"/>
    </row>
    <row r="250" spans="27:40" s="235" customFormat="1" x14ac:dyDescent="0.25">
      <c r="AA250" s="345"/>
      <c r="AB250" s="267"/>
      <c r="AC250" s="2"/>
      <c r="AD250" s="2"/>
      <c r="AE250" s="2"/>
      <c r="AF250" s="2"/>
      <c r="AG250" s="2"/>
      <c r="AH250" s="2"/>
      <c r="AI250" s="2"/>
      <c r="AJ250" s="2"/>
      <c r="AK250" s="2"/>
      <c r="AL250" s="2"/>
      <c r="AM250" s="2"/>
      <c r="AN250" s="2"/>
    </row>
    <row r="251" spans="27:40" s="235" customFormat="1" x14ac:dyDescent="0.25">
      <c r="AA251" s="345"/>
      <c r="AB251" s="267"/>
      <c r="AC251" s="2"/>
      <c r="AD251" s="2"/>
      <c r="AE251" s="2"/>
      <c r="AF251" s="2"/>
      <c r="AG251" s="2"/>
      <c r="AH251" s="2"/>
      <c r="AI251" s="2"/>
      <c r="AJ251" s="2"/>
      <c r="AK251" s="2"/>
      <c r="AL251" s="2"/>
      <c r="AM251" s="2"/>
      <c r="AN251" s="2"/>
    </row>
    <row r="252" spans="27:40" s="235" customFormat="1" x14ac:dyDescent="0.25">
      <c r="AA252" s="345"/>
      <c r="AB252" s="267"/>
      <c r="AC252" s="2"/>
      <c r="AD252" s="2"/>
      <c r="AE252" s="2"/>
      <c r="AF252" s="2"/>
      <c r="AG252" s="2"/>
      <c r="AH252" s="2"/>
      <c r="AI252" s="2"/>
      <c r="AJ252" s="2"/>
      <c r="AK252" s="2"/>
      <c r="AL252" s="2"/>
      <c r="AM252" s="2"/>
      <c r="AN252" s="2"/>
    </row>
    <row r="253" spans="27:40" s="235" customFormat="1" x14ac:dyDescent="0.25">
      <c r="AA253" s="345"/>
      <c r="AB253" s="267"/>
      <c r="AC253" s="2"/>
      <c r="AD253" s="2"/>
      <c r="AE253" s="2"/>
      <c r="AF253" s="2"/>
      <c r="AG253" s="2"/>
      <c r="AH253" s="2"/>
      <c r="AI253" s="2"/>
      <c r="AJ253" s="2"/>
      <c r="AK253" s="2"/>
      <c r="AL253" s="2"/>
      <c r="AM253" s="2"/>
      <c r="AN253" s="2"/>
    </row>
    <row r="254" spans="27:40" s="235" customFormat="1" x14ac:dyDescent="0.25">
      <c r="AA254" s="345"/>
      <c r="AB254" s="267"/>
      <c r="AC254" s="2"/>
      <c r="AD254" s="2"/>
      <c r="AE254" s="2"/>
      <c r="AF254" s="2"/>
      <c r="AG254" s="2"/>
      <c r="AH254" s="2"/>
      <c r="AI254" s="2"/>
      <c r="AJ254" s="2"/>
      <c r="AK254" s="2"/>
      <c r="AL254" s="2"/>
      <c r="AM254" s="2"/>
      <c r="AN254" s="2"/>
    </row>
    <row r="255" spans="27:40" s="235" customFormat="1" x14ac:dyDescent="0.25">
      <c r="AA255" s="345"/>
      <c r="AB255" s="267"/>
      <c r="AC255" s="2"/>
      <c r="AD255" s="2"/>
      <c r="AE255" s="2"/>
      <c r="AF255" s="2"/>
      <c r="AG255" s="2"/>
      <c r="AH255" s="2"/>
      <c r="AI255" s="2"/>
      <c r="AJ255" s="2"/>
      <c r="AK255" s="2"/>
      <c r="AL255" s="2"/>
      <c r="AM255" s="2"/>
      <c r="AN255" s="2"/>
    </row>
    <row r="256" spans="27:40" s="235" customFormat="1" x14ac:dyDescent="0.25">
      <c r="AA256" s="345"/>
      <c r="AB256" s="267"/>
      <c r="AC256" s="2"/>
      <c r="AD256" s="2"/>
      <c r="AE256" s="2"/>
      <c r="AF256" s="2"/>
      <c r="AG256" s="2"/>
      <c r="AH256" s="2"/>
      <c r="AI256" s="2"/>
      <c r="AJ256" s="2"/>
      <c r="AK256" s="2"/>
      <c r="AL256" s="2"/>
      <c r="AM256" s="2"/>
      <c r="AN256" s="2"/>
    </row>
    <row r="257" spans="27:40" s="235" customFormat="1" x14ac:dyDescent="0.25">
      <c r="AA257" s="345"/>
      <c r="AB257" s="267"/>
      <c r="AC257" s="2"/>
      <c r="AD257" s="2"/>
      <c r="AE257" s="2"/>
      <c r="AF257" s="2"/>
      <c r="AG257" s="2"/>
      <c r="AH257" s="2"/>
      <c r="AI257" s="2"/>
      <c r="AJ257" s="2"/>
      <c r="AK257" s="2"/>
      <c r="AL257" s="2"/>
      <c r="AM257" s="2"/>
      <c r="AN257" s="2"/>
    </row>
    <row r="258" spans="27:40" s="235" customFormat="1" x14ac:dyDescent="0.25">
      <c r="AA258" s="345"/>
      <c r="AB258" s="267"/>
      <c r="AC258" s="2"/>
      <c r="AD258" s="2"/>
      <c r="AE258" s="2"/>
      <c r="AF258" s="2"/>
      <c r="AG258" s="2"/>
      <c r="AH258" s="2"/>
      <c r="AI258" s="2"/>
      <c r="AJ258" s="2"/>
      <c r="AK258" s="2"/>
      <c r="AL258" s="2"/>
      <c r="AM258" s="2"/>
      <c r="AN258" s="2"/>
    </row>
    <row r="259" spans="27:40" s="235" customFormat="1" x14ac:dyDescent="0.25">
      <c r="AA259" s="345"/>
      <c r="AB259" s="267"/>
      <c r="AC259" s="2"/>
      <c r="AD259" s="2"/>
      <c r="AE259" s="2"/>
      <c r="AF259" s="2"/>
      <c r="AG259" s="2"/>
      <c r="AH259" s="2"/>
      <c r="AI259" s="2"/>
      <c r="AJ259" s="2"/>
      <c r="AK259" s="2"/>
      <c r="AL259" s="2"/>
      <c r="AM259" s="2"/>
      <c r="AN259" s="2"/>
    </row>
    <row r="260" spans="27:40" s="235" customFormat="1" x14ac:dyDescent="0.25">
      <c r="AA260" s="345"/>
      <c r="AB260" s="267"/>
      <c r="AC260" s="2"/>
      <c r="AD260" s="2"/>
      <c r="AE260" s="2"/>
      <c r="AF260" s="2"/>
      <c r="AG260" s="2"/>
      <c r="AH260" s="2"/>
      <c r="AI260" s="2"/>
      <c r="AJ260" s="2"/>
      <c r="AK260" s="2"/>
      <c r="AL260" s="2"/>
      <c r="AM260" s="2"/>
      <c r="AN260" s="2"/>
    </row>
    <row r="261" spans="27:40" s="235" customFormat="1" x14ac:dyDescent="0.25">
      <c r="AA261" s="345"/>
      <c r="AB261" s="267"/>
      <c r="AC261" s="2"/>
      <c r="AD261" s="2"/>
      <c r="AE261" s="2"/>
      <c r="AF261" s="2"/>
      <c r="AG261" s="2"/>
      <c r="AH261" s="2"/>
      <c r="AI261" s="2"/>
      <c r="AJ261" s="2"/>
      <c r="AK261" s="2"/>
      <c r="AL261" s="2"/>
      <c r="AM261" s="2"/>
      <c r="AN261" s="2"/>
    </row>
    <row r="262" spans="27:40" s="235" customFormat="1" x14ac:dyDescent="0.25">
      <c r="AA262" s="345"/>
      <c r="AB262" s="267"/>
      <c r="AC262" s="2"/>
      <c r="AD262" s="2"/>
      <c r="AE262" s="2"/>
      <c r="AF262" s="2"/>
      <c r="AG262" s="2"/>
      <c r="AH262" s="2"/>
      <c r="AI262" s="2"/>
      <c r="AJ262" s="2"/>
      <c r="AK262" s="2"/>
      <c r="AL262" s="2"/>
      <c r="AM262" s="2"/>
      <c r="AN262" s="2"/>
    </row>
    <row r="263" spans="27:40" s="235" customFormat="1" x14ac:dyDescent="0.25">
      <c r="AA263" s="345"/>
      <c r="AB263" s="267"/>
      <c r="AC263" s="2"/>
      <c r="AD263" s="2"/>
      <c r="AE263" s="2"/>
      <c r="AF263" s="2"/>
      <c r="AG263" s="2"/>
      <c r="AH263" s="2"/>
      <c r="AI263" s="2"/>
      <c r="AJ263" s="2"/>
      <c r="AK263" s="2"/>
      <c r="AL263" s="2"/>
      <c r="AM263" s="2"/>
      <c r="AN263" s="2"/>
    </row>
    <row r="264" spans="27:40" s="235" customFormat="1" x14ac:dyDescent="0.25">
      <c r="AA264" s="345"/>
      <c r="AB264" s="267"/>
      <c r="AC264" s="2"/>
      <c r="AD264" s="2"/>
      <c r="AE264" s="2"/>
      <c r="AF264" s="2"/>
      <c r="AG264" s="2"/>
      <c r="AH264" s="2"/>
      <c r="AI264" s="2"/>
      <c r="AJ264" s="2"/>
      <c r="AK264" s="2"/>
      <c r="AL264" s="2"/>
      <c r="AM264" s="2"/>
      <c r="AN264" s="2"/>
    </row>
    <row r="265" spans="27:40" s="235" customFormat="1" x14ac:dyDescent="0.25">
      <c r="AA265" s="345"/>
      <c r="AB265" s="267"/>
      <c r="AC265" s="2"/>
      <c r="AD265" s="2"/>
      <c r="AE265" s="2"/>
      <c r="AF265" s="2"/>
      <c r="AG265" s="2"/>
      <c r="AH265" s="2"/>
      <c r="AI265" s="2"/>
      <c r="AJ265" s="2"/>
      <c r="AK265" s="2"/>
      <c r="AL265" s="2"/>
      <c r="AM265" s="2"/>
      <c r="AN265" s="2"/>
    </row>
    <row r="266" spans="27:40" s="235" customFormat="1" x14ac:dyDescent="0.25">
      <c r="AA266" s="345"/>
      <c r="AB266" s="267"/>
      <c r="AC266" s="2"/>
      <c r="AD266" s="2"/>
      <c r="AE266" s="2"/>
      <c r="AF266" s="2"/>
      <c r="AG266" s="2"/>
      <c r="AH266" s="2"/>
      <c r="AI266" s="2"/>
      <c r="AJ266" s="2"/>
      <c r="AK266" s="2"/>
      <c r="AL266" s="2"/>
      <c r="AM266" s="2"/>
      <c r="AN266" s="2"/>
    </row>
    <row r="267" spans="27:40" s="235" customFormat="1" x14ac:dyDescent="0.25">
      <c r="AA267" s="345"/>
      <c r="AB267" s="267"/>
      <c r="AC267" s="2"/>
      <c r="AD267" s="2"/>
      <c r="AE267" s="2"/>
      <c r="AF267" s="2"/>
      <c r="AG267" s="2"/>
      <c r="AH267" s="2"/>
      <c r="AI267" s="2"/>
      <c r="AJ267" s="2"/>
      <c r="AK267" s="2"/>
      <c r="AL267" s="2"/>
      <c r="AM267" s="2"/>
      <c r="AN267" s="2"/>
    </row>
    <row r="268" spans="27:40" s="235" customFormat="1" x14ac:dyDescent="0.25">
      <c r="AA268" s="345"/>
      <c r="AB268" s="267"/>
      <c r="AC268" s="2"/>
      <c r="AD268" s="2"/>
      <c r="AE268" s="2"/>
      <c r="AF268" s="2"/>
      <c r="AG268" s="2"/>
      <c r="AH268" s="2"/>
      <c r="AI268" s="2"/>
      <c r="AJ268" s="2"/>
      <c r="AK268" s="2"/>
      <c r="AL268" s="2"/>
      <c r="AM268" s="2"/>
      <c r="AN268" s="2"/>
    </row>
    <row r="269" spans="27:40" s="235" customFormat="1" x14ac:dyDescent="0.25">
      <c r="AA269" s="345"/>
      <c r="AB269" s="267"/>
      <c r="AC269" s="2"/>
      <c r="AD269" s="2"/>
      <c r="AE269" s="2"/>
      <c r="AF269" s="2"/>
      <c r="AG269" s="2"/>
      <c r="AH269" s="2"/>
      <c r="AI269" s="2"/>
      <c r="AJ269" s="2"/>
      <c r="AK269" s="2"/>
      <c r="AL269" s="2"/>
      <c r="AM269" s="2"/>
      <c r="AN269" s="2"/>
    </row>
    <row r="270" spans="27:40" s="235" customFormat="1" x14ac:dyDescent="0.25">
      <c r="AA270" s="345"/>
      <c r="AB270" s="267"/>
      <c r="AC270" s="2"/>
      <c r="AD270" s="2"/>
      <c r="AE270" s="2"/>
      <c r="AF270" s="2"/>
      <c r="AG270" s="2"/>
      <c r="AH270" s="2"/>
      <c r="AI270" s="2"/>
      <c r="AJ270" s="2"/>
      <c r="AK270" s="2"/>
      <c r="AL270" s="2"/>
      <c r="AM270" s="2"/>
      <c r="AN270" s="2"/>
    </row>
    <row r="271" spans="27:40" s="235" customFormat="1" x14ac:dyDescent="0.25">
      <c r="AA271" s="345"/>
      <c r="AB271" s="267"/>
      <c r="AC271" s="2"/>
      <c r="AD271" s="2"/>
      <c r="AE271" s="2"/>
      <c r="AF271" s="2"/>
      <c r="AG271" s="2"/>
      <c r="AH271" s="2"/>
      <c r="AI271" s="2"/>
      <c r="AJ271" s="2"/>
      <c r="AK271" s="2"/>
      <c r="AL271" s="2"/>
      <c r="AM271" s="2"/>
      <c r="AN271" s="2"/>
    </row>
    <row r="272" spans="27:40" s="235" customFormat="1" x14ac:dyDescent="0.25">
      <c r="AA272" s="345"/>
      <c r="AB272" s="267"/>
      <c r="AC272" s="2"/>
      <c r="AD272" s="2"/>
      <c r="AE272" s="2"/>
      <c r="AF272" s="2"/>
      <c r="AG272" s="2"/>
      <c r="AH272" s="2"/>
      <c r="AI272" s="2"/>
      <c r="AJ272" s="2"/>
      <c r="AK272" s="2"/>
      <c r="AL272" s="2"/>
      <c r="AM272" s="2"/>
      <c r="AN272" s="2"/>
    </row>
    <row r="273" spans="27:40" s="235" customFormat="1" x14ac:dyDescent="0.25">
      <c r="AA273" s="345"/>
      <c r="AB273" s="267"/>
      <c r="AC273" s="2"/>
      <c r="AD273" s="2"/>
      <c r="AE273" s="2"/>
      <c r="AF273" s="2"/>
      <c r="AG273" s="2"/>
      <c r="AH273" s="2"/>
      <c r="AI273" s="2"/>
      <c r="AJ273" s="2"/>
      <c r="AK273" s="2"/>
      <c r="AL273" s="2"/>
      <c r="AM273" s="2"/>
      <c r="AN273" s="2"/>
    </row>
    <row r="274" spans="27:40" s="235" customFormat="1" x14ac:dyDescent="0.25">
      <c r="AA274" s="345"/>
      <c r="AB274" s="267"/>
      <c r="AC274" s="2"/>
      <c r="AD274" s="2"/>
      <c r="AE274" s="2"/>
      <c r="AF274" s="2"/>
      <c r="AG274" s="2"/>
      <c r="AH274" s="2"/>
      <c r="AI274" s="2"/>
      <c r="AJ274" s="2"/>
      <c r="AK274" s="2"/>
      <c r="AL274" s="2"/>
      <c r="AM274" s="2"/>
      <c r="AN274" s="2"/>
    </row>
    <row r="275" spans="27:40" s="235" customFormat="1" x14ac:dyDescent="0.25">
      <c r="AA275" s="345"/>
      <c r="AB275" s="267"/>
      <c r="AC275" s="2"/>
      <c r="AD275" s="2"/>
      <c r="AE275" s="2"/>
      <c r="AF275" s="2"/>
      <c r="AG275" s="2"/>
      <c r="AH275" s="2"/>
      <c r="AI275" s="2"/>
      <c r="AJ275" s="2"/>
      <c r="AK275" s="2"/>
      <c r="AL275" s="2"/>
      <c r="AM275" s="2"/>
      <c r="AN275" s="2"/>
    </row>
    <row r="276" spans="27:40" s="235" customFormat="1" x14ac:dyDescent="0.25">
      <c r="AA276" s="345"/>
      <c r="AB276" s="267"/>
      <c r="AC276" s="2"/>
      <c r="AD276" s="2"/>
      <c r="AE276" s="2"/>
      <c r="AF276" s="2"/>
      <c r="AG276" s="2"/>
      <c r="AH276" s="2"/>
      <c r="AI276" s="2"/>
      <c r="AJ276" s="2"/>
      <c r="AK276" s="2"/>
      <c r="AL276" s="2"/>
      <c r="AM276" s="2"/>
      <c r="AN276" s="2"/>
    </row>
    <row r="277" spans="27:40" s="235" customFormat="1" x14ac:dyDescent="0.25">
      <c r="AA277" s="345"/>
      <c r="AB277" s="267"/>
      <c r="AC277" s="2"/>
      <c r="AD277" s="2"/>
      <c r="AE277" s="2"/>
      <c r="AF277" s="2"/>
      <c r="AG277" s="2"/>
      <c r="AH277" s="2"/>
      <c r="AI277" s="2"/>
      <c r="AJ277" s="2"/>
      <c r="AK277" s="2"/>
      <c r="AL277" s="2"/>
      <c r="AM277" s="2"/>
      <c r="AN277" s="2"/>
    </row>
    <row r="278" spans="27:40" s="235" customFormat="1" x14ac:dyDescent="0.25">
      <c r="AA278" s="345"/>
      <c r="AB278" s="267"/>
      <c r="AC278" s="2"/>
      <c r="AD278" s="2"/>
      <c r="AE278" s="2"/>
      <c r="AF278" s="2"/>
      <c r="AG278" s="2"/>
      <c r="AH278" s="2"/>
      <c r="AI278" s="2"/>
      <c r="AJ278" s="2"/>
      <c r="AK278" s="2"/>
      <c r="AL278" s="2"/>
      <c r="AM278" s="2"/>
      <c r="AN278" s="2"/>
    </row>
    <row r="279" spans="27:40" s="235" customFormat="1" x14ac:dyDescent="0.25">
      <c r="AA279" s="345"/>
      <c r="AB279" s="267"/>
      <c r="AC279" s="2"/>
      <c r="AD279" s="2"/>
      <c r="AE279" s="2"/>
      <c r="AF279" s="2"/>
      <c r="AG279" s="2"/>
      <c r="AH279" s="2"/>
      <c r="AI279" s="2"/>
      <c r="AJ279" s="2"/>
      <c r="AK279" s="2"/>
      <c r="AL279" s="2"/>
      <c r="AM279" s="2"/>
      <c r="AN279" s="2"/>
    </row>
    <row r="280" spans="27:40" s="235" customFormat="1" x14ac:dyDescent="0.25">
      <c r="AA280" s="345"/>
      <c r="AB280" s="267"/>
      <c r="AC280" s="2"/>
      <c r="AD280" s="2"/>
      <c r="AE280" s="2"/>
      <c r="AF280" s="2"/>
      <c r="AG280" s="2"/>
      <c r="AH280" s="2"/>
      <c r="AI280" s="2"/>
      <c r="AJ280" s="2"/>
      <c r="AK280" s="2"/>
      <c r="AL280" s="2"/>
      <c r="AM280" s="2"/>
      <c r="AN280" s="2"/>
    </row>
    <row r="281" spans="27:40" s="235" customFormat="1" x14ac:dyDescent="0.25">
      <c r="AA281" s="345"/>
      <c r="AB281" s="267"/>
      <c r="AC281" s="2"/>
      <c r="AD281" s="2"/>
      <c r="AE281" s="2"/>
      <c r="AF281" s="2"/>
      <c r="AG281" s="2"/>
      <c r="AH281" s="2"/>
      <c r="AI281" s="2"/>
      <c r="AJ281" s="2"/>
      <c r="AK281" s="2"/>
      <c r="AL281" s="2"/>
      <c r="AM281" s="2"/>
      <c r="AN281" s="2"/>
    </row>
    <row r="282" spans="27:40" s="235" customFormat="1" x14ac:dyDescent="0.25">
      <c r="AA282" s="345"/>
      <c r="AB282" s="267"/>
      <c r="AC282" s="2"/>
      <c r="AD282" s="2"/>
      <c r="AE282" s="2"/>
      <c r="AF282" s="2"/>
      <c r="AG282" s="2"/>
      <c r="AH282" s="2"/>
      <c r="AI282" s="2"/>
      <c r="AJ282" s="2"/>
      <c r="AK282" s="2"/>
      <c r="AL282" s="2"/>
      <c r="AM282" s="2"/>
      <c r="AN282" s="2"/>
    </row>
    <row r="283" spans="27:40" s="235" customFormat="1" x14ac:dyDescent="0.25">
      <c r="AA283" s="345"/>
      <c r="AB283" s="267"/>
      <c r="AC283" s="2"/>
      <c r="AD283" s="2"/>
      <c r="AE283" s="2"/>
      <c r="AF283" s="2"/>
      <c r="AG283" s="2"/>
      <c r="AH283" s="2"/>
      <c r="AI283" s="2"/>
      <c r="AJ283" s="2"/>
      <c r="AK283" s="2"/>
      <c r="AL283" s="2"/>
      <c r="AM283" s="2"/>
      <c r="AN283" s="2"/>
    </row>
    <row r="284" spans="27:40" s="235" customFormat="1" x14ac:dyDescent="0.25">
      <c r="AA284" s="345"/>
      <c r="AB284" s="267"/>
      <c r="AC284" s="2"/>
      <c r="AD284" s="2"/>
      <c r="AE284" s="2"/>
      <c r="AF284" s="2"/>
      <c r="AG284" s="2"/>
      <c r="AH284" s="2"/>
      <c r="AI284" s="2"/>
      <c r="AJ284" s="2"/>
      <c r="AK284" s="2"/>
      <c r="AL284" s="2"/>
      <c r="AM284" s="2"/>
      <c r="AN284" s="2"/>
    </row>
    <row r="285" spans="27:40" s="235" customFormat="1" x14ac:dyDescent="0.25">
      <c r="AA285" s="345"/>
      <c r="AB285" s="267"/>
      <c r="AC285" s="2"/>
      <c r="AD285" s="2"/>
      <c r="AE285" s="2"/>
      <c r="AF285" s="2"/>
      <c r="AG285" s="2"/>
      <c r="AH285" s="2"/>
      <c r="AI285" s="2"/>
      <c r="AJ285" s="2"/>
      <c r="AK285" s="2"/>
      <c r="AL285" s="2"/>
      <c r="AM285" s="2"/>
      <c r="AN285" s="2"/>
    </row>
    <row r="286" spans="27:40" s="235" customFormat="1" x14ac:dyDescent="0.25">
      <c r="AA286" s="345"/>
      <c r="AB286" s="267"/>
      <c r="AC286" s="2"/>
      <c r="AD286" s="2"/>
      <c r="AE286" s="2"/>
      <c r="AF286" s="2"/>
      <c r="AG286" s="2"/>
      <c r="AH286" s="2"/>
      <c r="AI286" s="2"/>
      <c r="AJ286" s="2"/>
      <c r="AK286" s="2"/>
      <c r="AL286" s="2"/>
      <c r="AM286" s="2"/>
      <c r="AN286" s="2"/>
    </row>
    <row r="287" spans="27:40" s="235" customFormat="1" x14ac:dyDescent="0.25">
      <c r="AA287" s="345"/>
      <c r="AB287" s="267"/>
      <c r="AC287" s="2"/>
      <c r="AD287" s="2"/>
      <c r="AE287" s="2"/>
      <c r="AF287" s="2"/>
      <c r="AG287" s="2"/>
      <c r="AH287" s="2"/>
      <c r="AI287" s="2"/>
      <c r="AJ287" s="2"/>
      <c r="AK287" s="2"/>
      <c r="AL287" s="2"/>
      <c r="AM287" s="2"/>
      <c r="AN287" s="2"/>
    </row>
    <row r="288" spans="27:40" s="235" customFormat="1" x14ac:dyDescent="0.25">
      <c r="AA288" s="345"/>
      <c r="AB288" s="267"/>
      <c r="AC288" s="2"/>
      <c r="AD288" s="2"/>
      <c r="AE288" s="2"/>
      <c r="AF288" s="2"/>
      <c r="AG288" s="2"/>
      <c r="AH288" s="2"/>
      <c r="AI288" s="2"/>
      <c r="AJ288" s="2"/>
      <c r="AK288" s="2"/>
      <c r="AL288" s="2"/>
      <c r="AM288" s="2"/>
      <c r="AN288" s="2"/>
    </row>
    <row r="289" spans="27:40" s="235" customFormat="1" x14ac:dyDescent="0.25">
      <c r="AA289" s="345"/>
      <c r="AB289" s="267"/>
      <c r="AC289" s="2"/>
      <c r="AD289" s="2"/>
      <c r="AE289" s="2"/>
      <c r="AF289" s="2"/>
      <c r="AG289" s="2"/>
      <c r="AH289" s="2"/>
      <c r="AI289" s="2"/>
      <c r="AJ289" s="2"/>
      <c r="AK289" s="2"/>
      <c r="AL289" s="2"/>
      <c r="AM289" s="2"/>
      <c r="AN289" s="2"/>
    </row>
    <row r="290" spans="27:40" s="235" customFormat="1" x14ac:dyDescent="0.25">
      <c r="AA290" s="345"/>
      <c r="AB290" s="267"/>
      <c r="AC290" s="2"/>
      <c r="AD290" s="2"/>
      <c r="AE290" s="2"/>
      <c r="AF290" s="2"/>
      <c r="AG290" s="2"/>
      <c r="AH290" s="2"/>
      <c r="AI290" s="2"/>
      <c r="AJ290" s="2"/>
      <c r="AK290" s="2"/>
      <c r="AL290" s="2"/>
      <c r="AM290" s="2"/>
      <c r="AN290" s="2"/>
    </row>
    <row r="291" spans="27:40" s="235" customFormat="1" x14ac:dyDescent="0.25">
      <c r="AA291" s="345"/>
      <c r="AB291" s="267"/>
      <c r="AC291" s="2"/>
      <c r="AD291" s="2"/>
      <c r="AE291" s="2"/>
      <c r="AF291" s="2"/>
      <c r="AG291" s="2"/>
      <c r="AH291" s="2"/>
      <c r="AI291" s="2"/>
      <c r="AJ291" s="2"/>
      <c r="AK291" s="2"/>
      <c r="AL291" s="2"/>
      <c r="AM291" s="2"/>
      <c r="AN291" s="2"/>
    </row>
    <row r="292" spans="27:40" s="235" customFormat="1" x14ac:dyDescent="0.25">
      <c r="AA292" s="345"/>
      <c r="AB292" s="267"/>
      <c r="AC292" s="2"/>
      <c r="AD292" s="2"/>
      <c r="AE292" s="2"/>
      <c r="AF292" s="2"/>
      <c r="AG292" s="2"/>
      <c r="AH292" s="2"/>
      <c r="AI292" s="2"/>
      <c r="AJ292" s="2"/>
      <c r="AK292" s="2"/>
      <c r="AL292" s="2"/>
      <c r="AM292" s="2"/>
      <c r="AN292" s="2"/>
    </row>
    <row r="293" spans="27:40" s="235" customFormat="1" x14ac:dyDescent="0.25">
      <c r="AA293" s="345"/>
      <c r="AB293" s="267"/>
      <c r="AC293" s="2"/>
      <c r="AD293" s="2"/>
      <c r="AE293" s="2"/>
      <c r="AF293" s="2"/>
      <c r="AG293" s="2"/>
      <c r="AH293" s="2"/>
      <c r="AI293" s="2"/>
      <c r="AJ293" s="2"/>
      <c r="AK293" s="2"/>
      <c r="AL293" s="2"/>
      <c r="AM293" s="2"/>
      <c r="AN293" s="2"/>
    </row>
    <row r="294" spans="27:40" s="235" customFormat="1" x14ac:dyDescent="0.25">
      <c r="AA294" s="345"/>
      <c r="AB294" s="267"/>
      <c r="AC294" s="2"/>
      <c r="AD294" s="2"/>
      <c r="AE294" s="2"/>
      <c r="AF294" s="2"/>
      <c r="AG294" s="2"/>
      <c r="AH294" s="2"/>
      <c r="AI294" s="2"/>
      <c r="AJ294" s="2"/>
      <c r="AK294" s="2"/>
      <c r="AL294" s="2"/>
      <c r="AM294" s="2"/>
      <c r="AN294" s="2"/>
    </row>
    <row r="295" spans="27:40" s="235" customFormat="1" x14ac:dyDescent="0.25">
      <c r="AA295" s="345"/>
      <c r="AB295" s="267"/>
      <c r="AC295" s="2"/>
      <c r="AD295" s="2"/>
      <c r="AE295" s="2"/>
      <c r="AF295" s="2"/>
      <c r="AG295" s="2"/>
      <c r="AH295" s="2"/>
      <c r="AI295" s="2"/>
      <c r="AJ295" s="2"/>
      <c r="AK295" s="2"/>
      <c r="AL295" s="2"/>
      <c r="AM295" s="2"/>
      <c r="AN295" s="2"/>
    </row>
    <row r="296" spans="27:40" s="235" customFormat="1" x14ac:dyDescent="0.25">
      <c r="AA296" s="345"/>
      <c r="AB296" s="267"/>
      <c r="AC296" s="2"/>
      <c r="AD296" s="2"/>
      <c r="AE296" s="2"/>
      <c r="AF296" s="2"/>
      <c r="AG296" s="2"/>
      <c r="AH296" s="2"/>
      <c r="AI296" s="2"/>
      <c r="AJ296" s="2"/>
      <c r="AK296" s="2"/>
      <c r="AL296" s="2"/>
      <c r="AM296" s="2"/>
      <c r="AN296" s="2"/>
    </row>
    <row r="297" spans="27:40" s="235" customFormat="1" x14ac:dyDescent="0.25">
      <c r="AA297" s="345"/>
      <c r="AB297" s="267"/>
      <c r="AC297" s="2"/>
      <c r="AD297" s="2"/>
      <c r="AE297" s="2"/>
      <c r="AF297" s="2"/>
      <c r="AG297" s="2"/>
      <c r="AH297" s="2"/>
      <c r="AI297" s="2"/>
      <c r="AJ297" s="2"/>
      <c r="AK297" s="2"/>
      <c r="AL297" s="2"/>
      <c r="AM297" s="2"/>
      <c r="AN297" s="2"/>
    </row>
    <row r="298" spans="27:40" s="235" customFormat="1" x14ac:dyDescent="0.25">
      <c r="AA298" s="345"/>
      <c r="AB298" s="267"/>
      <c r="AC298" s="2"/>
      <c r="AD298" s="2"/>
      <c r="AE298" s="2"/>
      <c r="AF298" s="2"/>
      <c r="AG298" s="2"/>
      <c r="AH298" s="2"/>
      <c r="AI298" s="2"/>
      <c r="AJ298" s="2"/>
      <c r="AK298" s="2"/>
      <c r="AL298" s="2"/>
      <c r="AM298" s="2"/>
      <c r="AN298" s="2"/>
    </row>
    <row r="299" spans="27:40" s="235" customFormat="1" x14ac:dyDescent="0.25">
      <c r="AA299" s="345"/>
      <c r="AB299" s="267"/>
      <c r="AC299" s="2"/>
      <c r="AD299" s="2"/>
      <c r="AE299" s="2"/>
      <c r="AF299" s="2"/>
      <c r="AG299" s="2"/>
      <c r="AH299" s="2"/>
      <c r="AI299" s="2"/>
      <c r="AJ299" s="2"/>
      <c r="AK299" s="2"/>
      <c r="AL299" s="2"/>
      <c r="AM299" s="2"/>
      <c r="AN299" s="2"/>
    </row>
    <row r="300" spans="27:40" s="235" customFormat="1" x14ac:dyDescent="0.25">
      <c r="AA300" s="345"/>
      <c r="AB300" s="267"/>
      <c r="AC300" s="2"/>
      <c r="AD300" s="2"/>
      <c r="AE300" s="2"/>
      <c r="AF300" s="2"/>
      <c r="AG300" s="2"/>
      <c r="AH300" s="2"/>
      <c r="AI300" s="2"/>
      <c r="AJ300" s="2"/>
      <c r="AK300" s="2"/>
      <c r="AL300" s="2"/>
      <c r="AM300" s="2"/>
      <c r="AN300" s="2"/>
    </row>
    <row r="301" spans="27:40" s="235" customFormat="1" x14ac:dyDescent="0.25">
      <c r="AA301" s="345"/>
      <c r="AB301" s="267"/>
      <c r="AC301" s="2"/>
      <c r="AD301" s="2"/>
      <c r="AE301" s="2"/>
      <c r="AF301" s="2"/>
      <c r="AG301" s="2"/>
      <c r="AH301" s="2"/>
      <c r="AI301" s="2"/>
      <c r="AJ301" s="2"/>
      <c r="AK301" s="2"/>
      <c r="AL301" s="2"/>
      <c r="AM301" s="2"/>
      <c r="AN301" s="2"/>
    </row>
    <row r="302" spans="27:40" s="235" customFormat="1" x14ac:dyDescent="0.25">
      <c r="AA302" s="345"/>
      <c r="AB302" s="267"/>
      <c r="AC302" s="2"/>
      <c r="AD302" s="2"/>
      <c r="AE302" s="2"/>
      <c r="AF302" s="2"/>
      <c r="AG302" s="2"/>
      <c r="AH302" s="2"/>
      <c r="AI302" s="2"/>
      <c r="AJ302" s="2"/>
      <c r="AK302" s="2"/>
      <c r="AL302" s="2"/>
      <c r="AM302" s="2"/>
      <c r="AN302" s="2"/>
    </row>
    <row r="303" spans="27:40" s="235" customFormat="1" x14ac:dyDescent="0.25">
      <c r="AA303" s="345"/>
      <c r="AB303" s="267"/>
      <c r="AC303" s="2"/>
      <c r="AD303" s="2"/>
      <c r="AE303" s="2"/>
      <c r="AF303" s="2"/>
      <c r="AG303" s="2"/>
      <c r="AH303" s="2"/>
      <c r="AI303" s="2"/>
      <c r="AJ303" s="2"/>
      <c r="AK303" s="2"/>
      <c r="AL303" s="2"/>
      <c r="AM303" s="2"/>
      <c r="AN303" s="2"/>
    </row>
    <row r="304" spans="27:40" s="235" customFormat="1" x14ac:dyDescent="0.25">
      <c r="AA304" s="345"/>
      <c r="AB304" s="267"/>
      <c r="AC304" s="2"/>
      <c r="AD304" s="2"/>
      <c r="AE304" s="2"/>
      <c r="AF304" s="2"/>
      <c r="AG304" s="2"/>
      <c r="AH304" s="2"/>
      <c r="AI304" s="2"/>
      <c r="AJ304" s="2"/>
      <c r="AK304" s="2"/>
      <c r="AL304" s="2"/>
      <c r="AM304" s="2"/>
      <c r="AN304" s="2"/>
    </row>
    <row r="305" spans="27:40" s="235" customFormat="1" x14ac:dyDescent="0.25">
      <c r="AA305" s="345"/>
      <c r="AB305" s="267"/>
      <c r="AC305" s="2"/>
      <c r="AD305" s="2"/>
      <c r="AE305" s="2"/>
      <c r="AF305" s="2"/>
      <c r="AG305" s="2"/>
      <c r="AH305" s="2"/>
      <c r="AI305" s="2"/>
      <c r="AJ305" s="2"/>
      <c r="AK305" s="2"/>
      <c r="AL305" s="2"/>
      <c r="AM305" s="2"/>
      <c r="AN305" s="2"/>
    </row>
    <row r="306" spans="27:40" s="235" customFormat="1" x14ac:dyDescent="0.25">
      <c r="AA306" s="345"/>
      <c r="AB306" s="267"/>
      <c r="AC306" s="2"/>
      <c r="AD306" s="2"/>
      <c r="AE306" s="2"/>
      <c r="AF306" s="2"/>
      <c r="AG306" s="2"/>
      <c r="AH306" s="2"/>
      <c r="AI306" s="2"/>
      <c r="AJ306" s="2"/>
      <c r="AK306" s="2"/>
      <c r="AL306" s="2"/>
      <c r="AM306" s="2"/>
      <c r="AN306" s="2"/>
    </row>
    <row r="307" spans="27:40" s="235" customFormat="1" x14ac:dyDescent="0.25">
      <c r="AA307" s="345"/>
      <c r="AB307" s="267"/>
      <c r="AC307" s="2"/>
      <c r="AD307" s="2"/>
      <c r="AE307" s="2"/>
      <c r="AF307" s="2"/>
      <c r="AG307" s="2"/>
      <c r="AH307" s="2"/>
      <c r="AI307" s="2"/>
      <c r="AJ307" s="2"/>
      <c r="AK307" s="2"/>
      <c r="AL307" s="2"/>
      <c r="AM307" s="2"/>
      <c r="AN307" s="2"/>
    </row>
    <row r="308" spans="27:40" s="235" customFormat="1" x14ac:dyDescent="0.25">
      <c r="AA308" s="345"/>
      <c r="AB308" s="267"/>
      <c r="AC308" s="2"/>
      <c r="AD308" s="2"/>
      <c r="AE308" s="2"/>
      <c r="AF308" s="2"/>
      <c r="AG308" s="2"/>
      <c r="AH308" s="2"/>
      <c r="AI308" s="2"/>
      <c r="AJ308" s="2"/>
      <c r="AK308" s="2"/>
      <c r="AL308" s="2"/>
      <c r="AM308" s="2"/>
      <c r="AN308" s="2"/>
    </row>
    <row r="309" spans="27:40" s="235" customFormat="1" x14ac:dyDescent="0.25">
      <c r="AA309" s="345"/>
      <c r="AB309" s="267"/>
      <c r="AC309" s="2"/>
      <c r="AD309" s="2"/>
      <c r="AE309" s="2"/>
      <c r="AF309" s="2"/>
      <c r="AG309" s="2"/>
      <c r="AH309" s="2"/>
      <c r="AI309" s="2"/>
      <c r="AJ309" s="2"/>
      <c r="AK309" s="2"/>
      <c r="AL309" s="2"/>
      <c r="AM309" s="2"/>
      <c r="AN309" s="2"/>
    </row>
  </sheetData>
  <mergeCells count="2">
    <mergeCell ref="B2:L2"/>
    <mergeCell ref="P2:Z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6BFD-A8BC-4960-98AA-5F132AD5FFC2}">
  <dimension ref="A1:AZ309"/>
  <sheetViews>
    <sheetView workbookViewId="0"/>
  </sheetViews>
  <sheetFormatPr defaultColWidth="8.81640625" defaultRowHeight="10.5" x14ac:dyDescent="0.25"/>
  <cols>
    <col min="1" max="1" width="2.54296875" style="235" customWidth="1"/>
    <col min="2" max="2" width="3.54296875" style="2" customWidth="1"/>
    <col min="3" max="3" width="37.453125" style="2" customWidth="1"/>
    <col min="4" max="4" width="8.81640625" style="2"/>
    <col min="5" max="6" width="10.54296875" style="2" customWidth="1"/>
    <col min="7" max="8" width="9.81640625" style="2" customWidth="1"/>
    <col min="9" max="9" width="10.81640625" style="2" customWidth="1"/>
    <col min="10" max="10" width="10.453125" style="2" customWidth="1"/>
    <col min="11" max="12" width="8.81640625" style="2"/>
    <col min="13" max="14" width="0" style="2" hidden="1" customWidth="1"/>
    <col min="15" max="15" width="8.81640625" style="235"/>
    <col min="16" max="16" width="3.54296875" style="2" customWidth="1"/>
    <col min="17" max="17" width="35.81640625" style="2" customWidth="1"/>
    <col min="18" max="26" width="8.81640625" style="2"/>
    <col min="27" max="27" width="8.81640625" style="345"/>
    <col min="28" max="28" width="8.81640625" style="267"/>
    <col min="29" max="16384" width="8.81640625" style="2"/>
  </cols>
  <sheetData>
    <row r="1" spans="1:40" s="235" customFormat="1" ht="11" thickBot="1" x14ac:dyDescent="0.3">
      <c r="AA1" s="345"/>
      <c r="AB1" s="267"/>
      <c r="AC1" s="2"/>
      <c r="AD1" s="2"/>
      <c r="AE1" s="2"/>
      <c r="AF1" s="2"/>
      <c r="AG1" s="2"/>
      <c r="AH1" s="2"/>
      <c r="AI1" s="2"/>
      <c r="AJ1" s="2"/>
      <c r="AK1" s="2"/>
      <c r="AL1" s="2"/>
      <c r="AM1" s="2"/>
      <c r="AN1" s="2"/>
    </row>
    <row r="2" spans="1:40" s="175" customFormat="1" ht="19.75" customHeight="1" thickBot="1" x14ac:dyDescent="0.4">
      <c r="A2" s="339"/>
      <c r="B2" s="1473" t="s">
        <v>196</v>
      </c>
      <c r="C2" s="1474"/>
      <c r="D2" s="1474"/>
      <c r="E2" s="1474"/>
      <c r="F2" s="1474"/>
      <c r="G2" s="1474"/>
      <c r="H2" s="1474"/>
      <c r="I2" s="1474"/>
      <c r="J2" s="1474"/>
      <c r="K2" s="1474"/>
      <c r="L2" s="1475"/>
      <c r="O2" s="339"/>
      <c r="P2" s="1473" t="s">
        <v>74</v>
      </c>
      <c r="Q2" s="1474"/>
      <c r="R2" s="1474"/>
      <c r="S2" s="1474"/>
      <c r="T2" s="1474"/>
      <c r="U2" s="1474"/>
      <c r="V2" s="1474"/>
      <c r="W2" s="1474"/>
      <c r="X2" s="1474"/>
      <c r="Y2" s="1474"/>
      <c r="Z2" s="1475"/>
      <c r="AA2" s="346"/>
      <c r="AB2" s="348" t="s">
        <v>69</v>
      </c>
    </row>
    <row r="3" spans="1:40" ht="32" thickBot="1" x14ac:dyDescent="0.3">
      <c r="B3" s="311" t="s">
        <v>197</v>
      </c>
      <c r="C3" s="312"/>
      <c r="D3" s="313" t="s">
        <v>198</v>
      </c>
      <c r="E3" s="313" t="s">
        <v>199</v>
      </c>
      <c r="F3" s="313" t="s">
        <v>200</v>
      </c>
      <c r="G3" s="313" t="s">
        <v>201</v>
      </c>
      <c r="H3" s="313" t="s">
        <v>202</v>
      </c>
      <c r="I3" s="313" t="s">
        <v>203</v>
      </c>
      <c r="J3" s="313" t="s">
        <v>204</v>
      </c>
      <c r="K3" s="313" t="s">
        <v>215</v>
      </c>
      <c r="L3" s="314" t="s">
        <v>216</v>
      </c>
      <c r="M3" s="1"/>
      <c r="N3" s="1"/>
      <c r="P3" s="311" t="s">
        <v>197</v>
      </c>
      <c r="Q3" s="312"/>
      <c r="R3" s="313" t="s">
        <v>198</v>
      </c>
      <c r="S3" s="313" t="s">
        <v>199</v>
      </c>
      <c r="T3" s="313" t="s">
        <v>200</v>
      </c>
      <c r="U3" s="313" t="s">
        <v>201</v>
      </c>
      <c r="V3" s="313" t="s">
        <v>202</v>
      </c>
      <c r="W3" s="313" t="s">
        <v>203</v>
      </c>
      <c r="X3" s="313" t="s">
        <v>204</v>
      </c>
      <c r="Y3" s="313" t="s">
        <v>215</v>
      </c>
      <c r="Z3" s="314" t="s">
        <v>216</v>
      </c>
    </row>
    <row r="4" spans="1:40" x14ac:dyDescent="0.25">
      <c r="B4" s="5" t="s">
        <v>217</v>
      </c>
      <c r="C4" s="300" t="s">
        <v>218</v>
      </c>
      <c r="D4" s="624">
        <v>0.10786317084893138</v>
      </c>
      <c r="E4" s="301">
        <f>'Livestock GM'!Z$60</f>
        <v>269.24717678571409</v>
      </c>
      <c r="F4" s="301">
        <f>'Livestock GM'!Z$59</f>
        <v>163.18010714285703</v>
      </c>
      <c r="G4" s="301">
        <f>'Livestock GM'!Z$38</f>
        <v>746.03571428571411</v>
      </c>
      <c r="H4" s="301">
        <f>'Livestock GM'!Z$37</f>
        <v>452.14285714285705</v>
      </c>
      <c r="I4" s="301">
        <f>'Livestock GM'!Z$58</f>
        <v>476.78853750000002</v>
      </c>
      <c r="J4" s="301">
        <f>'Livestock GM'!Z$57</f>
        <v>288.96275000000003</v>
      </c>
      <c r="K4" s="302">
        <f>'Livestock GM'!Z$10*'Livestock GM'!Z$11</f>
        <v>1.2374999999999998</v>
      </c>
      <c r="L4" s="303">
        <f>'Livestock GM'!Z$9</f>
        <v>70.985699999999994</v>
      </c>
      <c r="M4" s="91" t="s">
        <v>219</v>
      </c>
      <c r="N4" s="1"/>
      <c r="P4" s="122" t="s">
        <v>217</v>
      </c>
      <c r="Q4" s="316" t="s">
        <v>218</v>
      </c>
      <c r="R4" s="625">
        <v>0</v>
      </c>
      <c r="S4" s="317">
        <f>E4</f>
        <v>269.24717678571409</v>
      </c>
      <c r="T4" s="317">
        <f t="shared" ref="T4:Z16" si="0">F4</f>
        <v>163.18010714285703</v>
      </c>
      <c r="U4" s="317">
        <f t="shared" si="0"/>
        <v>746.03571428571411</v>
      </c>
      <c r="V4" s="317">
        <f t="shared" si="0"/>
        <v>452.14285714285705</v>
      </c>
      <c r="W4" s="317">
        <f t="shared" si="0"/>
        <v>476.78853750000002</v>
      </c>
      <c r="X4" s="317">
        <f t="shared" si="0"/>
        <v>288.96275000000003</v>
      </c>
      <c r="Y4" s="318">
        <f t="shared" si="0"/>
        <v>1.2374999999999998</v>
      </c>
      <c r="Z4" s="330">
        <f t="shared" si="0"/>
        <v>70.985699999999994</v>
      </c>
    </row>
    <row r="5" spans="1:40" x14ac:dyDescent="0.25">
      <c r="B5" s="5" t="s">
        <v>220</v>
      </c>
      <c r="C5" s="300" t="s">
        <v>221</v>
      </c>
      <c r="D5" s="624">
        <v>9.8874573278187078E-2</v>
      </c>
      <c r="E5" s="301">
        <f>'Livestock GM'!K$60</f>
        <v>217.71480000000003</v>
      </c>
      <c r="F5" s="301">
        <f>'Livestock GM'!K$59</f>
        <v>120.95266666666666</v>
      </c>
      <c r="G5" s="301">
        <f>'Livestock GM'!K$38</f>
        <v>590.16000000000008</v>
      </c>
      <c r="H5" s="301">
        <f>'Livestock GM'!K$37</f>
        <v>327.86666666666667</v>
      </c>
      <c r="I5" s="301">
        <f>'Livestock GM'!K$58</f>
        <v>372.44520000000006</v>
      </c>
      <c r="J5" s="301">
        <f>'Livestock GM'!K$57</f>
        <v>206.91400000000002</v>
      </c>
      <c r="K5" s="302">
        <f>'Livestock GM'!K$10*'Livestock GM'!K$11</f>
        <v>1.35</v>
      </c>
      <c r="L5" s="303">
        <f>'Livestock GM'!K$9</f>
        <v>70.019199999999998</v>
      </c>
      <c r="M5" s="1" t="s">
        <v>222</v>
      </c>
      <c r="N5" s="90">
        <v>0.3108741862429385</v>
      </c>
      <c r="P5" s="5" t="s">
        <v>220</v>
      </c>
      <c r="Q5" s="300" t="s">
        <v>221</v>
      </c>
      <c r="R5" s="624">
        <v>0</v>
      </c>
      <c r="S5" s="301">
        <f t="shared" ref="S5:S16" si="1">E5</f>
        <v>217.71480000000003</v>
      </c>
      <c r="T5" s="301">
        <f t="shared" si="0"/>
        <v>120.95266666666666</v>
      </c>
      <c r="U5" s="301">
        <f t="shared" si="0"/>
        <v>590.16000000000008</v>
      </c>
      <c r="V5" s="301">
        <f t="shared" si="0"/>
        <v>327.86666666666667</v>
      </c>
      <c r="W5" s="301">
        <f t="shared" si="0"/>
        <v>372.44520000000006</v>
      </c>
      <c r="X5" s="301">
        <f t="shared" si="0"/>
        <v>206.91400000000002</v>
      </c>
      <c r="Y5" s="321">
        <f t="shared" si="0"/>
        <v>1.35</v>
      </c>
      <c r="Z5" s="329">
        <f t="shared" si="0"/>
        <v>70.019199999999998</v>
      </c>
    </row>
    <row r="6" spans="1:40" x14ac:dyDescent="0.25">
      <c r="B6" s="5" t="s">
        <v>223</v>
      </c>
      <c r="C6" s="300" t="s">
        <v>224</v>
      </c>
      <c r="D6" s="624">
        <v>4.6515992428601653E-2</v>
      </c>
      <c r="E6" s="301">
        <f>'Livestock GM'!AE$60</f>
        <v>-358.4654311039485</v>
      </c>
      <c r="F6" s="301">
        <f>'Livestock GM'!AE$59</f>
        <v>-88.265000000000043</v>
      </c>
      <c r="G6" s="301">
        <f>'Livestock GM'!AE$38</f>
        <v>1251.5932312651084</v>
      </c>
      <c r="H6" s="301">
        <f>'Livestock GM'!AE$37</f>
        <v>308.17999999999995</v>
      </c>
      <c r="I6" s="301">
        <f>'Livestock GM'!AE$58</f>
        <v>1610.0586623690569</v>
      </c>
      <c r="J6" s="301">
        <f>'Livestock GM'!AE$57</f>
        <v>396.44499999999999</v>
      </c>
      <c r="K6" s="302">
        <f>'Livestock GM'!AE$10*'Livestock GM'!AE$11</f>
        <v>2.0103142626913777</v>
      </c>
      <c r="L6" s="303">
        <f>'Livestock GM'!AE$9</f>
        <v>34.526000000000003</v>
      </c>
      <c r="M6" s="1" t="s">
        <v>225</v>
      </c>
      <c r="N6" s="90">
        <v>0.68912581375706161</v>
      </c>
      <c r="P6" s="5" t="s">
        <v>223</v>
      </c>
      <c r="Q6" s="300" t="s">
        <v>224</v>
      </c>
      <c r="R6" s="624">
        <v>0</v>
      </c>
      <c r="S6" s="301">
        <f t="shared" si="1"/>
        <v>-358.4654311039485</v>
      </c>
      <c r="T6" s="301">
        <f t="shared" si="0"/>
        <v>-88.265000000000043</v>
      </c>
      <c r="U6" s="301">
        <f t="shared" si="0"/>
        <v>1251.5932312651084</v>
      </c>
      <c r="V6" s="301">
        <f t="shared" si="0"/>
        <v>308.17999999999995</v>
      </c>
      <c r="W6" s="301">
        <f t="shared" si="0"/>
        <v>1610.0586623690569</v>
      </c>
      <c r="X6" s="301">
        <f t="shared" si="0"/>
        <v>396.44499999999999</v>
      </c>
      <c r="Y6" s="321">
        <f t="shared" si="0"/>
        <v>2.0103142626913777</v>
      </c>
      <c r="Z6" s="329">
        <f t="shared" si="0"/>
        <v>34.526000000000003</v>
      </c>
    </row>
    <row r="7" spans="1:40" x14ac:dyDescent="0.25">
      <c r="B7" s="5" t="s">
        <v>226</v>
      </c>
      <c r="C7" s="300" t="s">
        <v>227</v>
      </c>
      <c r="D7" s="624">
        <v>5.6852879634957589E-2</v>
      </c>
      <c r="E7" s="301">
        <f>'Livestock GM'!U$60</f>
        <v>557.81249999999989</v>
      </c>
      <c r="F7" s="301">
        <f>'Livestock GM'!U$59</f>
        <v>185.93749999999994</v>
      </c>
      <c r="G7" s="301">
        <f>'Livestock GM'!U$38</f>
        <v>809.39999999999986</v>
      </c>
      <c r="H7" s="301">
        <f>'Livestock GM'!U$37</f>
        <v>269.79999999999995</v>
      </c>
      <c r="I7" s="301">
        <f>'Livestock GM'!U$58</f>
        <v>251.58749999999998</v>
      </c>
      <c r="J7" s="301">
        <f>'Livestock GM'!U$57</f>
        <v>83.862499999999997</v>
      </c>
      <c r="K7" s="302">
        <f>'Livestock GM'!U$10*'Livestock GM'!U$11</f>
        <v>1.9500000000000002</v>
      </c>
      <c r="L7" s="303">
        <f>'Livestock GM'!U$9</f>
        <v>31.715</v>
      </c>
      <c r="M7" s="89"/>
      <c r="N7" s="1"/>
      <c r="P7" s="5" t="s">
        <v>226</v>
      </c>
      <c r="Q7" s="300" t="s">
        <v>227</v>
      </c>
      <c r="R7" s="624">
        <v>0</v>
      </c>
      <c r="S7" s="301">
        <f t="shared" si="1"/>
        <v>557.81249999999989</v>
      </c>
      <c r="T7" s="301">
        <f t="shared" si="0"/>
        <v>185.93749999999994</v>
      </c>
      <c r="U7" s="301">
        <f t="shared" si="0"/>
        <v>809.39999999999986</v>
      </c>
      <c r="V7" s="301">
        <f t="shared" si="0"/>
        <v>269.79999999999995</v>
      </c>
      <c r="W7" s="301">
        <f t="shared" si="0"/>
        <v>251.58749999999998</v>
      </c>
      <c r="X7" s="301">
        <f t="shared" si="0"/>
        <v>83.862499999999997</v>
      </c>
      <c r="Y7" s="321">
        <f t="shared" si="0"/>
        <v>1.9500000000000002</v>
      </c>
      <c r="Z7" s="329">
        <f t="shared" si="0"/>
        <v>31.715</v>
      </c>
    </row>
    <row r="8" spans="1:40" x14ac:dyDescent="0.25">
      <c r="B8" s="5" t="s">
        <v>228</v>
      </c>
      <c r="C8" s="300" t="s">
        <v>229</v>
      </c>
      <c r="D8" s="624">
        <v>3.4456290687853081E-2</v>
      </c>
      <c r="E8" s="301">
        <f>'Livestock GM'!AT$60</f>
        <v>489.61500000000024</v>
      </c>
      <c r="F8" s="301">
        <f>'Livestock GM'!AT$59</f>
        <v>163.20500000000007</v>
      </c>
      <c r="G8" s="301">
        <f>'Livestock GM'!AT$38</f>
        <v>835.33500000000015</v>
      </c>
      <c r="H8" s="301">
        <f>'Livestock GM'!AT$37</f>
        <v>278.44500000000005</v>
      </c>
      <c r="I8" s="301">
        <f>'Livestock GM'!AT$58</f>
        <v>345.71999999999991</v>
      </c>
      <c r="J8" s="301">
        <f>'Livestock GM'!AT$57</f>
        <v>115.23999999999998</v>
      </c>
      <c r="K8" s="302">
        <f>'Livestock GM'!AT$10*'Livestock GM'!AT$11</f>
        <v>1.9500000000000002</v>
      </c>
      <c r="L8" s="303">
        <f>'Livestock GM'!AT$9</f>
        <v>28.014199999999995</v>
      </c>
      <c r="M8" s="1"/>
      <c r="N8" s="1"/>
      <c r="P8" s="5" t="s">
        <v>228</v>
      </c>
      <c r="Q8" s="300" t="s">
        <v>229</v>
      </c>
      <c r="R8" s="624">
        <v>0</v>
      </c>
      <c r="S8" s="301">
        <f t="shared" si="1"/>
        <v>489.61500000000024</v>
      </c>
      <c r="T8" s="301">
        <f t="shared" si="0"/>
        <v>163.20500000000007</v>
      </c>
      <c r="U8" s="301">
        <f t="shared" si="0"/>
        <v>835.33500000000015</v>
      </c>
      <c r="V8" s="301">
        <f t="shared" si="0"/>
        <v>278.44500000000005</v>
      </c>
      <c r="W8" s="301">
        <f t="shared" si="0"/>
        <v>345.71999999999991</v>
      </c>
      <c r="X8" s="301">
        <f t="shared" si="0"/>
        <v>115.23999999999998</v>
      </c>
      <c r="Y8" s="321">
        <f t="shared" si="0"/>
        <v>1.9500000000000002</v>
      </c>
      <c r="Z8" s="329">
        <f t="shared" si="0"/>
        <v>28.014199999999995</v>
      </c>
    </row>
    <row r="9" spans="1:40" x14ac:dyDescent="0.25">
      <c r="B9" s="5" t="s">
        <v>230</v>
      </c>
      <c r="C9" s="300" t="s">
        <v>231</v>
      </c>
      <c r="D9" s="624">
        <v>3.4456290687853081E-2</v>
      </c>
      <c r="E9" s="301">
        <f>'Livestock GM'!AY$60</f>
        <v>-265.32087026591512</v>
      </c>
      <c r="F9" s="301">
        <f>'Livestock GM'!AY$59</f>
        <v>-65.330000000000155</v>
      </c>
      <c r="G9" s="301">
        <f>'Livestock GM'!AY$38</f>
        <v>1523.5948428686536</v>
      </c>
      <c r="H9" s="301">
        <f>'Livestock GM'!AY$37</f>
        <v>375.15499999999986</v>
      </c>
      <c r="I9" s="301">
        <f>'Livestock GM'!AY$58</f>
        <v>1788.9157131345687</v>
      </c>
      <c r="J9" s="301">
        <f>'Livestock GM'!AY$57</f>
        <v>440.48500000000001</v>
      </c>
      <c r="K9" s="302">
        <f>'Livestock GM'!AY$10*'Livestock GM'!AY$11</f>
        <v>2.6398066075745366</v>
      </c>
      <c r="L9" s="303">
        <f>'Livestock GM'!AY$9</f>
        <v>32.436999999999998</v>
      </c>
      <c r="M9" s="1"/>
      <c r="N9" s="1"/>
      <c r="P9" s="5" t="s">
        <v>230</v>
      </c>
      <c r="Q9" s="300" t="s">
        <v>231</v>
      </c>
      <c r="R9" s="624">
        <v>0</v>
      </c>
      <c r="S9" s="301">
        <f t="shared" si="1"/>
        <v>-265.32087026591512</v>
      </c>
      <c r="T9" s="301">
        <f t="shared" si="0"/>
        <v>-65.330000000000155</v>
      </c>
      <c r="U9" s="301">
        <f t="shared" si="0"/>
        <v>1523.5948428686536</v>
      </c>
      <c r="V9" s="301">
        <f t="shared" si="0"/>
        <v>375.15499999999986</v>
      </c>
      <c r="W9" s="301">
        <f t="shared" si="0"/>
        <v>1788.9157131345687</v>
      </c>
      <c r="X9" s="301">
        <f t="shared" si="0"/>
        <v>440.48500000000001</v>
      </c>
      <c r="Y9" s="321">
        <f t="shared" si="0"/>
        <v>2.6398066075745366</v>
      </c>
      <c r="Z9" s="329">
        <f t="shared" si="0"/>
        <v>32.436999999999998</v>
      </c>
    </row>
    <row r="10" spans="1:40" x14ac:dyDescent="0.25">
      <c r="B10" s="5" t="s">
        <v>232</v>
      </c>
      <c r="C10" s="300" t="s">
        <v>233</v>
      </c>
      <c r="D10" s="624">
        <v>0.31010661619067775</v>
      </c>
      <c r="E10" s="301">
        <f>'Livestock GM'!P$60</f>
        <v>459.09749999999997</v>
      </c>
      <c r="F10" s="301">
        <f>'Livestock GM'!P$59</f>
        <v>153.0325</v>
      </c>
      <c r="G10" s="301">
        <f>'Livestock GM'!P$38</f>
        <v>1002.765</v>
      </c>
      <c r="H10" s="301">
        <f>'Livestock GM'!P$37</f>
        <v>334.255</v>
      </c>
      <c r="I10" s="301">
        <f>'Livestock GM'!P$58</f>
        <v>543.66750000000002</v>
      </c>
      <c r="J10" s="301">
        <f>'Livestock GM'!P$57</f>
        <v>181.2225</v>
      </c>
      <c r="K10" s="302">
        <f>'Livestock GM'!P$10*'Livestock GM'!P$11</f>
        <v>1.9500000000000002</v>
      </c>
      <c r="L10" s="303">
        <f>'Livestock GM'!P$9</f>
        <v>32.343000000000004</v>
      </c>
      <c r="M10" s="1"/>
      <c r="N10" s="1"/>
      <c r="P10" s="5" t="s">
        <v>232</v>
      </c>
      <c r="Q10" s="300" t="s">
        <v>233</v>
      </c>
      <c r="R10" s="624">
        <v>0</v>
      </c>
      <c r="S10" s="301">
        <f t="shared" si="1"/>
        <v>459.09749999999997</v>
      </c>
      <c r="T10" s="301">
        <f t="shared" si="0"/>
        <v>153.0325</v>
      </c>
      <c r="U10" s="301">
        <f t="shared" si="0"/>
        <v>1002.765</v>
      </c>
      <c r="V10" s="301">
        <f t="shared" si="0"/>
        <v>334.255</v>
      </c>
      <c r="W10" s="301">
        <f t="shared" si="0"/>
        <v>543.66750000000002</v>
      </c>
      <c r="X10" s="301">
        <f t="shared" si="0"/>
        <v>181.2225</v>
      </c>
      <c r="Y10" s="321">
        <f t="shared" si="0"/>
        <v>1.9500000000000002</v>
      </c>
      <c r="Z10" s="329">
        <f t="shared" si="0"/>
        <v>32.343000000000004</v>
      </c>
    </row>
    <row r="11" spans="1:40" x14ac:dyDescent="0.25">
      <c r="B11" s="5" t="s">
        <v>234</v>
      </c>
      <c r="C11" s="300" t="s">
        <v>235</v>
      </c>
      <c r="D11" s="624">
        <v>0</v>
      </c>
      <c r="E11" s="301">
        <f>'Livestock GM'!DF$60</f>
        <v>498.23157894736835</v>
      </c>
      <c r="F11" s="301">
        <f>'Livestock GM'!DF$59</f>
        <v>373.67368421052629</v>
      </c>
      <c r="G11" s="301">
        <f>'Livestock GM - price var'!DF$38</f>
        <v>862.26133333333314</v>
      </c>
      <c r="H11" s="301">
        <f>'Livestock GM - price var'!DF$37</f>
        <v>646.69599999999991</v>
      </c>
      <c r="I11" s="301">
        <f>'Livestock GM'!DF$58</f>
        <v>275.10175438596491</v>
      </c>
      <c r="J11" s="301">
        <f>'Livestock GM'!DF$57</f>
        <v>206.32631578947371</v>
      </c>
      <c r="K11" s="302">
        <f>'Livestock GM - price var'!DF$10*'Livestock GM - price var'!DF$11</f>
        <v>1</v>
      </c>
      <c r="L11" s="303">
        <f>'Livestock GM - price var'!DF$9</f>
        <v>68.650526315789477</v>
      </c>
      <c r="M11" s="1"/>
      <c r="N11" s="1"/>
      <c r="P11" s="5" t="str">
        <f>B11</f>
        <v>DF</v>
      </c>
      <c r="Q11" s="300" t="s">
        <v>235</v>
      </c>
      <c r="R11" s="624">
        <v>0.21</v>
      </c>
      <c r="S11" s="301">
        <f>E11</f>
        <v>498.23157894736835</v>
      </c>
      <c r="T11" s="301">
        <f t="shared" si="0"/>
        <v>373.67368421052629</v>
      </c>
      <c r="U11" s="301">
        <f t="shared" si="0"/>
        <v>862.26133333333314</v>
      </c>
      <c r="V11" s="301">
        <f t="shared" si="0"/>
        <v>646.69599999999991</v>
      </c>
      <c r="W11" s="301">
        <f t="shared" si="0"/>
        <v>275.10175438596491</v>
      </c>
      <c r="X11" s="301">
        <f t="shared" si="0"/>
        <v>206.32631578947371</v>
      </c>
      <c r="Y11" s="321">
        <f t="shared" si="0"/>
        <v>1</v>
      </c>
      <c r="Z11" s="329">
        <f t="shared" si="0"/>
        <v>68.650526315789477</v>
      </c>
    </row>
    <row r="12" spans="1:40" x14ac:dyDescent="0.25">
      <c r="B12" s="5" t="s">
        <v>236</v>
      </c>
      <c r="C12" s="300" t="s">
        <v>237</v>
      </c>
      <c r="D12" s="624">
        <v>0</v>
      </c>
      <c r="E12" s="301">
        <f>'Livestock GM'!DL$60</f>
        <v>786.37473684210522</v>
      </c>
      <c r="F12" s="301">
        <f>'Livestock GM'!DL$59</f>
        <v>614.3552631578948</v>
      </c>
      <c r="G12" s="301">
        <f>'Livestock GM - price var'!DL$38</f>
        <v>1721.4911999999999</v>
      </c>
      <c r="H12" s="301">
        <f>'Livestock GM - price var'!DL$37</f>
        <v>1344.915</v>
      </c>
      <c r="I12" s="301">
        <f>'Livestock GM'!DL$58</f>
        <v>493.62526315789472</v>
      </c>
      <c r="J12" s="301">
        <f>'Livestock GM'!DF57</f>
        <v>206.32631578947371</v>
      </c>
      <c r="K12" s="302">
        <f>'Livestock GM - price var'!DL$10*'Livestock GM - price var'!DL$11</f>
        <v>0.96</v>
      </c>
      <c r="L12" s="303">
        <f>'Livestock GM - price var'!DL$9</f>
        <v>27.502894736842105</v>
      </c>
      <c r="M12" s="1"/>
      <c r="N12" s="1"/>
      <c r="P12" s="5" t="str">
        <f>B12</f>
        <v>DL</v>
      </c>
      <c r="Q12" s="300" t="str">
        <f>C12</f>
        <v>Agroecological beef finishers</v>
      </c>
      <c r="R12" s="624">
        <v>0.48</v>
      </c>
      <c r="S12" s="301">
        <f>E12</f>
        <v>786.37473684210522</v>
      </c>
      <c r="T12" s="301">
        <f t="shared" si="0"/>
        <v>614.3552631578948</v>
      </c>
      <c r="U12" s="301">
        <f t="shared" si="0"/>
        <v>1721.4911999999999</v>
      </c>
      <c r="V12" s="301">
        <f t="shared" si="0"/>
        <v>1344.915</v>
      </c>
      <c r="W12" s="301">
        <f t="shared" si="0"/>
        <v>493.62526315789472</v>
      </c>
      <c r="X12" s="301">
        <f t="shared" si="0"/>
        <v>206.32631578947371</v>
      </c>
      <c r="Y12" s="321">
        <f t="shared" si="0"/>
        <v>0.96</v>
      </c>
      <c r="Z12" s="329">
        <f t="shared" si="0"/>
        <v>27.502894736842105</v>
      </c>
    </row>
    <row r="13" spans="1:40" x14ac:dyDescent="0.25">
      <c r="B13" s="5" t="s">
        <v>238</v>
      </c>
      <c r="C13" s="300" t="s">
        <v>239</v>
      </c>
      <c r="D13" s="624">
        <v>0.18652451174576309</v>
      </c>
      <c r="E13" s="301">
        <f>'Livestock GM'!BO$60</f>
        <v>488.65202500000032</v>
      </c>
      <c r="F13" s="301">
        <f>'Livestock GM'!BO$59</f>
        <v>48.865202500000024</v>
      </c>
      <c r="G13" s="301">
        <f>'Livestock GM - price var'!BO$38</f>
        <v>1026.6800000000003</v>
      </c>
      <c r="H13" s="301">
        <f>'Livestock GM - price var'!BO$37</f>
        <v>102.66800000000002</v>
      </c>
      <c r="I13" s="301">
        <f>'Livestock GM'!BO$58</f>
        <v>538.02797499999997</v>
      </c>
      <c r="J13" s="301">
        <f>'Livestock GM'!BO$57</f>
        <v>53.802797499999997</v>
      </c>
      <c r="K13" s="302">
        <f>'Livestock GM - price var'!BO$10*'Livestock GM - price var'!BO$11</f>
        <v>1.1000000000000001</v>
      </c>
      <c r="L13" s="303">
        <f>'Livestock GM - price var'!BO$9</f>
        <v>6.5679330000000009</v>
      </c>
      <c r="M13" s="1"/>
      <c r="N13" s="1"/>
      <c r="P13" s="5" t="s">
        <v>238</v>
      </c>
      <c r="Q13" s="300" t="str">
        <f t="shared" ref="Q13:Q16" si="2">C13</f>
        <v>Lowland Spring Lamb Production</v>
      </c>
      <c r="R13" s="624">
        <v>0</v>
      </c>
      <c r="S13" s="301">
        <f t="shared" si="1"/>
        <v>488.65202500000032</v>
      </c>
      <c r="T13" s="301">
        <f t="shared" si="0"/>
        <v>48.865202500000024</v>
      </c>
      <c r="U13" s="301">
        <f t="shared" si="0"/>
        <v>1026.6800000000003</v>
      </c>
      <c r="V13" s="301">
        <f t="shared" si="0"/>
        <v>102.66800000000002</v>
      </c>
      <c r="W13" s="301">
        <f t="shared" si="0"/>
        <v>538.02797499999997</v>
      </c>
      <c r="X13" s="301">
        <f t="shared" si="0"/>
        <v>53.802797499999997</v>
      </c>
      <c r="Y13" s="321">
        <f t="shared" si="0"/>
        <v>1.1000000000000001</v>
      </c>
      <c r="Z13" s="329">
        <f t="shared" si="0"/>
        <v>6.5679330000000009</v>
      </c>
    </row>
    <row r="14" spans="1:40" x14ac:dyDescent="0.25">
      <c r="B14" s="5" t="s">
        <v>240</v>
      </c>
      <c r="C14" s="300" t="s">
        <v>241</v>
      </c>
      <c r="D14" s="624">
        <v>2.4869934899435082E-2</v>
      </c>
      <c r="E14" s="301">
        <f>'Livestock GM'!BJ$60</f>
        <v>467.17500000000001</v>
      </c>
      <c r="F14" s="301">
        <f>'Livestock GM'!BJ$59</f>
        <v>31.145</v>
      </c>
      <c r="G14" s="301">
        <f>'Livestock GM - price var'!BJ$38</f>
        <v>800.94</v>
      </c>
      <c r="H14" s="301">
        <f>'Livestock GM - price var'!BJ$37</f>
        <v>53.396000000000001</v>
      </c>
      <c r="I14" s="301">
        <f>'Livestock GM'!BJ$58</f>
        <v>333.76500000000004</v>
      </c>
      <c r="J14" s="301">
        <f>'Livestock GM'!BJ$57</f>
        <v>22.251000000000001</v>
      </c>
      <c r="K14" s="302">
        <f>'Livestock GM - price var'!BJ$10*'Livestock GM - price var'!BJ$11</f>
        <v>1.65</v>
      </c>
      <c r="L14" s="303">
        <f>'Livestock GM - price var'!BJ$9</f>
        <v>3.8214000000000001</v>
      </c>
      <c r="M14" s="1"/>
      <c r="N14" s="1"/>
      <c r="P14" s="5" t="s">
        <v>240</v>
      </c>
      <c r="Q14" s="300" t="str">
        <f t="shared" si="2"/>
        <v>Lowland Rearing Ewe-lambs</v>
      </c>
      <c r="R14" s="624">
        <v>0</v>
      </c>
      <c r="S14" s="301">
        <f t="shared" si="1"/>
        <v>467.17500000000001</v>
      </c>
      <c r="T14" s="301">
        <f t="shared" si="0"/>
        <v>31.145</v>
      </c>
      <c r="U14" s="301">
        <f t="shared" si="0"/>
        <v>800.94</v>
      </c>
      <c r="V14" s="301">
        <f t="shared" si="0"/>
        <v>53.396000000000001</v>
      </c>
      <c r="W14" s="301">
        <f t="shared" si="0"/>
        <v>333.76500000000004</v>
      </c>
      <c r="X14" s="301">
        <f t="shared" si="0"/>
        <v>22.251000000000001</v>
      </c>
      <c r="Y14" s="321">
        <f t="shared" si="0"/>
        <v>1.65</v>
      </c>
      <c r="Z14" s="329">
        <f t="shared" si="0"/>
        <v>3.8214000000000001</v>
      </c>
    </row>
    <row r="15" spans="1:40" x14ac:dyDescent="0.25">
      <c r="B15" s="5" t="s">
        <v>242</v>
      </c>
      <c r="C15" s="300" t="s">
        <v>243</v>
      </c>
      <c r="D15" s="624">
        <v>9.9479739597740327E-2</v>
      </c>
      <c r="E15" s="301">
        <f>'Livestock GM'!BT$60</f>
        <v>650.41199999999992</v>
      </c>
      <c r="F15" s="301">
        <f>'Livestock GM'!BT$59</f>
        <v>23.228999999999999</v>
      </c>
      <c r="G15" s="301">
        <f>'Livestock GM - price var'!BT$38</f>
        <v>1107.3999999999999</v>
      </c>
      <c r="H15" s="301">
        <f>'Livestock GM - price var'!BT$37</f>
        <v>39.549999999999997</v>
      </c>
      <c r="I15" s="301">
        <f>'Livestock GM'!BT$58</f>
        <v>456.98799999999994</v>
      </c>
      <c r="J15" s="301">
        <f>'Livestock GM'!BT$57</f>
        <v>16.320999999999998</v>
      </c>
      <c r="K15" s="302">
        <f>'Livestock GM - price var'!BT$10*'Livestock GM - price var'!BT$11</f>
        <v>1.1200000000000001</v>
      </c>
      <c r="L15" s="303">
        <f>'Livestock GM - price var'!BT$9</f>
        <v>2.4588000000000001</v>
      </c>
      <c r="M15" s="1"/>
      <c r="N15" s="1"/>
      <c r="P15" s="5" t="s">
        <v>242</v>
      </c>
      <c r="Q15" s="300" t="str">
        <f t="shared" si="2"/>
        <v>Store Lamb finishing in the lowlands</v>
      </c>
      <c r="R15" s="624">
        <v>0</v>
      </c>
      <c r="S15" s="301">
        <f t="shared" si="1"/>
        <v>650.41199999999992</v>
      </c>
      <c r="T15" s="301">
        <f t="shared" si="0"/>
        <v>23.228999999999999</v>
      </c>
      <c r="U15" s="301">
        <f t="shared" si="0"/>
        <v>1107.3999999999999</v>
      </c>
      <c r="V15" s="301">
        <f t="shared" si="0"/>
        <v>39.549999999999997</v>
      </c>
      <c r="W15" s="301">
        <f t="shared" si="0"/>
        <v>456.98799999999994</v>
      </c>
      <c r="X15" s="301">
        <f t="shared" si="0"/>
        <v>16.320999999999998</v>
      </c>
      <c r="Y15" s="321">
        <f t="shared" si="0"/>
        <v>1.1200000000000001</v>
      </c>
      <c r="Z15" s="329">
        <f t="shared" si="0"/>
        <v>2.4588000000000001</v>
      </c>
    </row>
    <row r="16" spans="1:40" x14ac:dyDescent="0.25">
      <c r="B16" s="5" t="s">
        <v>244</v>
      </c>
      <c r="C16" s="300" t="s">
        <v>245</v>
      </c>
      <c r="D16" s="624">
        <v>0</v>
      </c>
      <c r="E16" s="301">
        <f>'Livestock GM'!DO$60</f>
        <v>290.15999999999997</v>
      </c>
      <c r="F16" s="301">
        <f>'Livestock GM'!DO$59</f>
        <v>60.45</v>
      </c>
      <c r="G16" s="301">
        <f>'Livestock GM - price var'!DO$38</f>
        <v>654.49199999999996</v>
      </c>
      <c r="H16" s="301">
        <f>'Livestock GM - price var'!DO$37</f>
        <v>136.35249999999999</v>
      </c>
      <c r="I16" s="301">
        <f>'Livestock GM'!DO$58</f>
        <v>197.04</v>
      </c>
      <c r="J16" s="301">
        <f>'Livestock GM'!DO$57</f>
        <v>41.05</v>
      </c>
      <c r="K16" s="302">
        <f>'Livestock GM - price var'!DO$10*'Livestock GM - price var'!DO$11</f>
        <v>0.52800000000000002</v>
      </c>
      <c r="L16" s="303">
        <f>'Livestock GM - price var'!DO$9</f>
        <v>7.8568000000000007</v>
      </c>
      <c r="M16" s="1"/>
      <c r="N16" s="1"/>
      <c r="P16" s="5"/>
      <c r="Q16" s="300" t="str">
        <f t="shared" si="2"/>
        <v>Agroecological lowland ewes - spring lamb production</v>
      </c>
      <c r="R16" s="624">
        <v>0.31</v>
      </c>
      <c r="S16" s="301">
        <f t="shared" si="1"/>
        <v>290.15999999999997</v>
      </c>
      <c r="T16" s="301">
        <f t="shared" si="0"/>
        <v>60.45</v>
      </c>
      <c r="U16" s="301">
        <f t="shared" si="0"/>
        <v>654.49199999999996</v>
      </c>
      <c r="V16" s="301">
        <f t="shared" si="0"/>
        <v>136.35249999999999</v>
      </c>
      <c r="W16" s="301">
        <f t="shared" si="0"/>
        <v>197.04</v>
      </c>
      <c r="X16" s="301">
        <f t="shared" si="0"/>
        <v>41.05</v>
      </c>
      <c r="Y16" s="321">
        <f t="shared" si="0"/>
        <v>0.52800000000000002</v>
      </c>
      <c r="Z16" s="329">
        <f t="shared" si="0"/>
        <v>7.8568000000000007</v>
      </c>
    </row>
    <row r="17" spans="1:52" ht="11" thickBot="1" x14ac:dyDescent="0.3">
      <c r="B17" s="5"/>
      <c r="C17" s="89"/>
      <c r="D17" s="300"/>
      <c r="E17" s="304"/>
      <c r="F17" s="304"/>
      <c r="G17" s="304"/>
      <c r="H17" s="304"/>
      <c r="I17" s="304"/>
      <c r="J17" s="304"/>
      <c r="K17" s="305"/>
      <c r="L17" s="44"/>
      <c r="M17" s="1"/>
      <c r="N17" s="1"/>
      <c r="P17" s="5"/>
      <c r="Q17" s="89"/>
      <c r="R17" s="300"/>
      <c r="S17" s="304"/>
      <c r="T17" s="304"/>
      <c r="U17" s="304"/>
      <c r="V17" s="304"/>
      <c r="W17" s="304"/>
      <c r="X17" s="304"/>
      <c r="Y17" s="305"/>
      <c r="Z17" s="47"/>
    </row>
    <row r="18" spans="1:52" ht="11" thickBot="1" x14ac:dyDescent="0.3">
      <c r="B18" s="306"/>
      <c r="C18" s="307" t="s">
        <v>246</v>
      </c>
      <c r="D18" s="308">
        <f>SUM(D4:D17)</f>
        <v>1</v>
      </c>
      <c r="E18" s="309">
        <f>SUMPRODUCT($D$4:$D$17,E4:E17)</f>
        <v>383.1717083836927</v>
      </c>
      <c r="F18" s="309"/>
      <c r="G18" s="309">
        <f>SUMPRODUCT($D$4:$D$17,G4:G17)</f>
        <v>956.88562629162107</v>
      </c>
      <c r="H18" s="309"/>
      <c r="I18" s="309">
        <f>SUMPRODUCT($D$4:$D$17,I4:I17)</f>
        <v>573.71391790792836</v>
      </c>
      <c r="J18" s="309"/>
      <c r="K18" s="309">
        <f>SUMPRODUCT($D$4:$D$17,K4:K17)</f>
        <v>1.5918215022590498</v>
      </c>
      <c r="L18" s="310">
        <f>SUMPRODUCT($D$4:$D$17,L4:L17)</f>
        <v>31.66638309645975</v>
      </c>
      <c r="M18" s="1"/>
      <c r="N18" s="1"/>
      <c r="P18" s="306"/>
      <c r="Q18" s="307" t="s">
        <v>246</v>
      </c>
      <c r="R18" s="308">
        <f>SUM(R4:R17)</f>
        <v>1</v>
      </c>
      <c r="S18" s="309">
        <f>SUMPRODUCT($R$4:$R$16,S4:S16)</f>
        <v>572.03810526315783</v>
      </c>
      <c r="T18" s="309"/>
      <c r="U18" s="309">
        <f>SUMPRODUCT($R$4:$R$16,U4:U16)</f>
        <v>1210.2831759999999</v>
      </c>
      <c r="V18" s="309"/>
      <c r="W18" s="309">
        <f>SUMPRODUCT($R$4:$R$16,W4:W16)</f>
        <v>355.79389473684211</v>
      </c>
      <c r="X18" s="309"/>
      <c r="Y18" s="309">
        <f>SUMPRODUCT($R$4:$R$16,Y4:Y16)</f>
        <v>0.83448</v>
      </c>
      <c r="Z18" s="310">
        <f>SUMPRODUCT($R$4:$R$16,Z4:Z16)</f>
        <v>30.053608000000004</v>
      </c>
      <c r="AB18" s="347" t="s">
        <v>247</v>
      </c>
    </row>
    <row r="19" spans="1:52" s="235" customFormat="1" x14ac:dyDescent="0.25">
      <c r="B19" s="290"/>
      <c r="C19" s="340"/>
      <c r="D19" s="92"/>
      <c r="E19" s="341"/>
      <c r="F19" s="341"/>
      <c r="G19" s="341"/>
      <c r="H19" s="341"/>
      <c r="I19" s="341"/>
      <c r="J19" s="341"/>
      <c r="K19" s="342"/>
      <c r="L19" s="342"/>
      <c r="M19" s="290"/>
      <c r="N19" s="290"/>
      <c r="P19" s="290"/>
      <c r="Q19" s="340"/>
      <c r="R19" s="92"/>
      <c r="S19" s="341"/>
      <c r="T19" s="341"/>
      <c r="U19" s="341"/>
      <c r="V19" s="341"/>
      <c r="W19" s="341"/>
      <c r="X19" s="341"/>
      <c r="Y19" s="342"/>
      <c r="Z19" s="342"/>
      <c r="AA19" s="345"/>
      <c r="AB19" s="267"/>
      <c r="AC19" s="2"/>
      <c r="AD19" s="2"/>
      <c r="AE19" s="2"/>
      <c r="AF19" s="2"/>
      <c r="AG19" s="2"/>
      <c r="AH19" s="2"/>
      <c r="AI19" s="2"/>
      <c r="AJ19" s="2"/>
      <c r="AK19" s="2"/>
      <c r="AL19" s="2"/>
      <c r="AM19" s="2"/>
      <c r="AN19" s="2"/>
      <c r="AO19" s="2"/>
      <c r="AP19" s="2"/>
      <c r="AQ19" s="2"/>
      <c r="AR19" s="2"/>
      <c r="AS19" s="2"/>
      <c r="AT19" s="2"/>
      <c r="AU19" s="2"/>
      <c r="AV19" s="2"/>
      <c r="AW19" s="2"/>
      <c r="AX19" s="2"/>
      <c r="AY19" s="2"/>
      <c r="AZ19" s="2"/>
    </row>
    <row r="20" spans="1:52" s="235" customFormat="1" x14ac:dyDescent="0.25">
      <c r="B20" s="290"/>
      <c r="C20" s="340"/>
      <c r="D20" s="92"/>
      <c r="E20" s="341"/>
      <c r="F20" s="341"/>
      <c r="G20" s="341"/>
      <c r="H20" s="341"/>
      <c r="I20" s="341"/>
      <c r="J20" s="341"/>
      <c r="K20" s="342"/>
      <c r="L20" s="342"/>
      <c r="M20" s="290"/>
      <c r="N20" s="290"/>
      <c r="P20" s="290"/>
      <c r="Q20" s="340"/>
      <c r="R20" s="92"/>
      <c r="S20" s="341"/>
      <c r="T20" s="341"/>
      <c r="U20" s="341"/>
      <c r="V20" s="341"/>
      <c r="W20" s="341"/>
      <c r="X20" s="341"/>
      <c r="Y20" s="342"/>
      <c r="Z20" s="342"/>
      <c r="AA20" s="345"/>
      <c r="AB20" s="267"/>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s="235" customFormat="1" ht="11" thickBot="1" x14ac:dyDescent="0.3">
      <c r="AA21" s="345"/>
      <c r="AB21" s="267"/>
      <c r="AC21" s="2"/>
      <c r="AD21" s="2"/>
      <c r="AE21" s="2"/>
      <c r="AF21" s="2"/>
      <c r="AG21" s="2"/>
      <c r="AH21" s="2"/>
      <c r="AI21" s="2"/>
      <c r="AJ21" s="2"/>
      <c r="AK21" s="2"/>
      <c r="AL21" s="2"/>
      <c r="AM21" s="2"/>
      <c r="AN21" s="2"/>
      <c r="AO21" s="2"/>
      <c r="AP21" s="2"/>
      <c r="AQ21" s="2"/>
      <c r="AR21" s="2"/>
      <c r="AS21" s="2"/>
      <c r="AT21" s="2"/>
      <c r="AU21" s="2"/>
      <c r="AV21" s="2"/>
      <c r="AW21" s="2"/>
      <c r="AX21" s="2"/>
      <c r="AY21" s="2"/>
      <c r="AZ21" s="2"/>
    </row>
    <row r="22" spans="1:52" ht="32" thickBot="1" x14ac:dyDescent="0.3">
      <c r="B22" s="311" t="s">
        <v>89</v>
      </c>
      <c r="C22" s="315"/>
      <c r="D22" s="313" t="s">
        <v>198</v>
      </c>
      <c r="E22" s="313" t="s">
        <v>199</v>
      </c>
      <c r="F22" s="313" t="s">
        <v>200</v>
      </c>
      <c r="G22" s="313" t="s">
        <v>201</v>
      </c>
      <c r="H22" s="313" t="s">
        <v>202</v>
      </c>
      <c r="I22" s="313" t="s">
        <v>203</v>
      </c>
      <c r="J22" s="313" t="s">
        <v>204</v>
      </c>
      <c r="K22" s="313" t="s">
        <v>215</v>
      </c>
      <c r="L22" s="314" t="s">
        <v>216</v>
      </c>
      <c r="M22" s="91" t="s">
        <v>248</v>
      </c>
      <c r="N22" s="1"/>
      <c r="P22" s="311" t="s">
        <v>89</v>
      </c>
      <c r="Q22" s="315"/>
      <c r="R22" s="313" t="s">
        <v>198</v>
      </c>
      <c r="S22" s="313" t="s">
        <v>199</v>
      </c>
      <c r="T22" s="313" t="s">
        <v>200</v>
      </c>
      <c r="U22" s="313" t="s">
        <v>201</v>
      </c>
      <c r="V22" s="313" t="s">
        <v>202</v>
      </c>
      <c r="W22" s="313" t="s">
        <v>203</v>
      </c>
      <c r="X22" s="313" t="s">
        <v>204</v>
      </c>
      <c r="Y22" s="313" t="s">
        <v>215</v>
      </c>
      <c r="Z22" s="314" t="s">
        <v>216</v>
      </c>
    </row>
    <row r="23" spans="1:52" x14ac:dyDescent="0.25">
      <c r="B23" s="241" t="s">
        <v>249</v>
      </c>
      <c r="C23" s="316" t="s">
        <v>250</v>
      </c>
      <c r="D23" s="625">
        <v>0.41178392957453003</v>
      </c>
      <c r="E23" s="317">
        <f>'Livestock GM'!BY$60</f>
        <v>241.28782499999988</v>
      </c>
      <c r="F23" s="317">
        <f>'Livestock GM'!BY$59</f>
        <v>32.17170999999999</v>
      </c>
      <c r="G23" s="317">
        <f>'Livestock GM'!BY$38</f>
        <v>552.06907499999988</v>
      </c>
      <c r="H23" s="317">
        <f>'Livestock GM'!BY$37</f>
        <v>73.60920999999999</v>
      </c>
      <c r="I23" s="317">
        <f>'Livestock GM'!BY$58</f>
        <v>310.78125</v>
      </c>
      <c r="J23" s="317">
        <f>'Livestock GM'!BY$57</f>
        <v>41.4375</v>
      </c>
      <c r="K23" s="318">
        <f>'Livestock GM'!BY$10*'Livestock GM'!BY$11</f>
        <v>0.6</v>
      </c>
      <c r="L23" s="319">
        <f>'Livestock GM'!BY$9</f>
        <v>5.97</v>
      </c>
      <c r="M23" s="1" t="s">
        <v>222</v>
      </c>
      <c r="N23" s="90">
        <v>0.51472991196816253</v>
      </c>
      <c r="P23" s="241" t="s">
        <v>249</v>
      </c>
      <c r="Q23" s="316" t="str">
        <f>C23</f>
        <v>Upland breeding ewe</v>
      </c>
      <c r="R23" s="625">
        <v>0</v>
      </c>
      <c r="S23" s="317">
        <f>E23</f>
        <v>241.28782499999988</v>
      </c>
      <c r="T23" s="317">
        <f t="shared" ref="T23:Z30" si="3">F23</f>
        <v>32.17170999999999</v>
      </c>
      <c r="U23" s="317">
        <f t="shared" si="3"/>
        <v>552.06907499999988</v>
      </c>
      <c r="V23" s="317">
        <f t="shared" si="3"/>
        <v>73.60920999999999</v>
      </c>
      <c r="W23" s="317">
        <f t="shared" si="3"/>
        <v>310.78125</v>
      </c>
      <c r="X23" s="317">
        <f t="shared" si="3"/>
        <v>41.4375</v>
      </c>
      <c r="Y23" s="318">
        <f t="shared" si="3"/>
        <v>0.6</v>
      </c>
      <c r="Z23" s="330">
        <f t="shared" si="3"/>
        <v>5.97</v>
      </c>
    </row>
    <row r="24" spans="1:52" x14ac:dyDescent="0.25">
      <c r="B24" s="320" t="s">
        <v>251</v>
      </c>
      <c r="C24" s="300" t="s">
        <v>252</v>
      </c>
      <c r="D24" s="624">
        <v>0.10294598239363251</v>
      </c>
      <c r="E24" s="301">
        <f>'Livestock GM'!CD$60</f>
        <v>252</v>
      </c>
      <c r="F24" s="301">
        <f>'Livestock GM'!CD$59</f>
        <v>16.799999999999997</v>
      </c>
      <c r="G24" s="301">
        <f>'Livestock GM'!CD$38</f>
        <v>671.85</v>
      </c>
      <c r="H24" s="301">
        <f>'Livestock GM'!CD$37</f>
        <v>44.79</v>
      </c>
      <c r="I24" s="301">
        <f>'Livestock GM'!CD$58</f>
        <v>419.85</v>
      </c>
      <c r="J24" s="301">
        <f>'Livestock GM'!CD$57</f>
        <v>27.990000000000002</v>
      </c>
      <c r="K24" s="321">
        <f>'Livestock GM'!CD$10*'Livestock GM'!CD$11</f>
        <v>0.89999999999999991</v>
      </c>
      <c r="L24" s="303">
        <f>'Livestock GM'!CD$9</f>
        <v>0.44560000000000005</v>
      </c>
      <c r="M24" s="1" t="s">
        <v>225</v>
      </c>
      <c r="N24" s="90">
        <v>0.48527008803183747</v>
      </c>
      <c r="P24" s="320" t="s">
        <v>251</v>
      </c>
      <c r="Q24" s="300" t="str">
        <f t="shared" ref="Q24:Q30" si="4">C24</f>
        <v>Hill store lamb production from self-contained flock</v>
      </c>
      <c r="R24" s="624">
        <v>0</v>
      </c>
      <c r="S24" s="301">
        <f t="shared" ref="S24:S30" si="5">E24</f>
        <v>252</v>
      </c>
      <c r="T24" s="301">
        <f t="shared" si="3"/>
        <v>16.799999999999997</v>
      </c>
      <c r="U24" s="301">
        <f t="shared" si="3"/>
        <v>671.85</v>
      </c>
      <c r="V24" s="301">
        <f t="shared" si="3"/>
        <v>44.79</v>
      </c>
      <c r="W24" s="301">
        <f t="shared" si="3"/>
        <v>419.85</v>
      </c>
      <c r="X24" s="301">
        <f t="shared" si="3"/>
        <v>27.990000000000002</v>
      </c>
      <c r="Y24" s="321">
        <f t="shared" si="3"/>
        <v>0.89999999999999991</v>
      </c>
      <c r="Z24" s="329">
        <f t="shared" si="3"/>
        <v>0.44560000000000005</v>
      </c>
    </row>
    <row r="25" spans="1:52" x14ac:dyDescent="0.25">
      <c r="B25" s="320" t="s">
        <v>253</v>
      </c>
      <c r="C25" s="300" t="s">
        <v>254</v>
      </c>
      <c r="D25" s="624">
        <v>0.18559452489638695</v>
      </c>
      <c r="E25" s="301">
        <f>'Livestock GM'!AO$60</f>
        <v>160.18243497023803</v>
      </c>
      <c r="F25" s="301">
        <f>'Livestock GM'!AO$59</f>
        <v>128.14594797619043</v>
      </c>
      <c r="G25" s="301">
        <f>'Livestock GM'!AO$38</f>
        <v>531.74523809523805</v>
      </c>
      <c r="H25" s="301">
        <f>'Livestock GM'!AO$37</f>
        <v>425.39619047619044</v>
      </c>
      <c r="I25" s="301">
        <f>'Livestock GM'!AO$58</f>
        <v>371.56280312500002</v>
      </c>
      <c r="J25" s="301">
        <f>'Livestock GM'!AO$57</f>
        <v>297.25024250000001</v>
      </c>
      <c r="K25" s="321">
        <f>'Livestock GM'!AO$10*'Livestock GM'!AO$11</f>
        <v>0.9375</v>
      </c>
      <c r="L25" s="303">
        <f>'Livestock GM'!AO$9</f>
        <v>71.126979000000006</v>
      </c>
      <c r="M25" s="1"/>
      <c r="N25" s="89"/>
      <c r="O25" s="290"/>
      <c r="P25" s="320" t="s">
        <v>253</v>
      </c>
      <c r="Q25" s="300" t="str">
        <f t="shared" si="4"/>
        <v>LFA Autumn Calving Suckler Cows</v>
      </c>
      <c r="R25" s="624">
        <v>0</v>
      </c>
      <c r="S25" s="301">
        <f t="shared" si="5"/>
        <v>160.18243497023803</v>
      </c>
      <c r="T25" s="301">
        <f t="shared" si="3"/>
        <v>128.14594797619043</v>
      </c>
      <c r="U25" s="301">
        <f t="shared" si="3"/>
        <v>531.74523809523805</v>
      </c>
      <c r="V25" s="301">
        <f t="shared" si="3"/>
        <v>425.39619047619044</v>
      </c>
      <c r="W25" s="301">
        <f t="shared" si="3"/>
        <v>371.56280312500002</v>
      </c>
      <c r="X25" s="301">
        <f t="shared" si="3"/>
        <v>297.25024250000001</v>
      </c>
      <c r="Y25" s="321">
        <f t="shared" si="3"/>
        <v>0.9375</v>
      </c>
      <c r="Z25" s="329">
        <f t="shared" si="3"/>
        <v>71.126979000000006</v>
      </c>
    </row>
    <row r="26" spans="1:52" x14ac:dyDescent="0.25">
      <c r="B26" s="320" t="s">
        <v>255</v>
      </c>
      <c r="C26" s="300" t="s">
        <v>256</v>
      </c>
      <c r="D26" s="624">
        <v>0.29967556313545052</v>
      </c>
      <c r="E26" s="301">
        <f>'Livestock GM'!AJ$60</f>
        <v>138.74373333333335</v>
      </c>
      <c r="F26" s="301">
        <f>'Livestock GM'!AJ$59</f>
        <v>86.714833333333331</v>
      </c>
      <c r="G26" s="301">
        <f>'Livestock GM'!AJ$38</f>
        <v>484.78933333333339</v>
      </c>
      <c r="H26" s="301">
        <f>'Livestock GM'!AJ$37</f>
        <v>302.99333333333334</v>
      </c>
      <c r="I26" s="301">
        <f>'Livestock GM'!AJ$58</f>
        <v>346.04560000000004</v>
      </c>
      <c r="J26" s="301">
        <f>'Livestock GM'!AJ$57</f>
        <v>216.27850000000001</v>
      </c>
      <c r="K26" s="321">
        <f>'Livestock GM'!AJ$10*'Livestock GM'!AJ$11</f>
        <v>1.2000000000000002</v>
      </c>
      <c r="L26" s="303">
        <f>'Livestock GM'!AJ$9</f>
        <v>70.159800000000004</v>
      </c>
      <c r="M26" s="1"/>
      <c r="N26" s="1"/>
      <c r="O26" s="290"/>
      <c r="P26" s="320" t="s">
        <v>255</v>
      </c>
      <c r="Q26" s="300" t="str">
        <f t="shared" si="4"/>
        <v>LFA Spring Calving Suckler Cows</v>
      </c>
      <c r="R26" s="624">
        <v>0</v>
      </c>
      <c r="S26" s="301">
        <f t="shared" si="5"/>
        <v>138.74373333333335</v>
      </c>
      <c r="T26" s="301">
        <f t="shared" si="3"/>
        <v>86.714833333333331</v>
      </c>
      <c r="U26" s="301">
        <f t="shared" si="3"/>
        <v>484.78933333333339</v>
      </c>
      <c r="V26" s="301">
        <f t="shared" si="3"/>
        <v>302.99333333333334</v>
      </c>
      <c r="W26" s="301">
        <f t="shared" si="3"/>
        <v>346.04560000000004</v>
      </c>
      <c r="X26" s="301">
        <f t="shared" si="3"/>
        <v>216.27850000000001</v>
      </c>
      <c r="Y26" s="321">
        <f t="shared" si="3"/>
        <v>1.2000000000000002</v>
      </c>
      <c r="Z26" s="329">
        <f t="shared" si="3"/>
        <v>70.159800000000004</v>
      </c>
    </row>
    <row r="27" spans="1:52" s="175" customFormat="1" ht="24.65" customHeight="1" x14ac:dyDescent="0.25">
      <c r="A27" s="339"/>
      <c r="B27" s="320" t="s">
        <v>257</v>
      </c>
      <c r="C27" s="322" t="s">
        <v>258</v>
      </c>
      <c r="D27" s="626">
        <v>0</v>
      </c>
      <c r="E27" s="323">
        <f>'Livestock GM'!BC$60</f>
        <v>78.332666666666626</v>
      </c>
      <c r="F27" s="323">
        <f>'Livestock GM'!BC$59</f>
        <v>78.332666666666626</v>
      </c>
      <c r="G27" s="323">
        <f>'Livestock GM'!BC$38</f>
        <v>284.35666666666663</v>
      </c>
      <c r="H27" s="323">
        <f>'Livestock GM'!BC$37</f>
        <v>284.35666666666663</v>
      </c>
      <c r="I27" s="323">
        <f>'Livestock GM'!BC$58</f>
        <v>206.024</v>
      </c>
      <c r="J27" s="323">
        <f>'Livestock GM'!BC$57</f>
        <v>206.024</v>
      </c>
      <c r="K27" s="324">
        <f>'Livestock GM'!BC$10*'Livestock GM'!BC$11</f>
        <v>0.8</v>
      </c>
      <c r="L27" s="325">
        <f>'Livestock GM'!BC$9</f>
        <v>57.307200000000002</v>
      </c>
      <c r="M27" s="130"/>
      <c r="N27" s="130"/>
      <c r="O27" s="273"/>
      <c r="P27" s="320" t="s">
        <v>257</v>
      </c>
      <c r="Q27" s="322" t="str">
        <f t="shared" si="4"/>
        <v>Hardy native breeds on the hill producing stores. Spring calving. Long horn, Shorthorn, Highland cattle.</v>
      </c>
      <c r="R27" s="626">
        <v>0.25</v>
      </c>
      <c r="S27" s="301">
        <f t="shared" si="5"/>
        <v>78.332666666666626</v>
      </c>
      <c r="T27" s="301">
        <f t="shared" si="3"/>
        <v>78.332666666666626</v>
      </c>
      <c r="U27" s="301">
        <f t="shared" si="3"/>
        <v>284.35666666666663</v>
      </c>
      <c r="V27" s="301">
        <f t="shared" si="3"/>
        <v>284.35666666666663</v>
      </c>
      <c r="W27" s="301">
        <f t="shared" si="3"/>
        <v>206.024</v>
      </c>
      <c r="X27" s="301">
        <f t="shared" si="3"/>
        <v>206.024</v>
      </c>
      <c r="Y27" s="321">
        <f t="shared" si="3"/>
        <v>0.8</v>
      </c>
      <c r="Z27" s="329">
        <f t="shared" si="3"/>
        <v>57.307200000000002</v>
      </c>
      <c r="AA27" s="346"/>
      <c r="AB27" s="349"/>
    </row>
    <row r="28" spans="1:52" x14ac:dyDescent="0.25">
      <c r="B28" s="320" t="s">
        <v>259</v>
      </c>
      <c r="C28" s="300" t="s">
        <v>260</v>
      </c>
      <c r="D28" s="624">
        <v>0</v>
      </c>
      <c r="E28" s="301">
        <f>'Livestock GM'!BF$60</f>
        <v>270.10000000000002</v>
      </c>
      <c r="F28" s="301">
        <f>'Livestock GM'!BF$59</f>
        <v>216.08000000000004</v>
      </c>
      <c r="G28" s="301">
        <f>'Livestock GM'!BF$38</f>
        <v>595.77499999999998</v>
      </c>
      <c r="H28" s="301">
        <f>'Livestock GM'!BF$37</f>
        <v>476.62</v>
      </c>
      <c r="I28" s="301">
        <f>'Livestock GM'!BF$58</f>
        <v>325.67499999999995</v>
      </c>
      <c r="J28" s="301">
        <f>'Livestock GM'!BF$57</f>
        <v>260.53999999999996</v>
      </c>
      <c r="K28" s="321">
        <f>'Livestock GM'!BF$10*'Livestock GM'!BF$11</f>
        <v>1</v>
      </c>
      <c r="L28" s="303">
        <f>'Livestock GM'!BF$9</f>
        <v>23.231999999999999</v>
      </c>
      <c r="M28" s="1"/>
      <c r="N28" s="1"/>
      <c r="O28" s="290"/>
      <c r="P28" s="320" t="str">
        <f>B28</f>
        <v>BE</v>
      </c>
      <c r="Q28" s="300" t="str">
        <f t="shared" si="4"/>
        <v>Finishing progeny (stores) from hardy native breeds</v>
      </c>
      <c r="R28" s="624">
        <v>0.25</v>
      </c>
      <c r="S28" s="301">
        <f>E28</f>
        <v>270.10000000000002</v>
      </c>
      <c r="T28" s="301">
        <f t="shared" si="3"/>
        <v>216.08000000000004</v>
      </c>
      <c r="U28" s="301">
        <f t="shared" si="3"/>
        <v>595.77499999999998</v>
      </c>
      <c r="V28" s="301">
        <f t="shared" si="3"/>
        <v>476.62</v>
      </c>
      <c r="W28" s="301">
        <f t="shared" si="3"/>
        <v>325.67499999999995</v>
      </c>
      <c r="X28" s="301">
        <f t="shared" si="3"/>
        <v>260.53999999999996</v>
      </c>
      <c r="Y28" s="321">
        <f t="shared" si="3"/>
        <v>1</v>
      </c>
      <c r="Z28" s="329">
        <f t="shared" si="3"/>
        <v>23.231999999999999</v>
      </c>
    </row>
    <row r="29" spans="1:52" x14ac:dyDescent="0.25">
      <c r="B29" s="320" t="s">
        <v>261</v>
      </c>
      <c r="C29" s="300" t="s">
        <v>973</v>
      </c>
      <c r="D29" s="624">
        <v>0</v>
      </c>
      <c r="E29" s="301">
        <f>'Livestock GM'!DI$60</f>
        <v>218.14144736842104</v>
      </c>
      <c r="F29" s="301">
        <f>'Livestock GM'!DI$59</f>
        <v>290.85526315789474</v>
      </c>
      <c r="G29" s="301">
        <f>'Livestock GM - price var'!DI$38</f>
        <v>451.10309999999993</v>
      </c>
      <c r="H29" s="301">
        <f>'Livestock GM - price var'!DI$37</f>
        <v>601.47079999999994</v>
      </c>
      <c r="I29" s="301">
        <f>'Livestock GM'!DI$58</f>
        <v>175.60855263157896</v>
      </c>
      <c r="J29" s="301">
        <f>'Livestock GM'!DI$57</f>
        <v>234.14473684210526</v>
      </c>
      <c r="K29" s="321">
        <f>'Livestock GM - price var'!DI$10*'Livestock GM - price var'!DI$11</f>
        <v>0.5625</v>
      </c>
      <c r="L29" s="303">
        <f>'Livestock GM - price var'!DI$9</f>
        <v>68.90789473684211</v>
      </c>
      <c r="M29" s="1"/>
      <c r="N29" s="1"/>
      <c r="O29" s="290"/>
      <c r="P29" s="320" t="str">
        <f t="shared" ref="P29:P30" si="6">B29</f>
        <v>DI</v>
      </c>
      <c r="Q29" s="300" t="str">
        <f t="shared" si="4"/>
        <v>Agroecological LFA sucker cows</v>
      </c>
      <c r="R29" s="624">
        <v>0.25</v>
      </c>
      <c r="S29" s="301">
        <f>E29</f>
        <v>218.14144736842104</v>
      </c>
      <c r="T29" s="301">
        <f t="shared" si="3"/>
        <v>290.85526315789474</v>
      </c>
      <c r="U29" s="301">
        <f t="shared" si="3"/>
        <v>451.10309999999993</v>
      </c>
      <c r="V29" s="301">
        <f t="shared" si="3"/>
        <v>601.47079999999994</v>
      </c>
      <c r="W29" s="301">
        <f t="shared" si="3"/>
        <v>175.60855263157896</v>
      </c>
      <c r="X29" s="301">
        <f t="shared" si="3"/>
        <v>234.14473684210526</v>
      </c>
      <c r="Y29" s="321">
        <f t="shared" si="3"/>
        <v>0.5625</v>
      </c>
      <c r="Z29" s="329">
        <f t="shared" si="3"/>
        <v>68.90789473684211</v>
      </c>
    </row>
    <row r="30" spans="1:52" x14ac:dyDescent="0.25">
      <c r="B30" s="320" t="s">
        <v>263</v>
      </c>
      <c r="C30" s="300" t="s">
        <v>264</v>
      </c>
      <c r="D30" s="624">
        <v>0</v>
      </c>
      <c r="E30" s="301">
        <f>'Livestock GM'!DR$60</f>
        <v>75.450000000000045</v>
      </c>
      <c r="F30" s="301">
        <f>'Livestock GM'!DR$59</f>
        <v>15.090000000000003</v>
      </c>
      <c r="G30" s="301">
        <f>'Livestock GM - price var'!DR$38</f>
        <v>293.15999999999997</v>
      </c>
      <c r="H30" s="301">
        <f>'Livestock GM - price var'!DR$37</f>
        <v>58.631999999999998</v>
      </c>
      <c r="I30" s="301">
        <f>'Livestock GM'!DR$58</f>
        <v>264.75</v>
      </c>
      <c r="J30" s="301">
        <f>'Livestock GM'!DR$57</f>
        <v>52.95</v>
      </c>
      <c r="K30" s="321">
        <f>'Livestock GM - price var'!DR$10*'Livestock GM - price var'!DR$11</f>
        <v>0.4</v>
      </c>
      <c r="L30" s="303">
        <f>'Livestock GM - price var'!DR$9</f>
        <v>6.5360000000000005</v>
      </c>
      <c r="M30" s="1"/>
      <c r="N30" s="1"/>
      <c r="O30" s="290"/>
      <c r="P30" s="320" t="str">
        <f t="shared" si="6"/>
        <v>DR</v>
      </c>
      <c r="Q30" s="300" t="str">
        <f t="shared" si="4"/>
        <v>Agroecological LFA ewes</v>
      </c>
      <c r="R30" s="624">
        <v>0.25</v>
      </c>
      <c r="S30" s="301">
        <f t="shared" si="5"/>
        <v>75.450000000000045</v>
      </c>
      <c r="T30" s="301">
        <f t="shared" si="3"/>
        <v>15.090000000000003</v>
      </c>
      <c r="U30" s="301">
        <f t="shared" si="3"/>
        <v>293.15999999999997</v>
      </c>
      <c r="V30" s="301">
        <f t="shared" si="3"/>
        <v>58.631999999999998</v>
      </c>
      <c r="W30" s="301">
        <f t="shared" si="3"/>
        <v>264.75</v>
      </c>
      <c r="X30" s="301">
        <f t="shared" si="3"/>
        <v>52.95</v>
      </c>
      <c r="Y30" s="321">
        <f t="shared" si="3"/>
        <v>0.4</v>
      </c>
      <c r="Z30" s="329">
        <f t="shared" si="3"/>
        <v>6.5360000000000005</v>
      </c>
    </row>
    <row r="31" spans="1:52" ht="11" thickBot="1" x14ac:dyDescent="0.3">
      <c r="B31" s="326"/>
      <c r="C31" s="300"/>
      <c r="D31" s="1"/>
      <c r="E31" s="1"/>
      <c r="F31" s="1"/>
      <c r="G31" s="1"/>
      <c r="H31" s="1"/>
      <c r="I31" s="1"/>
      <c r="J31" s="1"/>
      <c r="K31" s="1"/>
      <c r="L31" s="6"/>
      <c r="M31" s="1"/>
      <c r="N31" s="1"/>
      <c r="O31" s="290"/>
      <c r="P31" s="327"/>
      <c r="Q31" s="331"/>
      <c r="R31" s="332"/>
      <c r="S31" s="332"/>
      <c r="T31" s="332"/>
      <c r="U31" s="332"/>
      <c r="V31" s="332"/>
      <c r="W31" s="332"/>
      <c r="X31" s="332"/>
      <c r="Y31" s="332"/>
      <c r="Z31" s="333"/>
    </row>
    <row r="32" spans="1:52" ht="11" thickBot="1" x14ac:dyDescent="0.3">
      <c r="B32" s="328"/>
      <c r="C32" s="307" t="s">
        <v>246</v>
      </c>
      <c r="D32" s="308">
        <f>SUM(D23:D31)</f>
        <v>1</v>
      </c>
      <c r="E32" s="309">
        <f>SUMPRODUCT($D$23:$D$31,E23:E31)</f>
        <v>196.60792563341604</v>
      </c>
      <c r="F32" s="309"/>
      <c r="G32" s="309">
        <f t="shared" ref="G32:L32" si="7">SUMPRODUCT($D$23:$D$31,G23:G31)</f>
        <v>540.46595267016608</v>
      </c>
      <c r="H32" s="309"/>
      <c r="I32" s="309">
        <f t="shared" si="7"/>
        <v>343.85802703675006</v>
      </c>
      <c r="J32" s="309"/>
      <c r="K32" s="309">
        <f t="shared" si="7"/>
        <v>0.8733272847518907</v>
      </c>
      <c r="L32" s="310">
        <f t="shared" si="7"/>
        <v>36.730178238605419</v>
      </c>
      <c r="M32" s="1"/>
      <c r="N32" s="1"/>
      <c r="O32" s="290"/>
      <c r="P32" s="328"/>
      <c r="Q32" s="307" t="s">
        <v>246</v>
      </c>
      <c r="R32" s="308">
        <f>SUM(R23:R31)</f>
        <v>1</v>
      </c>
      <c r="S32" s="309">
        <f>SUMPRODUCT($R$23:$R$30,S23:S30)</f>
        <v>160.50602850877192</v>
      </c>
      <c r="T32" s="309"/>
      <c r="U32" s="309">
        <f t="shared" ref="U32:Z32" si="8">SUMPRODUCT($R$23:$R$30,U23:U30)</f>
        <v>406.09869166666658</v>
      </c>
      <c r="V32" s="309"/>
      <c r="W32" s="309">
        <f t="shared" si="8"/>
        <v>243.01438815789473</v>
      </c>
      <c r="X32" s="309"/>
      <c r="Y32" s="309">
        <f t="shared" si="8"/>
        <v>0.69062499999999993</v>
      </c>
      <c r="Z32" s="310">
        <f t="shared" si="8"/>
        <v>38.995773684210526</v>
      </c>
    </row>
    <row r="33" spans="2:52" s="235" customFormat="1" x14ac:dyDescent="0.25">
      <c r="B33" s="343"/>
      <c r="C33" s="340"/>
      <c r="D33" s="344"/>
      <c r="E33" s="341"/>
      <c r="F33" s="341"/>
      <c r="G33" s="341"/>
      <c r="H33" s="341"/>
      <c r="I33" s="341"/>
      <c r="J33" s="341"/>
      <c r="K33" s="290"/>
      <c r="L33" s="290"/>
      <c r="M33" s="290"/>
      <c r="N33" s="290"/>
      <c r="O33" s="290"/>
      <c r="P33" s="343"/>
      <c r="Q33" s="340"/>
      <c r="R33" s="344"/>
      <c r="S33" s="341"/>
      <c r="T33" s="341"/>
      <c r="U33" s="341"/>
      <c r="V33" s="341"/>
      <c r="W33" s="341"/>
      <c r="X33" s="341"/>
      <c r="Y33" s="290"/>
      <c r="Z33" s="290"/>
      <c r="AA33" s="345"/>
      <c r="AB33" s="267"/>
      <c r="AC33" s="2"/>
      <c r="AD33" s="2"/>
      <c r="AE33" s="2"/>
      <c r="AF33" s="2"/>
      <c r="AG33" s="2"/>
      <c r="AH33" s="2"/>
      <c r="AI33" s="2"/>
      <c r="AJ33" s="2"/>
      <c r="AK33" s="2"/>
      <c r="AL33" s="2"/>
      <c r="AM33" s="2"/>
      <c r="AN33" s="2"/>
      <c r="AO33" s="2"/>
      <c r="AP33" s="2"/>
      <c r="AQ33" s="2"/>
      <c r="AR33" s="2"/>
      <c r="AS33" s="2"/>
      <c r="AT33" s="2"/>
      <c r="AU33" s="2"/>
      <c r="AV33" s="2"/>
      <c r="AW33" s="2"/>
      <c r="AX33" s="2"/>
      <c r="AY33" s="2"/>
      <c r="AZ33" s="2"/>
    </row>
    <row r="34" spans="2:52" s="235" customFormat="1" x14ac:dyDescent="0.25">
      <c r="B34" s="343"/>
      <c r="C34" s="340"/>
      <c r="D34" s="92"/>
      <c r="E34" s="341"/>
      <c r="F34" s="341"/>
      <c r="G34" s="341"/>
      <c r="H34" s="341"/>
      <c r="I34" s="341"/>
      <c r="J34" s="341"/>
      <c r="K34" s="290"/>
      <c r="L34" s="290"/>
      <c r="M34" s="290"/>
      <c r="N34" s="290"/>
      <c r="O34" s="290"/>
      <c r="P34" s="343"/>
      <c r="Q34" s="340"/>
      <c r="R34" s="92"/>
      <c r="S34" s="341"/>
      <c r="T34" s="341"/>
      <c r="U34" s="341"/>
      <c r="V34" s="341"/>
      <c r="W34" s="341"/>
      <c r="X34" s="341"/>
      <c r="Y34" s="290"/>
      <c r="Z34" s="290"/>
      <c r="AA34" s="345"/>
      <c r="AB34" s="267"/>
      <c r="AC34" s="2"/>
      <c r="AD34" s="2"/>
      <c r="AE34" s="2"/>
      <c r="AF34" s="2"/>
      <c r="AG34" s="2"/>
      <c r="AH34" s="2"/>
      <c r="AI34" s="2"/>
      <c r="AJ34" s="2"/>
      <c r="AK34" s="2"/>
      <c r="AL34" s="2"/>
      <c r="AM34" s="2"/>
      <c r="AN34" s="2"/>
      <c r="AO34" s="2"/>
      <c r="AP34" s="2"/>
      <c r="AQ34" s="2"/>
      <c r="AR34" s="2"/>
      <c r="AS34" s="2"/>
      <c r="AT34" s="2"/>
      <c r="AU34" s="2"/>
      <c r="AV34" s="2"/>
      <c r="AW34" s="2"/>
      <c r="AX34" s="2"/>
      <c r="AY34" s="2"/>
      <c r="AZ34" s="2"/>
    </row>
    <row r="35" spans="2:52" s="235" customFormat="1" ht="11" thickBot="1" x14ac:dyDescent="0.3">
      <c r="AA35" s="345"/>
      <c r="AB35" s="267"/>
      <c r="AC35" s="2"/>
      <c r="AD35" s="2"/>
      <c r="AE35" s="2"/>
      <c r="AF35" s="2"/>
      <c r="AG35" s="2"/>
      <c r="AH35" s="2"/>
      <c r="AI35" s="2"/>
      <c r="AJ35" s="2"/>
      <c r="AK35" s="2"/>
      <c r="AL35" s="2"/>
      <c r="AM35" s="2"/>
      <c r="AN35" s="2"/>
      <c r="AO35" s="2"/>
      <c r="AP35" s="2"/>
      <c r="AQ35" s="2"/>
      <c r="AR35" s="2"/>
      <c r="AS35" s="2"/>
      <c r="AT35" s="2"/>
      <c r="AU35" s="2"/>
      <c r="AV35" s="2"/>
      <c r="AW35" s="2"/>
      <c r="AX35" s="2"/>
      <c r="AY35" s="2"/>
      <c r="AZ35" s="2"/>
    </row>
    <row r="36" spans="2:52" ht="32" thickBot="1" x14ac:dyDescent="0.3">
      <c r="B36" s="311" t="s">
        <v>265</v>
      </c>
      <c r="C36" s="315"/>
      <c r="D36" s="313" t="s">
        <v>198</v>
      </c>
      <c r="E36" s="313" t="s">
        <v>199</v>
      </c>
      <c r="F36" s="313" t="s">
        <v>200</v>
      </c>
      <c r="G36" s="313" t="s">
        <v>201</v>
      </c>
      <c r="H36" s="313" t="s">
        <v>202</v>
      </c>
      <c r="I36" s="313" t="s">
        <v>203</v>
      </c>
      <c r="J36" s="313" t="s">
        <v>204</v>
      </c>
      <c r="K36" s="313" t="s">
        <v>215</v>
      </c>
      <c r="L36" s="314" t="s">
        <v>216</v>
      </c>
      <c r="M36" s="3" t="s">
        <v>266</v>
      </c>
      <c r="N36" s="1"/>
      <c r="P36" s="311" t="s">
        <v>265</v>
      </c>
      <c r="Q36" s="315"/>
      <c r="R36" s="313" t="s">
        <v>198</v>
      </c>
      <c r="S36" s="313" t="s">
        <v>199</v>
      </c>
      <c r="T36" s="313" t="s">
        <v>200</v>
      </c>
      <c r="U36" s="313" t="s">
        <v>201</v>
      </c>
      <c r="V36" s="313" t="s">
        <v>202</v>
      </c>
      <c r="W36" s="313" t="s">
        <v>203</v>
      </c>
      <c r="X36" s="313" t="s">
        <v>204</v>
      </c>
      <c r="Y36" s="313" t="s">
        <v>215</v>
      </c>
      <c r="Z36" s="314" t="s">
        <v>216</v>
      </c>
    </row>
    <row r="37" spans="2:52" x14ac:dyDescent="0.25">
      <c r="B37" s="320" t="s">
        <v>267</v>
      </c>
      <c r="C37" s="300" t="s">
        <v>268</v>
      </c>
      <c r="D37" s="624">
        <v>0.64124999999999999</v>
      </c>
      <c r="E37" s="301">
        <f>'Livestock GM'!DY41</f>
        <v>2561.6383333333329</v>
      </c>
      <c r="F37" s="301">
        <f>'Livestock GM'!DY40</f>
        <v>1219.8277777777776</v>
      </c>
      <c r="G37" s="301">
        <f>'Livestock GM'!DY24</f>
        <v>4487.3383333333331</v>
      </c>
      <c r="H37" s="301">
        <f>'Livestock GM'!DY23</f>
        <v>2136.8277777777776</v>
      </c>
      <c r="I37" s="301">
        <f>'Livestock GM'!DY38</f>
        <v>1925.7</v>
      </c>
      <c r="J37" s="301">
        <f>'Livestock GM'!DY37</f>
        <v>917</v>
      </c>
      <c r="K37" s="321">
        <f>'Livestock GM'!DY45</f>
        <v>2.1</v>
      </c>
      <c r="L37" s="329">
        <f>'Livestock GM'!DY53</f>
        <v>37.056666666666665</v>
      </c>
      <c r="M37" s="1" t="s">
        <v>269</v>
      </c>
      <c r="N37" s="1"/>
      <c r="P37" s="241" t="s">
        <v>267</v>
      </c>
      <c r="Q37" s="316" t="str">
        <f>C37</f>
        <v>Dairy Cows - Holstein</v>
      </c>
      <c r="R37" s="625">
        <v>0</v>
      </c>
      <c r="S37" s="317">
        <f>E37</f>
        <v>2561.6383333333329</v>
      </c>
      <c r="T37" s="317">
        <f t="shared" ref="T37:Z43" si="9">F37</f>
        <v>1219.8277777777776</v>
      </c>
      <c r="U37" s="317">
        <f t="shared" si="9"/>
        <v>4487.3383333333331</v>
      </c>
      <c r="V37" s="317">
        <f t="shared" si="9"/>
        <v>2136.8277777777776</v>
      </c>
      <c r="W37" s="317">
        <f t="shared" si="9"/>
        <v>1925.7</v>
      </c>
      <c r="X37" s="317">
        <f t="shared" si="9"/>
        <v>917</v>
      </c>
      <c r="Y37" s="318">
        <f t="shared" si="9"/>
        <v>2.1</v>
      </c>
      <c r="Z37" s="330">
        <f t="shared" si="9"/>
        <v>37.056666666666665</v>
      </c>
    </row>
    <row r="38" spans="2:52" x14ac:dyDescent="0.25">
      <c r="B38" s="320" t="s">
        <v>270</v>
      </c>
      <c r="C38" s="300" t="s">
        <v>271</v>
      </c>
      <c r="D38" s="627">
        <v>7.1249999999999994E-2</v>
      </c>
      <c r="E38" s="301">
        <f>'Livestock GM'!ED41</f>
        <v>3023.3791756854262</v>
      </c>
      <c r="F38" s="301">
        <f>'Livestock GM'!ED40</f>
        <v>1209.3516702741704</v>
      </c>
      <c r="G38" s="301">
        <f>'Livestock GM'!ED24</f>
        <v>4582.2791756854258</v>
      </c>
      <c r="H38" s="301">
        <f>'Livestock GM'!ED23</f>
        <v>1832.9116702741703</v>
      </c>
      <c r="I38" s="301">
        <f>'Livestock GM'!ED38</f>
        <v>1558.8999999999999</v>
      </c>
      <c r="J38" s="301">
        <f>'Livestock GM'!ED37</f>
        <v>623.55999999999995</v>
      </c>
      <c r="K38" s="321">
        <f>'Livestock GM'!ED45</f>
        <v>2.1749999999999998</v>
      </c>
      <c r="L38" s="329">
        <f>'Livestock GM'!ED53</f>
        <v>33.078533333333333</v>
      </c>
      <c r="M38" s="1" t="s">
        <v>272</v>
      </c>
      <c r="P38" s="320" t="s">
        <v>270</v>
      </c>
      <c r="Q38" s="300" t="str">
        <f t="shared" ref="Q38:Q43" si="10">C38</f>
        <v>Dairy Cows - Channel Island</v>
      </c>
      <c r="R38" s="627">
        <v>0</v>
      </c>
      <c r="S38" s="301">
        <f t="shared" ref="S38:S43" si="11">E38</f>
        <v>3023.3791756854262</v>
      </c>
      <c r="T38" s="301">
        <f t="shared" si="9"/>
        <v>1209.3516702741704</v>
      </c>
      <c r="U38" s="301">
        <f t="shared" si="9"/>
        <v>4582.2791756854258</v>
      </c>
      <c r="V38" s="301">
        <f t="shared" si="9"/>
        <v>1832.9116702741703</v>
      </c>
      <c r="W38" s="301">
        <f t="shared" si="9"/>
        <v>1558.8999999999999</v>
      </c>
      <c r="X38" s="301">
        <f t="shared" si="9"/>
        <v>623.55999999999995</v>
      </c>
      <c r="Y38" s="321">
        <f t="shared" si="9"/>
        <v>2.1749999999999998</v>
      </c>
      <c r="Z38" s="329">
        <f t="shared" si="9"/>
        <v>33.078533333333333</v>
      </c>
    </row>
    <row r="39" spans="2:52" x14ac:dyDescent="0.25">
      <c r="B39" s="320" t="s">
        <v>273</v>
      </c>
      <c r="C39" s="300" t="s">
        <v>274</v>
      </c>
      <c r="D39" s="627">
        <v>0.23749999999999999</v>
      </c>
      <c r="E39" s="301">
        <f>'Livestock GM'!F$60</f>
        <v>621.5410767999997</v>
      </c>
      <c r="F39" s="301">
        <f>'Livestock GM'!F$59</f>
        <v>443.95791199999985</v>
      </c>
      <c r="G39" s="301">
        <f>'Livestock GM'!F$38</f>
        <v>1738.5899999999997</v>
      </c>
      <c r="H39" s="301">
        <f>'Livestock GM'!F$37</f>
        <v>1241.8499999999999</v>
      </c>
      <c r="I39" s="301">
        <f>'Livestock GM'!F$58</f>
        <v>1117.0489232</v>
      </c>
      <c r="J39" s="301">
        <f>'Livestock GM'!F$57</f>
        <v>797.89208800000006</v>
      </c>
      <c r="K39" s="321">
        <f>'Livestock GM'!F$10*'Livestock GM'!F$11</f>
        <v>0.83533333333333326</v>
      </c>
      <c r="L39" s="303">
        <f>'Livestock GM'!F$9</f>
        <v>15.673926400000001</v>
      </c>
      <c r="M39" s="93" t="s">
        <v>275</v>
      </c>
      <c r="P39" s="320" t="s">
        <v>273</v>
      </c>
      <c r="Q39" s="300" t="str">
        <f t="shared" si="10"/>
        <v>Dairy replacements – Holstein</v>
      </c>
      <c r="R39" s="627">
        <v>0</v>
      </c>
      <c r="S39" s="301">
        <f t="shared" si="11"/>
        <v>621.5410767999997</v>
      </c>
      <c r="T39" s="301">
        <f t="shared" si="9"/>
        <v>443.95791199999985</v>
      </c>
      <c r="U39" s="301">
        <f t="shared" si="9"/>
        <v>1738.5899999999997</v>
      </c>
      <c r="V39" s="301">
        <f t="shared" si="9"/>
        <v>1241.8499999999999</v>
      </c>
      <c r="W39" s="301">
        <f t="shared" si="9"/>
        <v>1117.0489232</v>
      </c>
      <c r="X39" s="301">
        <f t="shared" si="9"/>
        <v>797.89208800000006</v>
      </c>
      <c r="Y39" s="321">
        <f t="shared" si="9"/>
        <v>0.83533333333333326</v>
      </c>
      <c r="Z39" s="329">
        <f t="shared" si="9"/>
        <v>15.673926400000001</v>
      </c>
    </row>
    <row r="40" spans="2:52" x14ac:dyDescent="0.25">
      <c r="B40" s="320" t="s">
        <v>232</v>
      </c>
      <c r="C40" s="300" t="s">
        <v>233</v>
      </c>
      <c r="D40" s="624">
        <v>0.05</v>
      </c>
      <c r="E40" s="301">
        <f>'Livestock GM'!P$60</f>
        <v>459.09749999999997</v>
      </c>
      <c r="F40" s="301">
        <f>'Livestock GM'!P$59</f>
        <v>153.0325</v>
      </c>
      <c r="G40" s="301">
        <f>'Livestock GM'!P$38</f>
        <v>1002.765</v>
      </c>
      <c r="H40" s="301">
        <f>'Livestock GM'!P$37</f>
        <v>334.255</v>
      </c>
      <c r="I40" s="301">
        <f>'Livestock GM'!P$58</f>
        <v>543.66750000000002</v>
      </c>
      <c r="J40" s="301">
        <f>'Livestock GM'!P$57</f>
        <v>181.2225</v>
      </c>
      <c r="K40" s="321">
        <f>'Livestock GM'!P$10*'Livestock GM'!P$11</f>
        <v>1.9500000000000002</v>
      </c>
      <c r="L40" s="303">
        <f>'Livestock GM'!P$9</f>
        <v>32.343000000000004</v>
      </c>
      <c r="M40" s="1"/>
      <c r="P40" s="320" t="s">
        <v>232</v>
      </c>
      <c r="Q40" s="300" t="str">
        <f t="shared" si="10"/>
        <v>18 to 20 month beef from dairy bred calves</v>
      </c>
      <c r="R40" s="624">
        <v>0</v>
      </c>
      <c r="S40" s="301">
        <f t="shared" si="11"/>
        <v>459.09749999999997</v>
      </c>
      <c r="T40" s="301">
        <f t="shared" si="9"/>
        <v>153.0325</v>
      </c>
      <c r="U40" s="301">
        <f t="shared" si="9"/>
        <v>1002.765</v>
      </c>
      <c r="V40" s="301">
        <f t="shared" si="9"/>
        <v>334.255</v>
      </c>
      <c r="W40" s="301">
        <f t="shared" si="9"/>
        <v>543.66750000000002</v>
      </c>
      <c r="X40" s="301">
        <f t="shared" si="9"/>
        <v>181.2225</v>
      </c>
      <c r="Y40" s="321">
        <f t="shared" si="9"/>
        <v>1.9500000000000002</v>
      </c>
      <c r="Z40" s="329">
        <f t="shared" si="9"/>
        <v>32.343000000000004</v>
      </c>
    </row>
    <row r="41" spans="2:52" x14ac:dyDescent="0.25">
      <c r="B41" s="320" t="s">
        <v>276</v>
      </c>
      <c r="C41" s="300" t="s">
        <v>277</v>
      </c>
      <c r="D41" s="624">
        <v>0</v>
      </c>
      <c r="E41" s="301" t="e">
        <f>'Livestock GM'!CZ$60</f>
        <v>#DIV/0!</v>
      </c>
      <c r="F41" s="301" t="e">
        <f>'Livestock GM'!CZ$59</f>
        <v>#DIV/0!</v>
      </c>
      <c r="G41" s="301">
        <f>'Livestock GM - price var'!CZ$38</f>
        <v>2197.2399999999998</v>
      </c>
      <c r="H41" s="301">
        <f>'Livestock GM - price var'!CZ$37</f>
        <v>2197.2399999999998</v>
      </c>
      <c r="I41" s="301" t="e">
        <f>'Livestock GM'!CZ$58</f>
        <v>#DIV/0!</v>
      </c>
      <c r="J41" s="301" t="e">
        <f>'Livestock GM'!CZ$57</f>
        <v>#DIV/0!</v>
      </c>
      <c r="K41" s="321">
        <f>'Livestock GM - price var'!CZ$10*'Livestock GM - price var'!CZ$11</f>
        <v>1</v>
      </c>
      <c r="L41" s="303" t="e">
        <f>'Livestock GM - price var'!CZ$9</f>
        <v>#DIV/0!</v>
      </c>
      <c r="M41" s="1"/>
      <c r="P41" s="320" t="str">
        <f>B41</f>
        <v>CZ</v>
      </c>
      <c r="Q41" s="300" t="str">
        <f t="shared" si="10"/>
        <v>Agroecological dairy cows</v>
      </c>
      <c r="R41" s="624">
        <v>0.65</v>
      </c>
      <c r="S41" s="301" t="e">
        <f t="shared" si="11"/>
        <v>#DIV/0!</v>
      </c>
      <c r="T41" s="301" t="e">
        <f t="shared" si="9"/>
        <v>#DIV/0!</v>
      </c>
      <c r="U41" s="301">
        <f t="shared" si="9"/>
        <v>2197.2399999999998</v>
      </c>
      <c r="V41" s="301">
        <f t="shared" si="9"/>
        <v>2197.2399999999998</v>
      </c>
      <c r="W41" s="301" t="e">
        <f t="shared" si="9"/>
        <v>#DIV/0!</v>
      </c>
      <c r="X41" s="301" t="e">
        <f t="shared" si="9"/>
        <v>#DIV/0!</v>
      </c>
      <c r="Y41" s="321">
        <f t="shared" si="9"/>
        <v>1</v>
      </c>
      <c r="Z41" s="329" t="e">
        <f t="shared" si="9"/>
        <v>#DIV/0!</v>
      </c>
    </row>
    <row r="42" spans="2:52" x14ac:dyDescent="0.25">
      <c r="B42" s="320" t="s">
        <v>278</v>
      </c>
      <c r="C42" s="300" t="s">
        <v>279</v>
      </c>
      <c r="D42" s="624">
        <v>0</v>
      </c>
      <c r="E42" s="301" t="e">
        <f>'Livestock GM'!DC$60</f>
        <v>#DIV/0!</v>
      </c>
      <c r="F42" s="301" t="e">
        <f>'Livestock GM'!DC$59</f>
        <v>#DIV/0!</v>
      </c>
      <c r="G42" s="301">
        <f>'Livestock GM - price var'!DC$38</f>
        <v>2935.7999999999997</v>
      </c>
      <c r="H42" s="301">
        <f>'Livestock GM - price var'!DC$37</f>
        <v>2097</v>
      </c>
      <c r="I42" s="301" t="e">
        <f>'Livestock GM'!DC$58</f>
        <v>#DIV/0!</v>
      </c>
      <c r="J42" s="301" t="e">
        <f>'Livestock GM'!DC$57</f>
        <v>#DIV/0!</v>
      </c>
      <c r="K42" s="321">
        <f>'Livestock GM - price var'!DC$10*'Livestock GM - price var'!DC$11</f>
        <v>0.83533333333333326</v>
      </c>
      <c r="L42" s="303" t="e">
        <f>'Livestock GM - price var'!DC$9</f>
        <v>#DIV/0!</v>
      </c>
      <c r="M42" s="1"/>
      <c r="P42" s="320" t="str">
        <f t="shared" ref="P42:P43" si="12">B42</f>
        <v>DC</v>
      </c>
      <c r="Q42" s="300" t="str">
        <f t="shared" si="10"/>
        <v>Agroecological dairy replacements</v>
      </c>
      <c r="R42" s="624">
        <v>0.15</v>
      </c>
      <c r="S42" s="301" t="e">
        <f t="shared" si="11"/>
        <v>#DIV/0!</v>
      </c>
      <c r="T42" s="301" t="e">
        <f t="shared" si="9"/>
        <v>#DIV/0!</v>
      </c>
      <c r="U42" s="301">
        <f t="shared" si="9"/>
        <v>2935.7999999999997</v>
      </c>
      <c r="V42" s="301">
        <f t="shared" si="9"/>
        <v>2097</v>
      </c>
      <c r="W42" s="301" t="e">
        <f t="shared" si="9"/>
        <v>#DIV/0!</v>
      </c>
      <c r="X42" s="301" t="e">
        <f t="shared" si="9"/>
        <v>#DIV/0!</v>
      </c>
      <c r="Y42" s="321">
        <f t="shared" si="9"/>
        <v>0.83533333333333326</v>
      </c>
      <c r="Z42" s="329" t="e">
        <f t="shared" si="9"/>
        <v>#DIV/0!</v>
      </c>
    </row>
    <row r="43" spans="2:52" x14ac:dyDescent="0.25">
      <c r="B43" s="320" t="s">
        <v>236</v>
      </c>
      <c r="C43" s="300" t="s">
        <v>237</v>
      </c>
      <c r="D43" s="624">
        <v>0</v>
      </c>
      <c r="E43" s="301">
        <f>E12</f>
        <v>786.37473684210522</v>
      </c>
      <c r="F43" s="301">
        <f t="shared" ref="F43:L43" si="13">F12</f>
        <v>614.3552631578948</v>
      </c>
      <c r="G43" s="301">
        <f t="shared" si="13"/>
        <v>1721.4911999999999</v>
      </c>
      <c r="H43" s="301">
        <f t="shared" si="13"/>
        <v>1344.915</v>
      </c>
      <c r="I43" s="301">
        <f t="shared" si="13"/>
        <v>493.62526315789472</v>
      </c>
      <c r="J43" s="301">
        <f t="shared" si="13"/>
        <v>206.32631578947371</v>
      </c>
      <c r="K43" s="321">
        <f t="shared" si="13"/>
        <v>0.96</v>
      </c>
      <c r="L43" s="329">
        <f t="shared" si="13"/>
        <v>27.502894736842105</v>
      </c>
      <c r="M43" s="1"/>
      <c r="P43" s="320" t="str">
        <f t="shared" si="12"/>
        <v>DL</v>
      </c>
      <c r="Q43" s="300" t="str">
        <f t="shared" si="10"/>
        <v>Agroecological beef finishers</v>
      </c>
      <c r="R43" s="624">
        <v>0.2</v>
      </c>
      <c r="S43" s="301">
        <f t="shared" si="11"/>
        <v>786.37473684210522</v>
      </c>
      <c r="T43" s="301">
        <f t="shared" si="9"/>
        <v>614.3552631578948</v>
      </c>
      <c r="U43" s="301">
        <f t="shared" si="9"/>
        <v>1721.4911999999999</v>
      </c>
      <c r="V43" s="301">
        <f t="shared" si="9"/>
        <v>1344.915</v>
      </c>
      <c r="W43" s="301">
        <f t="shared" si="9"/>
        <v>493.62526315789472</v>
      </c>
      <c r="X43" s="301">
        <f t="shared" si="9"/>
        <v>206.32631578947371</v>
      </c>
      <c r="Y43" s="321">
        <f t="shared" si="9"/>
        <v>0.96</v>
      </c>
      <c r="Z43" s="329">
        <f t="shared" si="9"/>
        <v>27.502894736842105</v>
      </c>
    </row>
    <row r="44" spans="2:52" ht="11" thickBot="1" x14ac:dyDescent="0.3">
      <c r="B44" s="320"/>
      <c r="C44" s="300"/>
      <c r="D44" s="72"/>
      <c r="E44" s="301"/>
      <c r="F44" s="301"/>
      <c r="G44" s="301"/>
      <c r="H44" s="301"/>
      <c r="I44" s="301"/>
      <c r="J44" s="301"/>
      <c r="K44" s="321"/>
      <c r="L44" s="303"/>
      <c r="M44" s="1"/>
      <c r="P44" s="334"/>
      <c r="Q44" s="331"/>
      <c r="R44" s="335"/>
      <c r="S44" s="336"/>
      <c r="T44" s="336"/>
      <c r="U44" s="336"/>
      <c r="V44" s="336"/>
      <c r="W44" s="336"/>
      <c r="X44" s="336"/>
      <c r="Y44" s="336"/>
      <c r="Z44" s="337"/>
      <c r="AB44" s="347" t="s">
        <v>280</v>
      </c>
    </row>
    <row r="45" spans="2:52" ht="11" thickBot="1" x14ac:dyDescent="0.3">
      <c r="B45" s="328"/>
      <c r="C45" s="307" t="s">
        <v>246</v>
      </c>
      <c r="D45" s="308">
        <f>SUM(D37:D44)</f>
        <v>1</v>
      </c>
      <c r="E45" s="309" t="e">
        <f>SUMPRODUCT($D$37:$D$44,E37:E44)</f>
        <v>#DIV/0!</v>
      </c>
      <c r="F45" s="309"/>
      <c r="G45" s="309">
        <f t="shared" ref="G45:L45" si="14">SUMPRODUCT($D$37:$D$44,G37:G44)</f>
        <v>3667.0464725175866</v>
      </c>
      <c r="H45" s="309"/>
      <c r="I45" s="309" t="e">
        <f t="shared" si="14"/>
        <v>#DIV/0!</v>
      </c>
      <c r="J45" s="309"/>
      <c r="K45" s="309">
        <f t="shared" si="14"/>
        <v>1.7974854166666663</v>
      </c>
      <c r="L45" s="310" t="e">
        <f t="shared" si="14"/>
        <v>#DIV/0!</v>
      </c>
      <c r="M45" s="1"/>
      <c r="P45" s="328"/>
      <c r="Q45" s="307" t="s">
        <v>246</v>
      </c>
      <c r="R45" s="308">
        <f>SUM(R37:R44)</f>
        <v>1</v>
      </c>
      <c r="S45" s="338" t="e">
        <f>SUMPRODUCT($R$37:$R$43,S37:S43)</f>
        <v>#DIV/0!</v>
      </c>
      <c r="T45" s="338"/>
      <c r="U45" s="338">
        <f t="shared" ref="U45:Z45" si="15">SUMPRODUCT($R$37:$R$43,U37:U43)</f>
        <v>2212.8742399999996</v>
      </c>
      <c r="V45" s="338"/>
      <c r="W45" s="338" t="e">
        <f t="shared" si="15"/>
        <v>#DIV/0!</v>
      </c>
      <c r="X45" s="338"/>
      <c r="Y45" s="309">
        <f t="shared" si="15"/>
        <v>0.96730000000000005</v>
      </c>
      <c r="Z45" s="310" t="e">
        <f t="shared" si="15"/>
        <v>#DIV/0!</v>
      </c>
      <c r="AB45" s="347" t="s">
        <v>281</v>
      </c>
    </row>
    <row r="46" spans="2:52" s="235" customFormat="1" x14ac:dyDescent="0.25">
      <c r="B46" s="343"/>
      <c r="C46" s="340"/>
      <c r="D46" s="92"/>
      <c r="E46" s="341"/>
      <c r="F46" s="341"/>
      <c r="G46" s="341"/>
      <c r="H46" s="341"/>
      <c r="I46" s="341"/>
      <c r="J46" s="341"/>
      <c r="K46" s="290"/>
      <c r="L46" s="290"/>
      <c r="M46" s="290"/>
      <c r="AA46" s="345"/>
      <c r="AB46" s="267"/>
      <c r="AC46" s="2"/>
      <c r="AD46" s="2"/>
      <c r="AE46" s="2"/>
      <c r="AF46" s="2"/>
      <c r="AG46" s="2"/>
      <c r="AH46" s="2"/>
      <c r="AI46" s="2"/>
      <c r="AJ46" s="2"/>
      <c r="AK46" s="2"/>
      <c r="AL46" s="2"/>
      <c r="AM46" s="2"/>
      <c r="AN46" s="2"/>
      <c r="AO46" s="2"/>
      <c r="AP46" s="2"/>
      <c r="AQ46" s="2"/>
      <c r="AR46" s="2"/>
      <c r="AS46" s="2"/>
      <c r="AT46" s="2"/>
      <c r="AU46" s="2"/>
      <c r="AV46" s="2"/>
      <c r="AW46" s="2"/>
      <c r="AX46" s="2"/>
      <c r="AY46" s="2"/>
      <c r="AZ46" s="2"/>
    </row>
    <row r="47" spans="2:52" s="235" customFormat="1" x14ac:dyDescent="0.25">
      <c r="B47" s="343"/>
      <c r="C47" s="340"/>
      <c r="D47" s="92"/>
      <c r="E47" s="341"/>
      <c r="F47" s="341"/>
      <c r="G47" s="341"/>
      <c r="H47" s="341"/>
      <c r="I47" s="341"/>
      <c r="J47" s="341"/>
      <c r="K47" s="290"/>
      <c r="L47" s="290"/>
      <c r="M47" s="290"/>
      <c r="AA47" s="345"/>
      <c r="AB47" s="267"/>
      <c r="AC47" s="2"/>
      <c r="AD47" s="2"/>
      <c r="AE47" s="2"/>
      <c r="AF47" s="2"/>
      <c r="AG47" s="2"/>
      <c r="AH47" s="2"/>
      <c r="AI47" s="2"/>
      <c r="AJ47" s="2"/>
      <c r="AK47" s="2"/>
      <c r="AL47" s="2"/>
      <c r="AM47" s="2"/>
      <c r="AN47" s="2"/>
      <c r="AO47" s="2"/>
      <c r="AP47" s="2"/>
      <c r="AQ47" s="2"/>
      <c r="AR47" s="2"/>
      <c r="AS47" s="2"/>
      <c r="AT47" s="2"/>
      <c r="AU47" s="2"/>
      <c r="AV47" s="2"/>
      <c r="AW47" s="2"/>
      <c r="AX47" s="2"/>
      <c r="AY47" s="2"/>
      <c r="AZ47" s="2"/>
    </row>
    <row r="48" spans="2:52" s="235" customFormat="1" x14ac:dyDescent="0.25">
      <c r="AA48" s="345"/>
      <c r="AB48" s="267"/>
      <c r="AC48" s="2"/>
      <c r="AD48" s="2"/>
      <c r="AE48" s="2"/>
      <c r="AF48" s="2"/>
      <c r="AG48" s="2"/>
      <c r="AH48" s="2"/>
      <c r="AI48" s="2"/>
      <c r="AJ48" s="2"/>
      <c r="AK48" s="2"/>
      <c r="AL48" s="2"/>
      <c r="AM48" s="2"/>
      <c r="AN48" s="2"/>
      <c r="AO48" s="2"/>
      <c r="AP48" s="2"/>
      <c r="AQ48" s="2"/>
      <c r="AR48" s="2"/>
      <c r="AS48" s="2"/>
      <c r="AT48" s="2"/>
      <c r="AU48" s="2"/>
      <c r="AV48" s="2"/>
      <c r="AW48" s="2"/>
      <c r="AX48" s="2"/>
      <c r="AY48" s="2"/>
      <c r="AZ48" s="2"/>
    </row>
    <row r="49" spans="2:52" s="235" customFormat="1" x14ac:dyDescent="0.25">
      <c r="B49" s="237"/>
      <c r="C49" s="237"/>
      <c r="AA49" s="345"/>
      <c r="AB49" s="267"/>
      <c r="AC49" s="2"/>
      <c r="AD49" s="2"/>
      <c r="AE49" s="2"/>
      <c r="AF49" s="2"/>
      <c r="AG49" s="2"/>
      <c r="AH49" s="2"/>
      <c r="AI49" s="2"/>
      <c r="AJ49" s="2"/>
      <c r="AK49" s="2"/>
      <c r="AL49" s="2"/>
      <c r="AM49" s="2"/>
      <c r="AN49" s="2"/>
      <c r="AO49" s="2"/>
      <c r="AP49" s="2"/>
      <c r="AQ49" s="2"/>
      <c r="AR49" s="2"/>
      <c r="AS49" s="2"/>
      <c r="AT49" s="2"/>
      <c r="AU49" s="2"/>
      <c r="AV49" s="2"/>
      <c r="AW49" s="2"/>
      <c r="AX49" s="2"/>
      <c r="AY49" s="2"/>
      <c r="AZ49" s="2"/>
    </row>
    <row r="50" spans="2:52" s="235" customFormat="1" x14ac:dyDescent="0.25">
      <c r="AA50" s="345"/>
      <c r="AB50" s="267"/>
      <c r="AC50" s="2"/>
      <c r="AD50" s="2"/>
      <c r="AE50" s="2"/>
      <c r="AF50" s="2"/>
      <c r="AG50" s="2"/>
      <c r="AH50" s="2"/>
      <c r="AI50" s="2"/>
      <c r="AJ50" s="2"/>
      <c r="AK50" s="2"/>
      <c r="AL50" s="2"/>
      <c r="AM50" s="2"/>
      <c r="AN50" s="2"/>
      <c r="AO50" s="2"/>
      <c r="AP50" s="2"/>
      <c r="AQ50" s="2"/>
      <c r="AR50" s="2"/>
      <c r="AS50" s="2"/>
      <c r="AT50" s="2"/>
      <c r="AU50" s="2"/>
      <c r="AV50" s="2"/>
      <c r="AW50" s="2"/>
      <c r="AX50" s="2"/>
      <c r="AY50" s="2"/>
      <c r="AZ50" s="2"/>
    </row>
    <row r="51" spans="2:52" s="235" customFormat="1" x14ac:dyDescent="0.25">
      <c r="D51" s="645"/>
      <c r="AA51" s="345"/>
      <c r="AB51" s="267"/>
      <c r="AC51" s="2"/>
      <c r="AD51" s="2"/>
      <c r="AE51" s="2"/>
      <c r="AF51" s="2"/>
      <c r="AG51" s="2"/>
      <c r="AH51" s="2"/>
      <c r="AI51" s="2"/>
      <c r="AJ51" s="2"/>
      <c r="AK51" s="2"/>
      <c r="AL51" s="2"/>
      <c r="AM51" s="2"/>
      <c r="AN51" s="2"/>
      <c r="AO51" s="2"/>
      <c r="AP51" s="2"/>
      <c r="AQ51" s="2"/>
      <c r="AR51" s="2"/>
      <c r="AS51" s="2"/>
      <c r="AT51" s="2"/>
      <c r="AU51" s="2"/>
      <c r="AV51" s="2"/>
      <c r="AW51" s="2"/>
      <c r="AX51" s="2"/>
      <c r="AY51" s="2"/>
      <c r="AZ51" s="2"/>
    </row>
    <row r="52" spans="2:52" s="235" customFormat="1" x14ac:dyDescent="0.25">
      <c r="AA52" s="345"/>
      <c r="AB52" s="267"/>
      <c r="AC52" s="2"/>
      <c r="AD52" s="2"/>
      <c r="AE52" s="2"/>
      <c r="AF52" s="2"/>
      <c r="AG52" s="2"/>
      <c r="AH52" s="2"/>
      <c r="AI52" s="2"/>
      <c r="AJ52" s="2"/>
      <c r="AK52" s="2"/>
      <c r="AL52" s="2"/>
      <c r="AM52" s="2"/>
      <c r="AN52" s="2"/>
      <c r="AO52" s="2"/>
      <c r="AP52" s="2"/>
      <c r="AQ52" s="2"/>
      <c r="AR52" s="2"/>
      <c r="AS52" s="2"/>
      <c r="AT52" s="2"/>
      <c r="AU52" s="2"/>
      <c r="AV52" s="2"/>
      <c r="AW52" s="2"/>
      <c r="AX52" s="2"/>
      <c r="AY52" s="2"/>
      <c r="AZ52" s="2"/>
    </row>
    <row r="53" spans="2:52" s="235" customFormat="1" x14ac:dyDescent="0.25">
      <c r="D53" s="645"/>
      <c r="AA53" s="345"/>
      <c r="AB53" s="267"/>
      <c r="AC53" s="2"/>
      <c r="AD53" s="2"/>
      <c r="AE53" s="2"/>
      <c r="AF53" s="2"/>
      <c r="AG53" s="2"/>
      <c r="AH53" s="2"/>
      <c r="AI53" s="2"/>
      <c r="AJ53" s="2"/>
      <c r="AK53" s="2"/>
      <c r="AL53" s="2"/>
      <c r="AM53" s="2"/>
      <c r="AN53" s="2"/>
      <c r="AO53" s="2"/>
      <c r="AP53" s="2"/>
      <c r="AQ53" s="2"/>
      <c r="AR53" s="2"/>
      <c r="AS53" s="2"/>
      <c r="AT53" s="2"/>
      <c r="AU53" s="2"/>
      <c r="AV53" s="2"/>
      <c r="AW53" s="2"/>
      <c r="AX53" s="2"/>
      <c r="AY53" s="2"/>
      <c r="AZ53" s="2"/>
    </row>
    <row r="54" spans="2:52" s="235" customFormat="1" x14ac:dyDescent="0.25">
      <c r="D54" s="645"/>
      <c r="AA54" s="345"/>
      <c r="AB54" s="267"/>
      <c r="AC54" s="2"/>
      <c r="AD54" s="2"/>
      <c r="AE54" s="2"/>
      <c r="AF54" s="2"/>
      <c r="AG54" s="2"/>
      <c r="AH54" s="2"/>
      <c r="AI54" s="2"/>
      <c r="AJ54" s="2"/>
      <c r="AK54" s="2"/>
      <c r="AL54" s="2"/>
      <c r="AM54" s="2"/>
      <c r="AN54" s="2"/>
      <c r="AO54" s="2"/>
      <c r="AP54" s="2"/>
      <c r="AQ54" s="2"/>
      <c r="AR54" s="2"/>
      <c r="AS54" s="2"/>
      <c r="AT54" s="2"/>
      <c r="AU54" s="2"/>
      <c r="AV54" s="2"/>
      <c r="AW54" s="2"/>
      <c r="AX54" s="2"/>
      <c r="AY54" s="2"/>
      <c r="AZ54" s="2"/>
    </row>
    <row r="55" spans="2:52" s="235" customFormat="1" x14ac:dyDescent="0.25">
      <c r="D55" s="645"/>
      <c r="AA55" s="345"/>
      <c r="AB55" s="267"/>
      <c r="AC55" s="2"/>
      <c r="AD55" s="2"/>
      <c r="AE55" s="2"/>
      <c r="AF55" s="2"/>
      <c r="AG55" s="2"/>
      <c r="AH55" s="2"/>
      <c r="AI55" s="2"/>
      <c r="AJ55" s="2"/>
      <c r="AK55" s="2"/>
      <c r="AL55" s="2"/>
      <c r="AM55" s="2"/>
      <c r="AN55" s="2"/>
      <c r="AO55" s="2"/>
      <c r="AP55" s="2"/>
      <c r="AQ55" s="2"/>
      <c r="AR55" s="2"/>
      <c r="AS55" s="2"/>
      <c r="AT55" s="2"/>
      <c r="AU55" s="2"/>
      <c r="AV55" s="2"/>
      <c r="AW55" s="2"/>
      <c r="AX55" s="2"/>
      <c r="AY55" s="2"/>
      <c r="AZ55" s="2"/>
    </row>
    <row r="56" spans="2:52" s="235" customFormat="1" x14ac:dyDescent="0.25">
      <c r="AA56" s="345"/>
      <c r="AB56" s="267"/>
      <c r="AC56" s="2"/>
      <c r="AD56" s="2"/>
      <c r="AE56" s="2"/>
      <c r="AF56" s="2"/>
      <c r="AG56" s="2"/>
      <c r="AH56" s="2"/>
      <c r="AI56" s="2"/>
      <c r="AJ56" s="2"/>
      <c r="AK56" s="2"/>
      <c r="AL56" s="2"/>
      <c r="AM56" s="2"/>
      <c r="AN56" s="2"/>
      <c r="AO56" s="2"/>
      <c r="AP56" s="2"/>
      <c r="AQ56" s="2"/>
      <c r="AR56" s="2"/>
      <c r="AS56" s="2"/>
      <c r="AT56" s="2"/>
      <c r="AU56" s="2"/>
      <c r="AV56" s="2"/>
      <c r="AW56" s="2"/>
      <c r="AX56" s="2"/>
      <c r="AY56" s="2"/>
      <c r="AZ56" s="2"/>
    </row>
    <row r="57" spans="2:52" s="235" customFormat="1" x14ac:dyDescent="0.25">
      <c r="AA57" s="345"/>
      <c r="AB57" s="267"/>
      <c r="AC57" s="2"/>
      <c r="AD57" s="2"/>
      <c r="AE57" s="2"/>
      <c r="AF57" s="2"/>
      <c r="AG57" s="2"/>
      <c r="AH57" s="2"/>
      <c r="AI57" s="2"/>
      <c r="AJ57" s="2"/>
      <c r="AK57" s="2"/>
      <c r="AL57" s="2"/>
      <c r="AM57" s="2"/>
      <c r="AN57" s="2"/>
      <c r="AO57" s="2"/>
      <c r="AP57" s="2"/>
      <c r="AQ57" s="2"/>
      <c r="AR57" s="2"/>
      <c r="AS57" s="2"/>
      <c r="AT57" s="2"/>
      <c r="AU57" s="2"/>
      <c r="AV57" s="2"/>
      <c r="AW57" s="2"/>
      <c r="AX57" s="2"/>
      <c r="AY57" s="2"/>
      <c r="AZ57" s="2"/>
    </row>
    <row r="58" spans="2:52" s="235" customFormat="1" x14ac:dyDescent="0.25">
      <c r="AA58" s="345"/>
      <c r="AB58" s="267"/>
      <c r="AC58" s="2"/>
      <c r="AD58" s="2"/>
      <c r="AE58" s="2"/>
      <c r="AF58" s="2"/>
      <c r="AG58" s="2"/>
      <c r="AH58" s="2"/>
      <c r="AI58" s="2"/>
      <c r="AJ58" s="2"/>
      <c r="AK58" s="2"/>
      <c r="AL58" s="2"/>
      <c r="AM58" s="2"/>
      <c r="AN58" s="2"/>
      <c r="AO58" s="2"/>
      <c r="AP58" s="2"/>
      <c r="AQ58" s="2"/>
      <c r="AR58" s="2"/>
      <c r="AS58" s="2"/>
      <c r="AT58" s="2"/>
      <c r="AU58" s="2"/>
      <c r="AV58" s="2"/>
      <c r="AW58" s="2"/>
      <c r="AX58" s="2"/>
      <c r="AY58" s="2"/>
      <c r="AZ58" s="2"/>
    </row>
    <row r="59" spans="2:52" s="235" customFormat="1" x14ac:dyDescent="0.25">
      <c r="AA59" s="345"/>
      <c r="AB59" s="267"/>
      <c r="AC59" s="2"/>
      <c r="AD59" s="2"/>
      <c r="AE59" s="2"/>
      <c r="AF59" s="2"/>
      <c r="AG59" s="2"/>
      <c r="AH59" s="2"/>
      <c r="AI59" s="2"/>
      <c r="AJ59" s="2"/>
      <c r="AK59" s="2"/>
      <c r="AL59" s="2"/>
      <c r="AM59" s="2"/>
      <c r="AN59" s="2"/>
      <c r="AO59" s="2"/>
      <c r="AP59" s="2"/>
      <c r="AQ59" s="2"/>
      <c r="AR59" s="2"/>
      <c r="AS59" s="2"/>
      <c r="AT59" s="2"/>
      <c r="AU59" s="2"/>
      <c r="AV59" s="2"/>
      <c r="AW59" s="2"/>
      <c r="AX59" s="2"/>
      <c r="AY59" s="2"/>
      <c r="AZ59" s="2"/>
    </row>
    <row r="60" spans="2:52" s="235" customFormat="1" x14ac:dyDescent="0.25">
      <c r="AA60" s="345"/>
      <c r="AB60" s="267"/>
      <c r="AC60" s="2"/>
      <c r="AD60" s="2"/>
      <c r="AE60" s="2"/>
      <c r="AF60" s="2"/>
      <c r="AG60" s="2"/>
      <c r="AH60" s="2"/>
      <c r="AI60" s="2"/>
      <c r="AJ60" s="2"/>
      <c r="AK60" s="2"/>
      <c r="AL60" s="2"/>
      <c r="AM60" s="2"/>
      <c r="AN60" s="2"/>
      <c r="AO60" s="2"/>
      <c r="AP60" s="2"/>
      <c r="AQ60" s="2"/>
      <c r="AR60" s="2"/>
      <c r="AS60" s="2"/>
      <c r="AT60" s="2"/>
      <c r="AU60" s="2"/>
      <c r="AV60" s="2"/>
      <c r="AW60" s="2"/>
      <c r="AX60" s="2"/>
      <c r="AY60" s="2"/>
      <c r="AZ60" s="2"/>
    </row>
    <row r="61" spans="2:52" s="235" customFormat="1" x14ac:dyDescent="0.25">
      <c r="AA61" s="345"/>
      <c r="AB61" s="267"/>
      <c r="AC61" s="2"/>
      <c r="AD61" s="2"/>
      <c r="AE61" s="2"/>
      <c r="AF61" s="2"/>
      <c r="AG61" s="2"/>
      <c r="AH61" s="2"/>
      <c r="AI61" s="2"/>
      <c r="AJ61" s="2"/>
      <c r="AK61" s="2"/>
      <c r="AL61" s="2"/>
      <c r="AM61" s="2"/>
      <c r="AN61" s="2"/>
    </row>
    <row r="62" spans="2:52" s="235" customFormat="1" x14ac:dyDescent="0.25">
      <c r="AA62" s="345"/>
      <c r="AB62" s="267"/>
      <c r="AC62" s="2"/>
      <c r="AD62" s="2"/>
      <c r="AE62" s="2"/>
      <c r="AF62" s="2"/>
      <c r="AG62" s="2"/>
      <c r="AH62" s="2"/>
      <c r="AI62" s="2"/>
      <c r="AJ62" s="2"/>
      <c r="AK62" s="2"/>
      <c r="AL62" s="2"/>
      <c r="AM62" s="2"/>
      <c r="AN62" s="2"/>
    </row>
    <row r="63" spans="2:52" s="235" customFormat="1" x14ac:dyDescent="0.25">
      <c r="AA63" s="345"/>
      <c r="AB63" s="267"/>
      <c r="AC63" s="2"/>
      <c r="AD63" s="2"/>
      <c r="AE63" s="2"/>
      <c r="AF63" s="2"/>
      <c r="AG63" s="2"/>
      <c r="AH63" s="2"/>
      <c r="AI63" s="2"/>
      <c r="AJ63" s="2"/>
      <c r="AK63" s="2"/>
      <c r="AL63" s="2"/>
      <c r="AM63" s="2"/>
      <c r="AN63" s="2"/>
    </row>
    <row r="64" spans="2:52" s="235" customFormat="1" x14ac:dyDescent="0.25">
      <c r="AA64" s="345"/>
      <c r="AB64" s="267"/>
      <c r="AC64" s="2"/>
      <c r="AD64" s="2"/>
      <c r="AE64" s="2"/>
      <c r="AF64" s="2"/>
      <c r="AG64" s="2"/>
      <c r="AH64" s="2"/>
      <c r="AI64" s="2"/>
      <c r="AJ64" s="2"/>
      <c r="AK64" s="2"/>
      <c r="AL64" s="2"/>
      <c r="AM64" s="2"/>
      <c r="AN64" s="2"/>
    </row>
    <row r="65" spans="27:40" s="235" customFormat="1" x14ac:dyDescent="0.25">
      <c r="AA65" s="345"/>
      <c r="AB65" s="267"/>
      <c r="AC65" s="2"/>
      <c r="AD65" s="2"/>
      <c r="AE65" s="2"/>
      <c r="AF65" s="2"/>
      <c r="AG65" s="2"/>
      <c r="AH65" s="2"/>
      <c r="AI65" s="2"/>
      <c r="AJ65" s="2"/>
      <c r="AK65" s="2"/>
      <c r="AL65" s="2"/>
      <c r="AM65" s="2"/>
      <c r="AN65" s="2"/>
    </row>
    <row r="66" spans="27:40" s="235" customFormat="1" x14ac:dyDescent="0.25">
      <c r="AA66" s="345"/>
      <c r="AB66" s="267"/>
      <c r="AC66" s="2"/>
      <c r="AD66" s="2"/>
      <c r="AE66" s="2"/>
      <c r="AF66" s="2"/>
      <c r="AG66" s="2"/>
      <c r="AH66" s="2"/>
      <c r="AI66" s="2"/>
      <c r="AJ66" s="2"/>
      <c r="AK66" s="2"/>
      <c r="AL66" s="2"/>
      <c r="AM66" s="2"/>
      <c r="AN66" s="2"/>
    </row>
    <row r="67" spans="27:40" s="235" customFormat="1" x14ac:dyDescent="0.25">
      <c r="AA67" s="345"/>
      <c r="AB67" s="267"/>
      <c r="AC67" s="2"/>
      <c r="AD67" s="2"/>
      <c r="AE67" s="2"/>
      <c r="AF67" s="2"/>
      <c r="AG67" s="2"/>
      <c r="AH67" s="2"/>
      <c r="AI67" s="2"/>
      <c r="AJ67" s="2"/>
      <c r="AK67" s="2"/>
      <c r="AL67" s="2"/>
      <c r="AM67" s="2"/>
      <c r="AN67" s="2"/>
    </row>
    <row r="68" spans="27:40" s="235" customFormat="1" x14ac:dyDescent="0.25">
      <c r="AA68" s="345"/>
      <c r="AB68" s="267"/>
      <c r="AC68" s="2"/>
      <c r="AD68" s="2"/>
      <c r="AE68" s="2"/>
      <c r="AF68" s="2"/>
      <c r="AG68" s="2"/>
      <c r="AH68" s="2"/>
      <c r="AI68" s="2"/>
      <c r="AJ68" s="2"/>
      <c r="AK68" s="2"/>
      <c r="AL68" s="2"/>
      <c r="AM68" s="2"/>
      <c r="AN68" s="2"/>
    </row>
    <row r="69" spans="27:40" s="235" customFormat="1" x14ac:dyDescent="0.25">
      <c r="AA69" s="345"/>
      <c r="AB69" s="267"/>
      <c r="AC69" s="2"/>
      <c r="AD69" s="2"/>
      <c r="AE69" s="2"/>
      <c r="AF69" s="2"/>
      <c r="AG69" s="2"/>
      <c r="AH69" s="2"/>
      <c r="AI69" s="2"/>
      <c r="AJ69" s="2"/>
      <c r="AK69" s="2"/>
      <c r="AL69" s="2"/>
      <c r="AM69" s="2"/>
      <c r="AN69" s="2"/>
    </row>
    <row r="70" spans="27:40" s="235" customFormat="1" x14ac:dyDescent="0.25">
      <c r="AA70" s="345"/>
      <c r="AB70" s="267"/>
      <c r="AC70" s="2"/>
      <c r="AD70" s="2"/>
      <c r="AE70" s="2"/>
      <c r="AF70" s="2"/>
      <c r="AG70" s="2"/>
      <c r="AH70" s="2"/>
      <c r="AI70" s="2"/>
      <c r="AJ70" s="2"/>
      <c r="AK70" s="2"/>
      <c r="AL70" s="2"/>
      <c r="AM70" s="2"/>
      <c r="AN70" s="2"/>
    </row>
    <row r="71" spans="27:40" s="235" customFormat="1" x14ac:dyDescent="0.25">
      <c r="AA71" s="345"/>
      <c r="AB71" s="267"/>
      <c r="AC71" s="2"/>
      <c r="AD71" s="2"/>
      <c r="AE71" s="2"/>
      <c r="AF71" s="2"/>
      <c r="AG71" s="2"/>
      <c r="AH71" s="2"/>
      <c r="AI71" s="2"/>
      <c r="AJ71" s="2"/>
      <c r="AK71" s="2"/>
      <c r="AL71" s="2"/>
      <c r="AM71" s="2"/>
      <c r="AN71" s="2"/>
    </row>
    <row r="72" spans="27:40" s="235" customFormat="1" x14ac:dyDescent="0.25">
      <c r="AA72" s="345"/>
      <c r="AB72" s="267"/>
      <c r="AC72" s="2"/>
      <c r="AD72" s="2"/>
      <c r="AE72" s="2"/>
      <c r="AF72" s="2"/>
      <c r="AG72" s="2"/>
      <c r="AH72" s="2"/>
      <c r="AI72" s="2"/>
      <c r="AJ72" s="2"/>
      <c r="AK72" s="2"/>
      <c r="AL72" s="2"/>
      <c r="AM72" s="2"/>
      <c r="AN72" s="2"/>
    </row>
    <row r="73" spans="27:40" s="235" customFormat="1" x14ac:dyDescent="0.25">
      <c r="AA73" s="345"/>
      <c r="AB73" s="267"/>
      <c r="AC73" s="2"/>
      <c r="AD73" s="2"/>
      <c r="AE73" s="2"/>
      <c r="AF73" s="2"/>
      <c r="AG73" s="2"/>
      <c r="AH73" s="2"/>
      <c r="AI73" s="2"/>
      <c r="AJ73" s="2"/>
      <c r="AK73" s="2"/>
      <c r="AL73" s="2"/>
      <c r="AM73" s="2"/>
      <c r="AN73" s="2"/>
    </row>
    <row r="74" spans="27:40" s="235" customFormat="1" x14ac:dyDescent="0.25">
      <c r="AA74" s="345"/>
      <c r="AB74" s="267"/>
      <c r="AC74" s="2"/>
      <c r="AD74" s="2"/>
      <c r="AE74" s="2"/>
      <c r="AF74" s="2"/>
      <c r="AG74" s="2"/>
      <c r="AH74" s="2"/>
      <c r="AI74" s="2"/>
      <c r="AJ74" s="2"/>
      <c r="AK74" s="2"/>
      <c r="AL74" s="2"/>
      <c r="AM74" s="2"/>
      <c r="AN74" s="2"/>
    </row>
    <row r="75" spans="27:40" s="235" customFormat="1" x14ac:dyDescent="0.25">
      <c r="AA75" s="345"/>
      <c r="AB75" s="267"/>
      <c r="AC75" s="2"/>
      <c r="AD75" s="2"/>
      <c r="AE75" s="2"/>
      <c r="AF75" s="2"/>
      <c r="AG75" s="2"/>
      <c r="AH75" s="2"/>
      <c r="AI75" s="2"/>
      <c r="AJ75" s="2"/>
      <c r="AK75" s="2"/>
      <c r="AL75" s="2"/>
      <c r="AM75" s="2"/>
      <c r="AN75" s="2"/>
    </row>
    <row r="76" spans="27:40" s="235" customFormat="1" x14ac:dyDescent="0.25">
      <c r="AA76" s="345"/>
      <c r="AB76" s="267"/>
      <c r="AC76" s="2"/>
      <c r="AD76" s="2"/>
      <c r="AE76" s="2"/>
      <c r="AF76" s="2"/>
      <c r="AG76" s="2"/>
      <c r="AH76" s="2"/>
      <c r="AI76" s="2"/>
      <c r="AJ76" s="2"/>
      <c r="AK76" s="2"/>
      <c r="AL76" s="2"/>
      <c r="AM76" s="2"/>
      <c r="AN76" s="2"/>
    </row>
    <row r="77" spans="27:40" s="235" customFormat="1" x14ac:dyDescent="0.25">
      <c r="AA77" s="345"/>
      <c r="AB77" s="267"/>
      <c r="AC77" s="2"/>
      <c r="AD77" s="2"/>
      <c r="AE77" s="2"/>
      <c r="AF77" s="2"/>
      <c r="AG77" s="2"/>
      <c r="AH77" s="2"/>
      <c r="AI77" s="2"/>
      <c r="AJ77" s="2"/>
      <c r="AK77" s="2"/>
      <c r="AL77" s="2"/>
      <c r="AM77" s="2"/>
      <c r="AN77" s="2"/>
    </row>
    <row r="78" spans="27:40" s="235" customFormat="1" x14ac:dyDescent="0.25">
      <c r="AA78" s="345"/>
      <c r="AB78" s="267"/>
      <c r="AC78" s="2"/>
      <c r="AD78" s="2"/>
      <c r="AE78" s="2"/>
      <c r="AF78" s="2"/>
      <c r="AG78" s="2"/>
      <c r="AH78" s="2"/>
      <c r="AI78" s="2"/>
      <c r="AJ78" s="2"/>
      <c r="AK78" s="2"/>
      <c r="AL78" s="2"/>
      <c r="AM78" s="2"/>
      <c r="AN78" s="2"/>
    </row>
    <row r="79" spans="27:40" s="235" customFormat="1" x14ac:dyDescent="0.25">
      <c r="AA79" s="345"/>
      <c r="AB79" s="267"/>
      <c r="AC79" s="2"/>
      <c r="AD79" s="2"/>
      <c r="AE79" s="2"/>
      <c r="AF79" s="2"/>
      <c r="AG79" s="2"/>
      <c r="AH79" s="2"/>
      <c r="AI79" s="2"/>
      <c r="AJ79" s="2"/>
      <c r="AK79" s="2"/>
      <c r="AL79" s="2"/>
      <c r="AM79" s="2"/>
      <c r="AN79" s="2"/>
    </row>
    <row r="80" spans="27:40" s="235" customFormat="1" x14ac:dyDescent="0.25">
      <c r="AA80" s="345"/>
      <c r="AB80" s="267"/>
      <c r="AC80" s="2"/>
      <c r="AD80" s="2"/>
      <c r="AE80" s="2"/>
      <c r="AF80" s="2"/>
      <c r="AG80" s="2"/>
      <c r="AH80" s="2"/>
      <c r="AI80" s="2"/>
      <c r="AJ80" s="2"/>
      <c r="AK80" s="2"/>
      <c r="AL80" s="2"/>
      <c r="AM80" s="2"/>
      <c r="AN80" s="2"/>
    </row>
    <row r="81" spans="27:40" s="235" customFormat="1" x14ac:dyDescent="0.25">
      <c r="AA81" s="345"/>
      <c r="AB81" s="267"/>
      <c r="AC81" s="2"/>
      <c r="AD81" s="2"/>
      <c r="AE81" s="2"/>
      <c r="AF81" s="2"/>
      <c r="AG81" s="2"/>
      <c r="AH81" s="2"/>
      <c r="AI81" s="2"/>
      <c r="AJ81" s="2"/>
      <c r="AK81" s="2"/>
      <c r="AL81" s="2"/>
      <c r="AM81" s="2"/>
      <c r="AN81" s="2"/>
    </row>
    <row r="82" spans="27:40" s="235" customFormat="1" x14ac:dyDescent="0.25">
      <c r="AA82" s="345"/>
      <c r="AB82" s="267"/>
      <c r="AC82" s="2"/>
      <c r="AD82" s="2"/>
      <c r="AE82" s="2"/>
      <c r="AF82" s="2"/>
      <c r="AG82" s="2"/>
      <c r="AH82" s="2"/>
      <c r="AI82" s="2"/>
      <c r="AJ82" s="2"/>
      <c r="AK82" s="2"/>
      <c r="AL82" s="2"/>
      <c r="AM82" s="2"/>
      <c r="AN82" s="2"/>
    </row>
    <row r="83" spans="27:40" s="235" customFormat="1" x14ac:dyDescent="0.25">
      <c r="AA83" s="345"/>
      <c r="AB83" s="267"/>
      <c r="AC83" s="2"/>
      <c r="AD83" s="2"/>
      <c r="AE83" s="2"/>
      <c r="AF83" s="2"/>
      <c r="AG83" s="2"/>
      <c r="AH83" s="2"/>
      <c r="AI83" s="2"/>
      <c r="AJ83" s="2"/>
      <c r="AK83" s="2"/>
      <c r="AL83" s="2"/>
      <c r="AM83" s="2"/>
      <c r="AN83" s="2"/>
    </row>
    <row r="84" spans="27:40" s="235" customFormat="1" x14ac:dyDescent="0.25">
      <c r="AA84" s="345"/>
      <c r="AB84" s="267"/>
      <c r="AC84" s="2"/>
      <c r="AD84" s="2"/>
      <c r="AE84" s="2"/>
      <c r="AF84" s="2"/>
      <c r="AG84" s="2"/>
      <c r="AH84" s="2"/>
      <c r="AI84" s="2"/>
      <c r="AJ84" s="2"/>
      <c r="AK84" s="2"/>
      <c r="AL84" s="2"/>
      <c r="AM84" s="2"/>
      <c r="AN84" s="2"/>
    </row>
    <row r="85" spans="27:40" s="235" customFormat="1" x14ac:dyDescent="0.25">
      <c r="AA85" s="345"/>
      <c r="AB85" s="267"/>
      <c r="AC85" s="2"/>
      <c r="AD85" s="2"/>
      <c r="AE85" s="2"/>
      <c r="AF85" s="2"/>
      <c r="AG85" s="2"/>
      <c r="AH85" s="2"/>
      <c r="AI85" s="2"/>
      <c r="AJ85" s="2"/>
      <c r="AK85" s="2"/>
      <c r="AL85" s="2"/>
      <c r="AM85" s="2"/>
      <c r="AN85" s="2"/>
    </row>
    <row r="86" spans="27:40" s="235" customFormat="1" x14ac:dyDescent="0.25">
      <c r="AA86" s="345"/>
      <c r="AB86" s="267"/>
      <c r="AC86" s="2"/>
      <c r="AD86" s="2"/>
      <c r="AE86" s="2"/>
      <c r="AF86" s="2"/>
      <c r="AG86" s="2"/>
      <c r="AH86" s="2"/>
      <c r="AI86" s="2"/>
      <c r="AJ86" s="2"/>
      <c r="AK86" s="2"/>
      <c r="AL86" s="2"/>
      <c r="AM86" s="2"/>
      <c r="AN86" s="2"/>
    </row>
    <row r="87" spans="27:40" s="235" customFormat="1" x14ac:dyDescent="0.25">
      <c r="AA87" s="345"/>
      <c r="AB87" s="267"/>
      <c r="AC87" s="2"/>
      <c r="AD87" s="2"/>
      <c r="AE87" s="2"/>
      <c r="AF87" s="2"/>
      <c r="AG87" s="2"/>
      <c r="AH87" s="2"/>
      <c r="AI87" s="2"/>
      <c r="AJ87" s="2"/>
      <c r="AK87" s="2"/>
      <c r="AL87" s="2"/>
      <c r="AM87" s="2"/>
      <c r="AN87" s="2"/>
    </row>
    <row r="88" spans="27:40" s="235" customFormat="1" x14ac:dyDescent="0.25">
      <c r="AA88" s="345"/>
      <c r="AB88" s="267"/>
      <c r="AC88" s="2"/>
      <c r="AD88" s="2"/>
      <c r="AE88" s="2"/>
      <c r="AF88" s="2"/>
      <c r="AG88" s="2"/>
      <c r="AH88" s="2"/>
      <c r="AI88" s="2"/>
      <c r="AJ88" s="2"/>
      <c r="AK88" s="2"/>
      <c r="AL88" s="2"/>
      <c r="AM88" s="2"/>
      <c r="AN88" s="2"/>
    </row>
    <row r="89" spans="27:40" s="235" customFormat="1" x14ac:dyDescent="0.25">
      <c r="AA89" s="345"/>
      <c r="AB89" s="267"/>
      <c r="AC89" s="2"/>
      <c r="AD89" s="2"/>
      <c r="AE89" s="2"/>
      <c r="AF89" s="2"/>
      <c r="AG89" s="2"/>
      <c r="AH89" s="2"/>
      <c r="AI89" s="2"/>
      <c r="AJ89" s="2"/>
      <c r="AK89" s="2"/>
      <c r="AL89" s="2"/>
      <c r="AM89" s="2"/>
      <c r="AN89" s="2"/>
    </row>
    <row r="90" spans="27:40" s="235" customFormat="1" x14ac:dyDescent="0.25">
      <c r="AA90" s="345"/>
      <c r="AB90" s="267"/>
      <c r="AC90" s="2"/>
      <c r="AD90" s="2"/>
      <c r="AE90" s="2"/>
      <c r="AF90" s="2"/>
      <c r="AG90" s="2"/>
      <c r="AH90" s="2"/>
      <c r="AI90" s="2"/>
      <c r="AJ90" s="2"/>
      <c r="AK90" s="2"/>
      <c r="AL90" s="2"/>
      <c r="AM90" s="2"/>
      <c r="AN90" s="2"/>
    </row>
    <row r="91" spans="27:40" s="235" customFormat="1" x14ac:dyDescent="0.25">
      <c r="AA91" s="345"/>
      <c r="AB91" s="267"/>
      <c r="AC91" s="2"/>
      <c r="AD91" s="2"/>
      <c r="AE91" s="2"/>
      <c r="AF91" s="2"/>
      <c r="AG91" s="2"/>
      <c r="AH91" s="2"/>
      <c r="AI91" s="2"/>
      <c r="AJ91" s="2"/>
      <c r="AK91" s="2"/>
      <c r="AL91" s="2"/>
      <c r="AM91" s="2"/>
      <c r="AN91" s="2"/>
    </row>
    <row r="92" spans="27:40" s="235" customFormat="1" x14ac:dyDescent="0.25">
      <c r="AA92" s="345"/>
      <c r="AB92" s="267"/>
      <c r="AC92" s="2"/>
      <c r="AD92" s="2"/>
      <c r="AE92" s="2"/>
      <c r="AF92" s="2"/>
      <c r="AG92" s="2"/>
      <c r="AH92" s="2"/>
      <c r="AI92" s="2"/>
      <c r="AJ92" s="2"/>
      <c r="AK92" s="2"/>
      <c r="AL92" s="2"/>
      <c r="AM92" s="2"/>
      <c r="AN92" s="2"/>
    </row>
    <row r="93" spans="27:40" s="235" customFormat="1" x14ac:dyDescent="0.25">
      <c r="AA93" s="345"/>
      <c r="AB93" s="267"/>
      <c r="AC93" s="2"/>
      <c r="AD93" s="2"/>
      <c r="AE93" s="2"/>
      <c r="AF93" s="2"/>
      <c r="AG93" s="2"/>
      <c r="AH93" s="2"/>
      <c r="AI93" s="2"/>
      <c r="AJ93" s="2"/>
      <c r="AK93" s="2"/>
      <c r="AL93" s="2"/>
      <c r="AM93" s="2"/>
      <c r="AN93" s="2"/>
    </row>
    <row r="94" spans="27:40" s="235" customFormat="1" x14ac:dyDescent="0.25">
      <c r="AA94" s="345"/>
      <c r="AB94" s="267"/>
      <c r="AC94" s="2"/>
      <c r="AD94" s="2"/>
      <c r="AE94" s="2"/>
      <c r="AF94" s="2"/>
      <c r="AG94" s="2"/>
      <c r="AH94" s="2"/>
      <c r="AI94" s="2"/>
      <c r="AJ94" s="2"/>
      <c r="AK94" s="2"/>
      <c r="AL94" s="2"/>
      <c r="AM94" s="2"/>
      <c r="AN94" s="2"/>
    </row>
    <row r="95" spans="27:40" s="235" customFormat="1" x14ac:dyDescent="0.25">
      <c r="AA95" s="345"/>
      <c r="AB95" s="267"/>
      <c r="AC95" s="2"/>
      <c r="AD95" s="2"/>
      <c r="AE95" s="2"/>
      <c r="AF95" s="2"/>
      <c r="AG95" s="2"/>
      <c r="AH95" s="2"/>
      <c r="AI95" s="2"/>
      <c r="AJ95" s="2"/>
      <c r="AK95" s="2"/>
      <c r="AL95" s="2"/>
      <c r="AM95" s="2"/>
      <c r="AN95" s="2"/>
    </row>
    <row r="96" spans="27:40" s="235" customFormat="1" x14ac:dyDescent="0.25">
      <c r="AA96" s="345"/>
      <c r="AB96" s="267"/>
      <c r="AC96" s="2"/>
      <c r="AD96" s="2"/>
      <c r="AE96" s="2"/>
      <c r="AF96" s="2"/>
      <c r="AG96" s="2"/>
      <c r="AH96" s="2"/>
      <c r="AI96" s="2"/>
      <c r="AJ96" s="2"/>
      <c r="AK96" s="2"/>
      <c r="AL96" s="2"/>
      <c r="AM96" s="2"/>
      <c r="AN96" s="2"/>
    </row>
    <row r="97" spans="27:40" s="235" customFormat="1" x14ac:dyDescent="0.25">
      <c r="AA97" s="345"/>
      <c r="AB97" s="267"/>
      <c r="AC97" s="2"/>
      <c r="AD97" s="2"/>
      <c r="AE97" s="2"/>
      <c r="AF97" s="2"/>
      <c r="AG97" s="2"/>
      <c r="AH97" s="2"/>
      <c r="AI97" s="2"/>
      <c r="AJ97" s="2"/>
      <c r="AK97" s="2"/>
      <c r="AL97" s="2"/>
      <c r="AM97" s="2"/>
      <c r="AN97" s="2"/>
    </row>
    <row r="98" spans="27:40" s="235" customFormat="1" x14ac:dyDescent="0.25">
      <c r="AA98" s="345"/>
      <c r="AB98" s="267"/>
      <c r="AC98" s="2"/>
      <c r="AD98" s="2"/>
      <c r="AE98" s="2"/>
      <c r="AF98" s="2"/>
      <c r="AG98" s="2"/>
      <c r="AH98" s="2"/>
      <c r="AI98" s="2"/>
      <c r="AJ98" s="2"/>
      <c r="AK98" s="2"/>
      <c r="AL98" s="2"/>
      <c r="AM98" s="2"/>
      <c r="AN98" s="2"/>
    </row>
    <row r="99" spans="27:40" s="235" customFormat="1" x14ac:dyDescent="0.25">
      <c r="AA99" s="345"/>
      <c r="AB99" s="267"/>
      <c r="AC99" s="2"/>
      <c r="AD99" s="2"/>
      <c r="AE99" s="2"/>
      <c r="AF99" s="2"/>
      <c r="AG99" s="2"/>
      <c r="AH99" s="2"/>
      <c r="AI99" s="2"/>
      <c r="AJ99" s="2"/>
      <c r="AK99" s="2"/>
      <c r="AL99" s="2"/>
      <c r="AM99" s="2"/>
      <c r="AN99" s="2"/>
    </row>
    <row r="100" spans="27:40" s="235" customFormat="1" x14ac:dyDescent="0.25">
      <c r="AA100" s="345"/>
      <c r="AB100" s="267"/>
      <c r="AC100" s="2"/>
      <c r="AD100" s="2"/>
      <c r="AE100" s="2"/>
      <c r="AF100" s="2"/>
      <c r="AG100" s="2"/>
      <c r="AH100" s="2"/>
      <c r="AI100" s="2"/>
      <c r="AJ100" s="2"/>
      <c r="AK100" s="2"/>
      <c r="AL100" s="2"/>
      <c r="AM100" s="2"/>
      <c r="AN100" s="2"/>
    </row>
    <row r="101" spans="27:40" s="235" customFormat="1" x14ac:dyDescent="0.25">
      <c r="AA101" s="345"/>
      <c r="AB101" s="267"/>
      <c r="AC101" s="2"/>
      <c r="AD101" s="2"/>
      <c r="AE101" s="2"/>
      <c r="AF101" s="2"/>
      <c r="AG101" s="2"/>
      <c r="AH101" s="2"/>
      <c r="AI101" s="2"/>
      <c r="AJ101" s="2"/>
      <c r="AK101" s="2"/>
      <c r="AL101" s="2"/>
      <c r="AM101" s="2"/>
      <c r="AN101" s="2"/>
    </row>
    <row r="102" spans="27:40" s="235" customFormat="1" x14ac:dyDescent="0.25">
      <c r="AA102" s="345"/>
      <c r="AB102" s="267"/>
      <c r="AC102" s="2"/>
      <c r="AD102" s="2"/>
      <c r="AE102" s="2"/>
      <c r="AF102" s="2"/>
      <c r="AG102" s="2"/>
      <c r="AH102" s="2"/>
      <c r="AI102" s="2"/>
      <c r="AJ102" s="2"/>
      <c r="AK102" s="2"/>
      <c r="AL102" s="2"/>
      <c r="AM102" s="2"/>
      <c r="AN102" s="2"/>
    </row>
    <row r="103" spans="27:40" s="235" customFormat="1" x14ac:dyDescent="0.25">
      <c r="AA103" s="345"/>
      <c r="AB103" s="267"/>
      <c r="AC103" s="2"/>
      <c r="AD103" s="2"/>
      <c r="AE103" s="2"/>
      <c r="AF103" s="2"/>
      <c r="AG103" s="2"/>
      <c r="AH103" s="2"/>
      <c r="AI103" s="2"/>
      <c r="AJ103" s="2"/>
      <c r="AK103" s="2"/>
      <c r="AL103" s="2"/>
      <c r="AM103" s="2"/>
      <c r="AN103" s="2"/>
    </row>
    <row r="104" spans="27:40" s="235" customFormat="1" x14ac:dyDescent="0.25">
      <c r="AA104" s="345"/>
      <c r="AB104" s="267"/>
      <c r="AC104" s="2"/>
      <c r="AD104" s="2"/>
      <c r="AE104" s="2"/>
      <c r="AF104" s="2"/>
      <c r="AG104" s="2"/>
      <c r="AH104" s="2"/>
      <c r="AI104" s="2"/>
      <c r="AJ104" s="2"/>
      <c r="AK104" s="2"/>
      <c r="AL104" s="2"/>
      <c r="AM104" s="2"/>
      <c r="AN104" s="2"/>
    </row>
    <row r="105" spans="27:40" s="235" customFormat="1" x14ac:dyDescent="0.25">
      <c r="AA105" s="345"/>
      <c r="AB105" s="267"/>
      <c r="AC105" s="2"/>
      <c r="AD105" s="2"/>
      <c r="AE105" s="2"/>
      <c r="AF105" s="2"/>
      <c r="AG105" s="2"/>
      <c r="AH105" s="2"/>
      <c r="AI105" s="2"/>
      <c r="AJ105" s="2"/>
      <c r="AK105" s="2"/>
      <c r="AL105" s="2"/>
      <c r="AM105" s="2"/>
      <c r="AN105" s="2"/>
    </row>
    <row r="106" spans="27:40" s="235" customFormat="1" x14ac:dyDescent="0.25">
      <c r="AA106" s="345"/>
      <c r="AB106" s="267"/>
      <c r="AC106" s="2"/>
      <c r="AD106" s="2"/>
      <c r="AE106" s="2"/>
      <c r="AF106" s="2"/>
      <c r="AG106" s="2"/>
      <c r="AH106" s="2"/>
      <c r="AI106" s="2"/>
      <c r="AJ106" s="2"/>
      <c r="AK106" s="2"/>
      <c r="AL106" s="2"/>
      <c r="AM106" s="2"/>
      <c r="AN106" s="2"/>
    </row>
    <row r="107" spans="27:40" s="235" customFormat="1" x14ac:dyDescent="0.25">
      <c r="AA107" s="345"/>
      <c r="AB107" s="267"/>
      <c r="AC107" s="2"/>
      <c r="AD107" s="2"/>
      <c r="AE107" s="2"/>
      <c r="AF107" s="2"/>
      <c r="AG107" s="2"/>
      <c r="AH107" s="2"/>
      <c r="AI107" s="2"/>
      <c r="AJ107" s="2"/>
      <c r="AK107" s="2"/>
      <c r="AL107" s="2"/>
      <c r="AM107" s="2"/>
      <c r="AN107" s="2"/>
    </row>
    <row r="108" spans="27:40" s="235" customFormat="1" x14ac:dyDescent="0.25">
      <c r="AA108" s="345"/>
      <c r="AB108" s="267"/>
      <c r="AC108" s="2"/>
      <c r="AD108" s="2"/>
      <c r="AE108" s="2"/>
      <c r="AF108" s="2"/>
      <c r="AG108" s="2"/>
      <c r="AH108" s="2"/>
      <c r="AI108" s="2"/>
      <c r="AJ108" s="2"/>
      <c r="AK108" s="2"/>
      <c r="AL108" s="2"/>
      <c r="AM108" s="2"/>
      <c r="AN108" s="2"/>
    </row>
    <row r="109" spans="27:40" s="235" customFormat="1" x14ac:dyDescent="0.25">
      <c r="AA109" s="345"/>
      <c r="AB109" s="267"/>
      <c r="AC109" s="2"/>
      <c r="AD109" s="2"/>
      <c r="AE109" s="2"/>
      <c r="AF109" s="2"/>
      <c r="AG109" s="2"/>
      <c r="AH109" s="2"/>
      <c r="AI109" s="2"/>
      <c r="AJ109" s="2"/>
      <c r="AK109" s="2"/>
      <c r="AL109" s="2"/>
      <c r="AM109" s="2"/>
      <c r="AN109" s="2"/>
    </row>
    <row r="110" spans="27:40" s="235" customFormat="1" x14ac:dyDescent="0.25">
      <c r="AA110" s="345"/>
      <c r="AB110" s="267"/>
      <c r="AC110" s="2"/>
      <c r="AD110" s="2"/>
      <c r="AE110" s="2"/>
      <c r="AF110" s="2"/>
      <c r="AG110" s="2"/>
      <c r="AH110" s="2"/>
      <c r="AI110" s="2"/>
      <c r="AJ110" s="2"/>
      <c r="AK110" s="2"/>
      <c r="AL110" s="2"/>
      <c r="AM110" s="2"/>
      <c r="AN110" s="2"/>
    </row>
    <row r="111" spans="27:40" s="235" customFormat="1" x14ac:dyDescent="0.25">
      <c r="AA111" s="345"/>
      <c r="AB111" s="267"/>
      <c r="AC111" s="2"/>
      <c r="AD111" s="2"/>
      <c r="AE111" s="2"/>
      <c r="AF111" s="2"/>
      <c r="AG111" s="2"/>
      <c r="AH111" s="2"/>
      <c r="AI111" s="2"/>
      <c r="AJ111" s="2"/>
      <c r="AK111" s="2"/>
      <c r="AL111" s="2"/>
      <c r="AM111" s="2"/>
      <c r="AN111" s="2"/>
    </row>
    <row r="112" spans="27:40" s="235" customFormat="1" x14ac:dyDescent="0.25">
      <c r="AA112" s="345"/>
      <c r="AB112" s="267"/>
      <c r="AC112" s="2"/>
      <c r="AD112" s="2"/>
      <c r="AE112" s="2"/>
      <c r="AF112" s="2"/>
      <c r="AG112" s="2"/>
      <c r="AH112" s="2"/>
      <c r="AI112" s="2"/>
      <c r="AJ112" s="2"/>
      <c r="AK112" s="2"/>
      <c r="AL112" s="2"/>
      <c r="AM112" s="2"/>
      <c r="AN112" s="2"/>
    </row>
    <row r="113" spans="27:40" s="235" customFormat="1" x14ac:dyDescent="0.25">
      <c r="AA113" s="345"/>
      <c r="AB113" s="267"/>
      <c r="AC113" s="2"/>
      <c r="AD113" s="2"/>
      <c r="AE113" s="2"/>
      <c r="AF113" s="2"/>
      <c r="AG113" s="2"/>
      <c r="AH113" s="2"/>
      <c r="AI113" s="2"/>
      <c r="AJ113" s="2"/>
      <c r="AK113" s="2"/>
      <c r="AL113" s="2"/>
      <c r="AM113" s="2"/>
      <c r="AN113" s="2"/>
    </row>
    <row r="114" spans="27:40" s="235" customFormat="1" x14ac:dyDescent="0.25">
      <c r="AA114" s="345"/>
      <c r="AB114" s="267"/>
      <c r="AC114" s="2"/>
      <c r="AD114" s="2"/>
      <c r="AE114" s="2"/>
      <c r="AF114" s="2"/>
      <c r="AG114" s="2"/>
      <c r="AH114" s="2"/>
      <c r="AI114" s="2"/>
      <c r="AJ114" s="2"/>
      <c r="AK114" s="2"/>
      <c r="AL114" s="2"/>
      <c r="AM114" s="2"/>
      <c r="AN114" s="2"/>
    </row>
    <row r="115" spans="27:40" s="235" customFormat="1" x14ac:dyDescent="0.25">
      <c r="AA115" s="345"/>
      <c r="AB115" s="267"/>
      <c r="AC115" s="2"/>
      <c r="AD115" s="2"/>
      <c r="AE115" s="2"/>
      <c r="AF115" s="2"/>
      <c r="AG115" s="2"/>
      <c r="AH115" s="2"/>
      <c r="AI115" s="2"/>
      <c r="AJ115" s="2"/>
      <c r="AK115" s="2"/>
      <c r="AL115" s="2"/>
      <c r="AM115" s="2"/>
      <c r="AN115" s="2"/>
    </row>
    <row r="116" spans="27:40" s="235" customFormat="1" x14ac:dyDescent="0.25">
      <c r="AA116" s="345"/>
      <c r="AB116" s="267"/>
      <c r="AC116" s="2"/>
      <c r="AD116" s="2"/>
      <c r="AE116" s="2"/>
      <c r="AF116" s="2"/>
      <c r="AG116" s="2"/>
      <c r="AH116" s="2"/>
      <c r="AI116" s="2"/>
      <c r="AJ116" s="2"/>
      <c r="AK116" s="2"/>
      <c r="AL116" s="2"/>
      <c r="AM116" s="2"/>
      <c r="AN116" s="2"/>
    </row>
    <row r="117" spans="27:40" s="235" customFormat="1" x14ac:dyDescent="0.25">
      <c r="AA117" s="345"/>
      <c r="AB117" s="267"/>
      <c r="AC117" s="2"/>
      <c r="AD117" s="2"/>
      <c r="AE117" s="2"/>
      <c r="AF117" s="2"/>
      <c r="AG117" s="2"/>
      <c r="AH117" s="2"/>
      <c r="AI117" s="2"/>
      <c r="AJ117" s="2"/>
      <c r="AK117" s="2"/>
      <c r="AL117" s="2"/>
      <c r="AM117" s="2"/>
      <c r="AN117" s="2"/>
    </row>
    <row r="118" spans="27:40" s="235" customFormat="1" x14ac:dyDescent="0.25">
      <c r="AA118" s="345"/>
      <c r="AB118" s="267"/>
      <c r="AC118" s="2"/>
      <c r="AD118" s="2"/>
      <c r="AE118" s="2"/>
      <c r="AF118" s="2"/>
      <c r="AG118" s="2"/>
      <c r="AH118" s="2"/>
      <c r="AI118" s="2"/>
      <c r="AJ118" s="2"/>
      <c r="AK118" s="2"/>
      <c r="AL118" s="2"/>
      <c r="AM118" s="2"/>
      <c r="AN118" s="2"/>
    </row>
    <row r="119" spans="27:40" s="235" customFormat="1" x14ac:dyDescent="0.25">
      <c r="AA119" s="345"/>
      <c r="AB119" s="267"/>
      <c r="AC119" s="2"/>
      <c r="AD119" s="2"/>
      <c r="AE119" s="2"/>
      <c r="AF119" s="2"/>
      <c r="AG119" s="2"/>
      <c r="AH119" s="2"/>
      <c r="AI119" s="2"/>
      <c r="AJ119" s="2"/>
      <c r="AK119" s="2"/>
      <c r="AL119" s="2"/>
      <c r="AM119" s="2"/>
      <c r="AN119" s="2"/>
    </row>
    <row r="120" spans="27:40" s="235" customFormat="1" x14ac:dyDescent="0.25">
      <c r="AA120" s="345"/>
      <c r="AB120" s="267"/>
      <c r="AC120" s="2"/>
      <c r="AD120" s="2"/>
      <c r="AE120" s="2"/>
      <c r="AF120" s="2"/>
      <c r="AG120" s="2"/>
      <c r="AH120" s="2"/>
      <c r="AI120" s="2"/>
      <c r="AJ120" s="2"/>
      <c r="AK120" s="2"/>
      <c r="AL120" s="2"/>
      <c r="AM120" s="2"/>
      <c r="AN120" s="2"/>
    </row>
    <row r="121" spans="27:40" s="235" customFormat="1" x14ac:dyDescent="0.25">
      <c r="AA121" s="345"/>
      <c r="AB121" s="267"/>
      <c r="AC121" s="2"/>
      <c r="AD121" s="2"/>
      <c r="AE121" s="2"/>
      <c r="AF121" s="2"/>
      <c r="AG121" s="2"/>
      <c r="AH121" s="2"/>
      <c r="AI121" s="2"/>
      <c r="AJ121" s="2"/>
      <c r="AK121" s="2"/>
      <c r="AL121" s="2"/>
      <c r="AM121" s="2"/>
      <c r="AN121" s="2"/>
    </row>
    <row r="122" spans="27:40" s="235" customFormat="1" x14ac:dyDescent="0.25">
      <c r="AA122" s="345"/>
      <c r="AB122" s="267"/>
      <c r="AC122" s="2"/>
      <c r="AD122" s="2"/>
      <c r="AE122" s="2"/>
      <c r="AF122" s="2"/>
      <c r="AG122" s="2"/>
      <c r="AH122" s="2"/>
      <c r="AI122" s="2"/>
      <c r="AJ122" s="2"/>
      <c r="AK122" s="2"/>
      <c r="AL122" s="2"/>
      <c r="AM122" s="2"/>
      <c r="AN122" s="2"/>
    </row>
    <row r="123" spans="27:40" s="235" customFormat="1" x14ac:dyDescent="0.25">
      <c r="AA123" s="345"/>
      <c r="AB123" s="267"/>
      <c r="AC123" s="2"/>
      <c r="AD123" s="2"/>
      <c r="AE123" s="2"/>
      <c r="AF123" s="2"/>
      <c r="AG123" s="2"/>
      <c r="AH123" s="2"/>
      <c r="AI123" s="2"/>
      <c r="AJ123" s="2"/>
      <c r="AK123" s="2"/>
      <c r="AL123" s="2"/>
      <c r="AM123" s="2"/>
      <c r="AN123" s="2"/>
    </row>
    <row r="124" spans="27:40" s="235" customFormat="1" x14ac:dyDescent="0.25">
      <c r="AA124" s="345"/>
      <c r="AB124" s="267"/>
      <c r="AC124" s="2"/>
      <c r="AD124" s="2"/>
      <c r="AE124" s="2"/>
      <c r="AF124" s="2"/>
      <c r="AG124" s="2"/>
      <c r="AH124" s="2"/>
      <c r="AI124" s="2"/>
      <c r="AJ124" s="2"/>
      <c r="AK124" s="2"/>
      <c r="AL124" s="2"/>
      <c r="AM124" s="2"/>
      <c r="AN124" s="2"/>
    </row>
    <row r="125" spans="27:40" s="235" customFormat="1" x14ac:dyDescent="0.25">
      <c r="AA125" s="345"/>
      <c r="AB125" s="267"/>
      <c r="AC125" s="2"/>
      <c r="AD125" s="2"/>
      <c r="AE125" s="2"/>
      <c r="AF125" s="2"/>
      <c r="AG125" s="2"/>
      <c r="AH125" s="2"/>
      <c r="AI125" s="2"/>
      <c r="AJ125" s="2"/>
      <c r="AK125" s="2"/>
      <c r="AL125" s="2"/>
      <c r="AM125" s="2"/>
      <c r="AN125" s="2"/>
    </row>
    <row r="126" spans="27:40" s="235" customFormat="1" x14ac:dyDescent="0.25">
      <c r="AA126" s="345"/>
      <c r="AB126" s="267"/>
      <c r="AC126" s="2"/>
      <c r="AD126" s="2"/>
      <c r="AE126" s="2"/>
      <c r="AF126" s="2"/>
      <c r="AG126" s="2"/>
      <c r="AH126" s="2"/>
      <c r="AI126" s="2"/>
      <c r="AJ126" s="2"/>
      <c r="AK126" s="2"/>
      <c r="AL126" s="2"/>
      <c r="AM126" s="2"/>
      <c r="AN126" s="2"/>
    </row>
    <row r="127" spans="27:40" s="235" customFormat="1" x14ac:dyDescent="0.25">
      <c r="AA127" s="345"/>
      <c r="AB127" s="267"/>
      <c r="AC127" s="2"/>
      <c r="AD127" s="2"/>
      <c r="AE127" s="2"/>
      <c r="AF127" s="2"/>
      <c r="AG127" s="2"/>
      <c r="AH127" s="2"/>
      <c r="AI127" s="2"/>
      <c r="AJ127" s="2"/>
      <c r="AK127" s="2"/>
      <c r="AL127" s="2"/>
      <c r="AM127" s="2"/>
      <c r="AN127" s="2"/>
    </row>
    <row r="128" spans="27:40" s="235" customFormat="1" x14ac:dyDescent="0.25">
      <c r="AA128" s="345"/>
      <c r="AB128" s="267"/>
      <c r="AC128" s="2"/>
      <c r="AD128" s="2"/>
      <c r="AE128" s="2"/>
      <c r="AF128" s="2"/>
      <c r="AG128" s="2"/>
      <c r="AH128" s="2"/>
      <c r="AI128" s="2"/>
      <c r="AJ128" s="2"/>
      <c r="AK128" s="2"/>
      <c r="AL128" s="2"/>
      <c r="AM128" s="2"/>
      <c r="AN128" s="2"/>
    </row>
    <row r="129" spans="27:40" s="235" customFormat="1" x14ac:dyDescent="0.25">
      <c r="AA129" s="345"/>
      <c r="AB129" s="267"/>
      <c r="AC129" s="2"/>
      <c r="AD129" s="2"/>
      <c r="AE129" s="2"/>
      <c r="AF129" s="2"/>
      <c r="AG129" s="2"/>
      <c r="AH129" s="2"/>
      <c r="AI129" s="2"/>
      <c r="AJ129" s="2"/>
      <c r="AK129" s="2"/>
      <c r="AL129" s="2"/>
      <c r="AM129" s="2"/>
      <c r="AN129" s="2"/>
    </row>
    <row r="130" spans="27:40" s="235" customFormat="1" x14ac:dyDescent="0.25">
      <c r="AA130" s="345"/>
      <c r="AB130" s="267"/>
      <c r="AC130" s="2"/>
      <c r="AD130" s="2"/>
      <c r="AE130" s="2"/>
      <c r="AF130" s="2"/>
      <c r="AG130" s="2"/>
      <c r="AH130" s="2"/>
      <c r="AI130" s="2"/>
      <c r="AJ130" s="2"/>
      <c r="AK130" s="2"/>
      <c r="AL130" s="2"/>
      <c r="AM130" s="2"/>
      <c r="AN130" s="2"/>
    </row>
    <row r="131" spans="27:40" s="235" customFormat="1" x14ac:dyDescent="0.25">
      <c r="AA131" s="345"/>
      <c r="AB131" s="267"/>
      <c r="AC131" s="2"/>
      <c r="AD131" s="2"/>
      <c r="AE131" s="2"/>
      <c r="AF131" s="2"/>
      <c r="AG131" s="2"/>
      <c r="AH131" s="2"/>
      <c r="AI131" s="2"/>
      <c r="AJ131" s="2"/>
      <c r="AK131" s="2"/>
      <c r="AL131" s="2"/>
      <c r="AM131" s="2"/>
      <c r="AN131" s="2"/>
    </row>
    <row r="132" spans="27:40" s="235" customFormat="1" x14ac:dyDescent="0.25">
      <c r="AA132" s="345"/>
      <c r="AB132" s="267"/>
      <c r="AC132" s="2"/>
      <c r="AD132" s="2"/>
      <c r="AE132" s="2"/>
      <c r="AF132" s="2"/>
      <c r="AG132" s="2"/>
      <c r="AH132" s="2"/>
      <c r="AI132" s="2"/>
      <c r="AJ132" s="2"/>
      <c r="AK132" s="2"/>
      <c r="AL132" s="2"/>
      <c r="AM132" s="2"/>
      <c r="AN132" s="2"/>
    </row>
    <row r="133" spans="27:40" s="235" customFormat="1" x14ac:dyDescent="0.25">
      <c r="AA133" s="345"/>
      <c r="AB133" s="267"/>
      <c r="AC133" s="2"/>
      <c r="AD133" s="2"/>
      <c r="AE133" s="2"/>
      <c r="AF133" s="2"/>
      <c r="AG133" s="2"/>
      <c r="AH133" s="2"/>
      <c r="AI133" s="2"/>
      <c r="AJ133" s="2"/>
      <c r="AK133" s="2"/>
      <c r="AL133" s="2"/>
      <c r="AM133" s="2"/>
      <c r="AN133" s="2"/>
    </row>
    <row r="134" spans="27:40" s="235" customFormat="1" x14ac:dyDescent="0.25">
      <c r="AA134" s="345"/>
      <c r="AB134" s="267"/>
      <c r="AC134" s="2"/>
      <c r="AD134" s="2"/>
      <c r="AE134" s="2"/>
      <c r="AF134" s="2"/>
      <c r="AG134" s="2"/>
      <c r="AH134" s="2"/>
      <c r="AI134" s="2"/>
      <c r="AJ134" s="2"/>
      <c r="AK134" s="2"/>
      <c r="AL134" s="2"/>
      <c r="AM134" s="2"/>
      <c r="AN134" s="2"/>
    </row>
    <row r="135" spans="27:40" s="235" customFormat="1" x14ac:dyDescent="0.25">
      <c r="AA135" s="345"/>
      <c r="AB135" s="267"/>
      <c r="AC135" s="2"/>
      <c r="AD135" s="2"/>
      <c r="AE135" s="2"/>
      <c r="AF135" s="2"/>
      <c r="AG135" s="2"/>
      <c r="AH135" s="2"/>
      <c r="AI135" s="2"/>
      <c r="AJ135" s="2"/>
      <c r="AK135" s="2"/>
      <c r="AL135" s="2"/>
      <c r="AM135" s="2"/>
      <c r="AN135" s="2"/>
    </row>
    <row r="136" spans="27:40" s="235" customFormat="1" x14ac:dyDescent="0.25">
      <c r="AA136" s="345"/>
      <c r="AB136" s="267"/>
      <c r="AC136" s="2"/>
      <c r="AD136" s="2"/>
      <c r="AE136" s="2"/>
      <c r="AF136" s="2"/>
      <c r="AG136" s="2"/>
      <c r="AH136" s="2"/>
      <c r="AI136" s="2"/>
      <c r="AJ136" s="2"/>
      <c r="AK136" s="2"/>
      <c r="AL136" s="2"/>
      <c r="AM136" s="2"/>
      <c r="AN136" s="2"/>
    </row>
    <row r="137" spans="27:40" s="235" customFormat="1" x14ac:dyDescent="0.25">
      <c r="AA137" s="345"/>
      <c r="AB137" s="267"/>
      <c r="AC137" s="2"/>
      <c r="AD137" s="2"/>
      <c r="AE137" s="2"/>
      <c r="AF137" s="2"/>
      <c r="AG137" s="2"/>
      <c r="AH137" s="2"/>
      <c r="AI137" s="2"/>
      <c r="AJ137" s="2"/>
      <c r="AK137" s="2"/>
      <c r="AL137" s="2"/>
      <c r="AM137" s="2"/>
      <c r="AN137" s="2"/>
    </row>
    <row r="138" spans="27:40" s="235" customFormat="1" x14ac:dyDescent="0.25">
      <c r="AA138" s="345"/>
      <c r="AB138" s="267"/>
      <c r="AC138" s="2"/>
      <c r="AD138" s="2"/>
      <c r="AE138" s="2"/>
      <c r="AF138" s="2"/>
      <c r="AG138" s="2"/>
      <c r="AH138" s="2"/>
      <c r="AI138" s="2"/>
      <c r="AJ138" s="2"/>
      <c r="AK138" s="2"/>
      <c r="AL138" s="2"/>
      <c r="AM138" s="2"/>
      <c r="AN138" s="2"/>
    </row>
    <row r="139" spans="27:40" s="235" customFormat="1" x14ac:dyDescent="0.25">
      <c r="AA139" s="345"/>
      <c r="AB139" s="267"/>
      <c r="AC139" s="2"/>
      <c r="AD139" s="2"/>
      <c r="AE139" s="2"/>
      <c r="AF139" s="2"/>
      <c r="AG139" s="2"/>
      <c r="AH139" s="2"/>
      <c r="AI139" s="2"/>
      <c r="AJ139" s="2"/>
      <c r="AK139" s="2"/>
      <c r="AL139" s="2"/>
      <c r="AM139" s="2"/>
      <c r="AN139" s="2"/>
    </row>
    <row r="140" spans="27:40" s="235" customFormat="1" x14ac:dyDescent="0.25">
      <c r="AA140" s="345"/>
      <c r="AB140" s="267"/>
      <c r="AC140" s="2"/>
      <c r="AD140" s="2"/>
      <c r="AE140" s="2"/>
      <c r="AF140" s="2"/>
      <c r="AG140" s="2"/>
      <c r="AH140" s="2"/>
      <c r="AI140" s="2"/>
      <c r="AJ140" s="2"/>
      <c r="AK140" s="2"/>
      <c r="AL140" s="2"/>
      <c r="AM140" s="2"/>
      <c r="AN140" s="2"/>
    </row>
    <row r="141" spans="27:40" s="235" customFormat="1" x14ac:dyDescent="0.25">
      <c r="AA141" s="345"/>
      <c r="AB141" s="267"/>
      <c r="AC141" s="2"/>
      <c r="AD141" s="2"/>
      <c r="AE141" s="2"/>
      <c r="AF141" s="2"/>
      <c r="AG141" s="2"/>
      <c r="AH141" s="2"/>
      <c r="AI141" s="2"/>
      <c r="AJ141" s="2"/>
      <c r="AK141" s="2"/>
      <c r="AL141" s="2"/>
      <c r="AM141" s="2"/>
      <c r="AN141" s="2"/>
    </row>
    <row r="142" spans="27:40" s="235" customFormat="1" x14ac:dyDescent="0.25">
      <c r="AA142" s="345"/>
      <c r="AB142" s="267"/>
      <c r="AC142" s="2"/>
      <c r="AD142" s="2"/>
      <c r="AE142" s="2"/>
      <c r="AF142" s="2"/>
      <c r="AG142" s="2"/>
      <c r="AH142" s="2"/>
      <c r="AI142" s="2"/>
      <c r="AJ142" s="2"/>
      <c r="AK142" s="2"/>
      <c r="AL142" s="2"/>
      <c r="AM142" s="2"/>
      <c r="AN142" s="2"/>
    </row>
    <row r="143" spans="27:40" s="235" customFormat="1" x14ac:dyDescent="0.25">
      <c r="AA143" s="345"/>
      <c r="AB143" s="267"/>
      <c r="AC143" s="2"/>
      <c r="AD143" s="2"/>
      <c r="AE143" s="2"/>
      <c r="AF143" s="2"/>
      <c r="AG143" s="2"/>
      <c r="AH143" s="2"/>
      <c r="AI143" s="2"/>
      <c r="AJ143" s="2"/>
      <c r="AK143" s="2"/>
      <c r="AL143" s="2"/>
      <c r="AM143" s="2"/>
      <c r="AN143" s="2"/>
    </row>
    <row r="144" spans="27:40" s="235" customFormat="1" x14ac:dyDescent="0.25">
      <c r="AA144" s="345"/>
      <c r="AB144" s="267"/>
      <c r="AC144" s="2"/>
      <c r="AD144" s="2"/>
      <c r="AE144" s="2"/>
      <c r="AF144" s="2"/>
      <c r="AG144" s="2"/>
      <c r="AH144" s="2"/>
      <c r="AI144" s="2"/>
      <c r="AJ144" s="2"/>
      <c r="AK144" s="2"/>
      <c r="AL144" s="2"/>
      <c r="AM144" s="2"/>
      <c r="AN144" s="2"/>
    </row>
    <row r="145" spans="27:40" s="235" customFormat="1" x14ac:dyDescent="0.25">
      <c r="AA145" s="345"/>
      <c r="AB145" s="267"/>
      <c r="AC145" s="2"/>
      <c r="AD145" s="2"/>
      <c r="AE145" s="2"/>
      <c r="AF145" s="2"/>
      <c r="AG145" s="2"/>
      <c r="AH145" s="2"/>
      <c r="AI145" s="2"/>
      <c r="AJ145" s="2"/>
      <c r="AK145" s="2"/>
      <c r="AL145" s="2"/>
      <c r="AM145" s="2"/>
      <c r="AN145" s="2"/>
    </row>
    <row r="146" spans="27:40" s="235" customFormat="1" x14ac:dyDescent="0.25">
      <c r="AA146" s="345"/>
      <c r="AB146" s="267"/>
      <c r="AC146" s="2"/>
      <c r="AD146" s="2"/>
      <c r="AE146" s="2"/>
      <c r="AF146" s="2"/>
      <c r="AG146" s="2"/>
      <c r="AH146" s="2"/>
      <c r="AI146" s="2"/>
      <c r="AJ146" s="2"/>
      <c r="AK146" s="2"/>
      <c r="AL146" s="2"/>
      <c r="AM146" s="2"/>
      <c r="AN146" s="2"/>
    </row>
    <row r="147" spans="27:40" s="235" customFormat="1" x14ac:dyDescent="0.25">
      <c r="AA147" s="345"/>
      <c r="AB147" s="267"/>
      <c r="AC147" s="2"/>
      <c r="AD147" s="2"/>
      <c r="AE147" s="2"/>
      <c r="AF147" s="2"/>
      <c r="AG147" s="2"/>
      <c r="AH147" s="2"/>
      <c r="AI147" s="2"/>
      <c r="AJ147" s="2"/>
      <c r="AK147" s="2"/>
      <c r="AL147" s="2"/>
      <c r="AM147" s="2"/>
      <c r="AN147" s="2"/>
    </row>
    <row r="148" spans="27:40" s="235" customFormat="1" x14ac:dyDescent="0.25">
      <c r="AA148" s="345"/>
      <c r="AB148" s="267"/>
      <c r="AC148" s="2"/>
      <c r="AD148" s="2"/>
      <c r="AE148" s="2"/>
      <c r="AF148" s="2"/>
      <c r="AG148" s="2"/>
      <c r="AH148" s="2"/>
      <c r="AI148" s="2"/>
      <c r="AJ148" s="2"/>
      <c r="AK148" s="2"/>
      <c r="AL148" s="2"/>
      <c r="AM148" s="2"/>
      <c r="AN148" s="2"/>
    </row>
    <row r="149" spans="27:40" s="235" customFormat="1" x14ac:dyDescent="0.25">
      <c r="AA149" s="345"/>
      <c r="AB149" s="267"/>
      <c r="AC149" s="2"/>
      <c r="AD149" s="2"/>
      <c r="AE149" s="2"/>
      <c r="AF149" s="2"/>
      <c r="AG149" s="2"/>
      <c r="AH149" s="2"/>
      <c r="AI149" s="2"/>
      <c r="AJ149" s="2"/>
      <c r="AK149" s="2"/>
      <c r="AL149" s="2"/>
      <c r="AM149" s="2"/>
      <c r="AN149" s="2"/>
    </row>
    <row r="150" spans="27:40" s="235" customFormat="1" x14ac:dyDescent="0.25">
      <c r="AA150" s="345"/>
      <c r="AB150" s="267"/>
      <c r="AC150" s="2"/>
      <c r="AD150" s="2"/>
      <c r="AE150" s="2"/>
      <c r="AF150" s="2"/>
      <c r="AG150" s="2"/>
      <c r="AH150" s="2"/>
      <c r="AI150" s="2"/>
      <c r="AJ150" s="2"/>
      <c r="AK150" s="2"/>
      <c r="AL150" s="2"/>
      <c r="AM150" s="2"/>
      <c r="AN150" s="2"/>
    </row>
    <row r="151" spans="27:40" s="235" customFormat="1" x14ac:dyDescent="0.25">
      <c r="AA151" s="345"/>
      <c r="AB151" s="267"/>
      <c r="AC151" s="2"/>
      <c r="AD151" s="2"/>
      <c r="AE151" s="2"/>
      <c r="AF151" s="2"/>
      <c r="AG151" s="2"/>
      <c r="AH151" s="2"/>
      <c r="AI151" s="2"/>
      <c r="AJ151" s="2"/>
      <c r="AK151" s="2"/>
      <c r="AL151" s="2"/>
      <c r="AM151" s="2"/>
      <c r="AN151" s="2"/>
    </row>
    <row r="152" spans="27:40" s="235" customFormat="1" x14ac:dyDescent="0.25">
      <c r="AA152" s="345"/>
      <c r="AB152" s="267"/>
      <c r="AC152" s="2"/>
      <c r="AD152" s="2"/>
      <c r="AE152" s="2"/>
      <c r="AF152" s="2"/>
      <c r="AG152" s="2"/>
      <c r="AH152" s="2"/>
      <c r="AI152" s="2"/>
      <c r="AJ152" s="2"/>
      <c r="AK152" s="2"/>
      <c r="AL152" s="2"/>
      <c r="AM152" s="2"/>
      <c r="AN152" s="2"/>
    </row>
    <row r="153" spans="27:40" s="235" customFormat="1" x14ac:dyDescent="0.25">
      <c r="AA153" s="345"/>
      <c r="AB153" s="267"/>
      <c r="AC153" s="2"/>
      <c r="AD153" s="2"/>
      <c r="AE153" s="2"/>
      <c r="AF153" s="2"/>
      <c r="AG153" s="2"/>
      <c r="AH153" s="2"/>
      <c r="AI153" s="2"/>
      <c r="AJ153" s="2"/>
      <c r="AK153" s="2"/>
      <c r="AL153" s="2"/>
      <c r="AM153" s="2"/>
      <c r="AN153" s="2"/>
    </row>
    <row r="154" spans="27:40" s="235" customFormat="1" x14ac:dyDescent="0.25">
      <c r="AA154" s="345"/>
      <c r="AB154" s="267"/>
      <c r="AC154" s="2"/>
      <c r="AD154" s="2"/>
      <c r="AE154" s="2"/>
      <c r="AF154" s="2"/>
      <c r="AG154" s="2"/>
      <c r="AH154" s="2"/>
      <c r="AI154" s="2"/>
      <c r="AJ154" s="2"/>
      <c r="AK154" s="2"/>
      <c r="AL154" s="2"/>
      <c r="AM154" s="2"/>
      <c r="AN154" s="2"/>
    </row>
    <row r="155" spans="27:40" s="235" customFormat="1" x14ac:dyDescent="0.25">
      <c r="AA155" s="345"/>
      <c r="AB155" s="267"/>
      <c r="AC155" s="2"/>
      <c r="AD155" s="2"/>
      <c r="AE155" s="2"/>
      <c r="AF155" s="2"/>
      <c r="AG155" s="2"/>
      <c r="AH155" s="2"/>
      <c r="AI155" s="2"/>
      <c r="AJ155" s="2"/>
      <c r="AK155" s="2"/>
      <c r="AL155" s="2"/>
      <c r="AM155" s="2"/>
      <c r="AN155" s="2"/>
    </row>
    <row r="156" spans="27:40" s="235" customFormat="1" x14ac:dyDescent="0.25">
      <c r="AA156" s="345"/>
      <c r="AB156" s="267"/>
      <c r="AC156" s="2"/>
      <c r="AD156" s="2"/>
      <c r="AE156" s="2"/>
      <c r="AF156" s="2"/>
      <c r="AG156" s="2"/>
      <c r="AH156" s="2"/>
      <c r="AI156" s="2"/>
      <c r="AJ156" s="2"/>
      <c r="AK156" s="2"/>
      <c r="AL156" s="2"/>
      <c r="AM156" s="2"/>
      <c r="AN156" s="2"/>
    </row>
    <row r="157" spans="27:40" s="235" customFormat="1" x14ac:dyDescent="0.25">
      <c r="AA157" s="345"/>
      <c r="AB157" s="267"/>
      <c r="AC157" s="2"/>
      <c r="AD157" s="2"/>
      <c r="AE157" s="2"/>
      <c r="AF157" s="2"/>
      <c r="AG157" s="2"/>
      <c r="AH157" s="2"/>
      <c r="AI157" s="2"/>
      <c r="AJ157" s="2"/>
      <c r="AK157" s="2"/>
      <c r="AL157" s="2"/>
      <c r="AM157" s="2"/>
      <c r="AN157" s="2"/>
    </row>
    <row r="158" spans="27:40" s="235" customFormat="1" x14ac:dyDescent="0.25">
      <c r="AA158" s="345"/>
      <c r="AB158" s="267"/>
      <c r="AC158" s="2"/>
      <c r="AD158" s="2"/>
      <c r="AE158" s="2"/>
      <c r="AF158" s="2"/>
      <c r="AG158" s="2"/>
      <c r="AH158" s="2"/>
      <c r="AI158" s="2"/>
      <c r="AJ158" s="2"/>
      <c r="AK158" s="2"/>
      <c r="AL158" s="2"/>
      <c r="AM158" s="2"/>
      <c r="AN158" s="2"/>
    </row>
    <row r="159" spans="27:40" s="235" customFormat="1" x14ac:dyDescent="0.25">
      <c r="AA159" s="345"/>
      <c r="AB159" s="267"/>
      <c r="AC159" s="2"/>
      <c r="AD159" s="2"/>
      <c r="AE159" s="2"/>
      <c r="AF159" s="2"/>
      <c r="AG159" s="2"/>
      <c r="AH159" s="2"/>
      <c r="AI159" s="2"/>
      <c r="AJ159" s="2"/>
      <c r="AK159" s="2"/>
      <c r="AL159" s="2"/>
      <c r="AM159" s="2"/>
      <c r="AN159" s="2"/>
    </row>
    <row r="160" spans="27:40" s="235" customFormat="1" x14ac:dyDescent="0.25">
      <c r="AA160" s="345"/>
      <c r="AB160" s="267"/>
      <c r="AC160" s="2"/>
      <c r="AD160" s="2"/>
      <c r="AE160" s="2"/>
      <c r="AF160" s="2"/>
      <c r="AG160" s="2"/>
      <c r="AH160" s="2"/>
      <c r="AI160" s="2"/>
      <c r="AJ160" s="2"/>
      <c r="AK160" s="2"/>
      <c r="AL160" s="2"/>
      <c r="AM160" s="2"/>
      <c r="AN160" s="2"/>
    </row>
    <row r="161" spans="27:40" s="235" customFormat="1" x14ac:dyDescent="0.25">
      <c r="AA161" s="345"/>
      <c r="AB161" s="267"/>
      <c r="AC161" s="2"/>
      <c r="AD161" s="2"/>
      <c r="AE161" s="2"/>
      <c r="AF161" s="2"/>
      <c r="AG161" s="2"/>
      <c r="AH161" s="2"/>
      <c r="AI161" s="2"/>
      <c r="AJ161" s="2"/>
      <c r="AK161" s="2"/>
      <c r="AL161" s="2"/>
      <c r="AM161" s="2"/>
      <c r="AN161" s="2"/>
    </row>
    <row r="162" spans="27:40" s="235" customFormat="1" x14ac:dyDescent="0.25">
      <c r="AA162" s="345"/>
      <c r="AB162" s="267"/>
      <c r="AC162" s="2"/>
      <c r="AD162" s="2"/>
      <c r="AE162" s="2"/>
      <c r="AF162" s="2"/>
      <c r="AG162" s="2"/>
      <c r="AH162" s="2"/>
      <c r="AI162" s="2"/>
      <c r="AJ162" s="2"/>
      <c r="AK162" s="2"/>
      <c r="AL162" s="2"/>
      <c r="AM162" s="2"/>
      <c r="AN162" s="2"/>
    </row>
    <row r="163" spans="27:40" s="235" customFormat="1" x14ac:dyDescent="0.25">
      <c r="AA163" s="345"/>
      <c r="AB163" s="267"/>
      <c r="AC163" s="2"/>
      <c r="AD163" s="2"/>
      <c r="AE163" s="2"/>
      <c r="AF163" s="2"/>
      <c r="AG163" s="2"/>
      <c r="AH163" s="2"/>
      <c r="AI163" s="2"/>
      <c r="AJ163" s="2"/>
      <c r="AK163" s="2"/>
      <c r="AL163" s="2"/>
      <c r="AM163" s="2"/>
      <c r="AN163" s="2"/>
    </row>
    <row r="164" spans="27:40" s="235" customFormat="1" x14ac:dyDescent="0.25">
      <c r="AA164" s="345"/>
      <c r="AB164" s="267"/>
      <c r="AC164" s="2"/>
      <c r="AD164" s="2"/>
      <c r="AE164" s="2"/>
      <c r="AF164" s="2"/>
      <c r="AG164" s="2"/>
      <c r="AH164" s="2"/>
      <c r="AI164" s="2"/>
      <c r="AJ164" s="2"/>
      <c r="AK164" s="2"/>
      <c r="AL164" s="2"/>
      <c r="AM164" s="2"/>
      <c r="AN164" s="2"/>
    </row>
    <row r="165" spans="27:40" s="235" customFormat="1" x14ac:dyDescent="0.25">
      <c r="AA165" s="345"/>
      <c r="AB165" s="267"/>
      <c r="AC165" s="2"/>
      <c r="AD165" s="2"/>
      <c r="AE165" s="2"/>
      <c r="AF165" s="2"/>
      <c r="AG165" s="2"/>
      <c r="AH165" s="2"/>
      <c r="AI165" s="2"/>
      <c r="AJ165" s="2"/>
      <c r="AK165" s="2"/>
      <c r="AL165" s="2"/>
      <c r="AM165" s="2"/>
      <c r="AN165" s="2"/>
    </row>
    <row r="166" spans="27:40" s="235" customFormat="1" x14ac:dyDescent="0.25">
      <c r="AA166" s="345"/>
      <c r="AB166" s="267"/>
      <c r="AC166" s="2"/>
      <c r="AD166" s="2"/>
      <c r="AE166" s="2"/>
      <c r="AF166" s="2"/>
      <c r="AG166" s="2"/>
      <c r="AH166" s="2"/>
      <c r="AI166" s="2"/>
      <c r="AJ166" s="2"/>
      <c r="AK166" s="2"/>
      <c r="AL166" s="2"/>
      <c r="AM166" s="2"/>
      <c r="AN166" s="2"/>
    </row>
    <row r="167" spans="27:40" s="235" customFormat="1" x14ac:dyDescent="0.25">
      <c r="AA167" s="345"/>
      <c r="AB167" s="267"/>
      <c r="AC167" s="2"/>
      <c r="AD167" s="2"/>
      <c r="AE167" s="2"/>
      <c r="AF167" s="2"/>
      <c r="AG167" s="2"/>
      <c r="AH167" s="2"/>
      <c r="AI167" s="2"/>
      <c r="AJ167" s="2"/>
      <c r="AK167" s="2"/>
      <c r="AL167" s="2"/>
      <c r="AM167" s="2"/>
      <c r="AN167" s="2"/>
    </row>
    <row r="168" spans="27:40" s="235" customFormat="1" x14ac:dyDescent="0.25">
      <c r="AA168" s="345"/>
      <c r="AB168" s="267"/>
      <c r="AC168" s="2"/>
      <c r="AD168" s="2"/>
      <c r="AE168" s="2"/>
      <c r="AF168" s="2"/>
      <c r="AG168" s="2"/>
      <c r="AH168" s="2"/>
      <c r="AI168" s="2"/>
      <c r="AJ168" s="2"/>
      <c r="AK168" s="2"/>
      <c r="AL168" s="2"/>
      <c r="AM168" s="2"/>
      <c r="AN168" s="2"/>
    </row>
    <row r="169" spans="27:40" s="235" customFormat="1" x14ac:dyDescent="0.25">
      <c r="AA169" s="345"/>
      <c r="AB169" s="267"/>
      <c r="AC169" s="2"/>
      <c r="AD169" s="2"/>
      <c r="AE169" s="2"/>
      <c r="AF169" s="2"/>
      <c r="AG169" s="2"/>
      <c r="AH169" s="2"/>
      <c r="AI169" s="2"/>
      <c r="AJ169" s="2"/>
      <c r="AK169" s="2"/>
      <c r="AL169" s="2"/>
      <c r="AM169" s="2"/>
      <c r="AN169" s="2"/>
    </row>
    <row r="170" spans="27:40" s="235" customFormat="1" x14ac:dyDescent="0.25">
      <c r="AA170" s="345"/>
      <c r="AB170" s="267"/>
      <c r="AC170" s="2"/>
      <c r="AD170" s="2"/>
      <c r="AE170" s="2"/>
      <c r="AF170" s="2"/>
      <c r="AG170" s="2"/>
      <c r="AH170" s="2"/>
      <c r="AI170" s="2"/>
      <c r="AJ170" s="2"/>
      <c r="AK170" s="2"/>
      <c r="AL170" s="2"/>
      <c r="AM170" s="2"/>
      <c r="AN170" s="2"/>
    </row>
    <row r="171" spans="27:40" s="235" customFormat="1" x14ac:dyDescent="0.25">
      <c r="AA171" s="345"/>
      <c r="AB171" s="267"/>
      <c r="AC171" s="2"/>
      <c r="AD171" s="2"/>
      <c r="AE171" s="2"/>
      <c r="AF171" s="2"/>
      <c r="AG171" s="2"/>
      <c r="AH171" s="2"/>
      <c r="AI171" s="2"/>
      <c r="AJ171" s="2"/>
      <c r="AK171" s="2"/>
      <c r="AL171" s="2"/>
      <c r="AM171" s="2"/>
      <c r="AN171" s="2"/>
    </row>
    <row r="172" spans="27:40" s="235" customFormat="1" x14ac:dyDescent="0.25">
      <c r="AA172" s="345"/>
      <c r="AB172" s="267"/>
      <c r="AC172" s="2"/>
      <c r="AD172" s="2"/>
      <c r="AE172" s="2"/>
      <c r="AF172" s="2"/>
      <c r="AG172" s="2"/>
      <c r="AH172" s="2"/>
      <c r="AI172" s="2"/>
      <c r="AJ172" s="2"/>
      <c r="AK172" s="2"/>
      <c r="AL172" s="2"/>
      <c r="AM172" s="2"/>
      <c r="AN172" s="2"/>
    </row>
    <row r="173" spans="27:40" s="235" customFormat="1" x14ac:dyDescent="0.25">
      <c r="AA173" s="345"/>
      <c r="AB173" s="267"/>
      <c r="AC173" s="2"/>
      <c r="AD173" s="2"/>
      <c r="AE173" s="2"/>
      <c r="AF173" s="2"/>
      <c r="AG173" s="2"/>
      <c r="AH173" s="2"/>
      <c r="AI173" s="2"/>
      <c r="AJ173" s="2"/>
      <c r="AK173" s="2"/>
      <c r="AL173" s="2"/>
      <c r="AM173" s="2"/>
      <c r="AN173" s="2"/>
    </row>
    <row r="174" spans="27:40" s="235" customFormat="1" x14ac:dyDescent="0.25">
      <c r="AA174" s="345"/>
      <c r="AB174" s="267"/>
      <c r="AC174" s="2"/>
      <c r="AD174" s="2"/>
      <c r="AE174" s="2"/>
      <c r="AF174" s="2"/>
      <c r="AG174" s="2"/>
      <c r="AH174" s="2"/>
      <c r="AI174" s="2"/>
      <c r="AJ174" s="2"/>
      <c r="AK174" s="2"/>
      <c r="AL174" s="2"/>
      <c r="AM174" s="2"/>
      <c r="AN174" s="2"/>
    </row>
    <row r="175" spans="27:40" s="235" customFormat="1" x14ac:dyDescent="0.25">
      <c r="AA175" s="345"/>
      <c r="AB175" s="267"/>
      <c r="AC175" s="2"/>
      <c r="AD175" s="2"/>
      <c r="AE175" s="2"/>
      <c r="AF175" s="2"/>
      <c r="AG175" s="2"/>
      <c r="AH175" s="2"/>
      <c r="AI175" s="2"/>
      <c r="AJ175" s="2"/>
      <c r="AK175" s="2"/>
      <c r="AL175" s="2"/>
      <c r="AM175" s="2"/>
      <c r="AN175" s="2"/>
    </row>
    <row r="176" spans="27:40" s="235" customFormat="1" x14ac:dyDescent="0.25">
      <c r="AA176" s="345"/>
      <c r="AB176" s="267"/>
      <c r="AC176" s="2"/>
      <c r="AD176" s="2"/>
      <c r="AE176" s="2"/>
      <c r="AF176" s="2"/>
      <c r="AG176" s="2"/>
      <c r="AH176" s="2"/>
      <c r="AI176" s="2"/>
      <c r="AJ176" s="2"/>
      <c r="AK176" s="2"/>
      <c r="AL176" s="2"/>
      <c r="AM176" s="2"/>
      <c r="AN176" s="2"/>
    </row>
    <row r="177" spans="27:40" s="235" customFormat="1" x14ac:dyDescent="0.25">
      <c r="AA177" s="345"/>
      <c r="AB177" s="267"/>
      <c r="AC177" s="2"/>
      <c r="AD177" s="2"/>
      <c r="AE177" s="2"/>
      <c r="AF177" s="2"/>
      <c r="AG177" s="2"/>
      <c r="AH177" s="2"/>
      <c r="AI177" s="2"/>
      <c r="AJ177" s="2"/>
      <c r="AK177" s="2"/>
      <c r="AL177" s="2"/>
      <c r="AM177" s="2"/>
      <c r="AN177" s="2"/>
    </row>
    <row r="178" spans="27:40" s="235" customFormat="1" x14ac:dyDescent="0.25">
      <c r="AA178" s="345"/>
      <c r="AB178" s="267"/>
      <c r="AC178" s="2"/>
      <c r="AD178" s="2"/>
      <c r="AE178" s="2"/>
      <c r="AF178" s="2"/>
      <c r="AG178" s="2"/>
      <c r="AH178" s="2"/>
      <c r="AI178" s="2"/>
      <c r="AJ178" s="2"/>
      <c r="AK178" s="2"/>
      <c r="AL178" s="2"/>
      <c r="AM178" s="2"/>
      <c r="AN178" s="2"/>
    </row>
    <row r="179" spans="27:40" s="235" customFormat="1" x14ac:dyDescent="0.25">
      <c r="AA179" s="345"/>
      <c r="AB179" s="267"/>
      <c r="AC179" s="2"/>
      <c r="AD179" s="2"/>
      <c r="AE179" s="2"/>
      <c r="AF179" s="2"/>
      <c r="AG179" s="2"/>
      <c r="AH179" s="2"/>
      <c r="AI179" s="2"/>
      <c r="AJ179" s="2"/>
      <c r="AK179" s="2"/>
      <c r="AL179" s="2"/>
      <c r="AM179" s="2"/>
      <c r="AN179" s="2"/>
    </row>
    <row r="180" spans="27:40" s="235" customFormat="1" x14ac:dyDescent="0.25">
      <c r="AA180" s="345"/>
      <c r="AB180" s="267"/>
      <c r="AC180" s="2"/>
      <c r="AD180" s="2"/>
      <c r="AE180" s="2"/>
      <c r="AF180" s="2"/>
      <c r="AG180" s="2"/>
      <c r="AH180" s="2"/>
      <c r="AI180" s="2"/>
      <c r="AJ180" s="2"/>
      <c r="AK180" s="2"/>
      <c r="AL180" s="2"/>
      <c r="AM180" s="2"/>
      <c r="AN180" s="2"/>
    </row>
    <row r="181" spans="27:40" s="235" customFormat="1" x14ac:dyDescent="0.25">
      <c r="AA181" s="345"/>
      <c r="AB181" s="267"/>
      <c r="AC181" s="2"/>
      <c r="AD181" s="2"/>
      <c r="AE181" s="2"/>
      <c r="AF181" s="2"/>
      <c r="AG181" s="2"/>
      <c r="AH181" s="2"/>
      <c r="AI181" s="2"/>
      <c r="AJ181" s="2"/>
      <c r="AK181" s="2"/>
      <c r="AL181" s="2"/>
      <c r="AM181" s="2"/>
      <c r="AN181" s="2"/>
    </row>
    <row r="182" spans="27:40" s="235" customFormat="1" x14ac:dyDescent="0.25">
      <c r="AA182" s="345"/>
      <c r="AB182" s="267"/>
      <c r="AC182" s="2"/>
      <c r="AD182" s="2"/>
      <c r="AE182" s="2"/>
      <c r="AF182" s="2"/>
      <c r="AG182" s="2"/>
      <c r="AH182" s="2"/>
      <c r="AI182" s="2"/>
      <c r="AJ182" s="2"/>
      <c r="AK182" s="2"/>
      <c r="AL182" s="2"/>
      <c r="AM182" s="2"/>
      <c r="AN182" s="2"/>
    </row>
    <row r="183" spans="27:40" s="235" customFormat="1" x14ac:dyDescent="0.25">
      <c r="AA183" s="345"/>
      <c r="AB183" s="267"/>
      <c r="AC183" s="2"/>
      <c r="AD183" s="2"/>
      <c r="AE183" s="2"/>
      <c r="AF183" s="2"/>
      <c r="AG183" s="2"/>
      <c r="AH183" s="2"/>
      <c r="AI183" s="2"/>
      <c r="AJ183" s="2"/>
      <c r="AK183" s="2"/>
      <c r="AL183" s="2"/>
      <c r="AM183" s="2"/>
      <c r="AN183" s="2"/>
    </row>
    <row r="184" spans="27:40" s="235" customFormat="1" x14ac:dyDescent="0.25">
      <c r="AA184" s="345"/>
      <c r="AB184" s="267"/>
      <c r="AC184" s="2"/>
      <c r="AD184" s="2"/>
      <c r="AE184" s="2"/>
      <c r="AF184" s="2"/>
      <c r="AG184" s="2"/>
      <c r="AH184" s="2"/>
      <c r="AI184" s="2"/>
      <c r="AJ184" s="2"/>
      <c r="AK184" s="2"/>
      <c r="AL184" s="2"/>
      <c r="AM184" s="2"/>
      <c r="AN184" s="2"/>
    </row>
    <row r="185" spans="27:40" s="235" customFormat="1" x14ac:dyDescent="0.25">
      <c r="AA185" s="345"/>
      <c r="AB185" s="267"/>
      <c r="AC185" s="2"/>
      <c r="AD185" s="2"/>
      <c r="AE185" s="2"/>
      <c r="AF185" s="2"/>
      <c r="AG185" s="2"/>
      <c r="AH185" s="2"/>
      <c r="AI185" s="2"/>
      <c r="AJ185" s="2"/>
      <c r="AK185" s="2"/>
      <c r="AL185" s="2"/>
      <c r="AM185" s="2"/>
      <c r="AN185" s="2"/>
    </row>
    <row r="186" spans="27:40" s="235" customFormat="1" x14ac:dyDescent="0.25">
      <c r="AA186" s="345"/>
      <c r="AB186" s="267"/>
      <c r="AC186" s="2"/>
      <c r="AD186" s="2"/>
      <c r="AE186" s="2"/>
      <c r="AF186" s="2"/>
      <c r="AG186" s="2"/>
      <c r="AH186" s="2"/>
      <c r="AI186" s="2"/>
      <c r="AJ186" s="2"/>
      <c r="AK186" s="2"/>
      <c r="AL186" s="2"/>
      <c r="AM186" s="2"/>
      <c r="AN186" s="2"/>
    </row>
    <row r="187" spans="27:40" s="235" customFormat="1" x14ac:dyDescent="0.25">
      <c r="AA187" s="345"/>
      <c r="AB187" s="267"/>
      <c r="AC187" s="2"/>
      <c r="AD187" s="2"/>
      <c r="AE187" s="2"/>
      <c r="AF187" s="2"/>
      <c r="AG187" s="2"/>
      <c r="AH187" s="2"/>
      <c r="AI187" s="2"/>
      <c r="AJ187" s="2"/>
      <c r="AK187" s="2"/>
      <c r="AL187" s="2"/>
      <c r="AM187" s="2"/>
      <c r="AN187" s="2"/>
    </row>
    <row r="188" spans="27:40" s="235" customFormat="1" x14ac:dyDescent="0.25">
      <c r="AA188" s="345"/>
      <c r="AB188" s="267"/>
      <c r="AC188" s="2"/>
      <c r="AD188" s="2"/>
      <c r="AE188" s="2"/>
      <c r="AF188" s="2"/>
      <c r="AG188" s="2"/>
      <c r="AH188" s="2"/>
      <c r="AI188" s="2"/>
      <c r="AJ188" s="2"/>
      <c r="AK188" s="2"/>
      <c r="AL188" s="2"/>
      <c r="AM188" s="2"/>
      <c r="AN188" s="2"/>
    </row>
    <row r="189" spans="27:40" s="235" customFormat="1" x14ac:dyDescent="0.25">
      <c r="AA189" s="345"/>
      <c r="AB189" s="267"/>
      <c r="AC189" s="2"/>
      <c r="AD189" s="2"/>
      <c r="AE189" s="2"/>
      <c r="AF189" s="2"/>
      <c r="AG189" s="2"/>
      <c r="AH189" s="2"/>
      <c r="AI189" s="2"/>
      <c r="AJ189" s="2"/>
      <c r="AK189" s="2"/>
      <c r="AL189" s="2"/>
      <c r="AM189" s="2"/>
      <c r="AN189" s="2"/>
    </row>
    <row r="190" spans="27:40" s="235" customFormat="1" x14ac:dyDescent="0.25">
      <c r="AA190" s="345"/>
      <c r="AB190" s="267"/>
      <c r="AC190" s="2"/>
      <c r="AD190" s="2"/>
      <c r="AE190" s="2"/>
      <c r="AF190" s="2"/>
      <c r="AG190" s="2"/>
      <c r="AH190" s="2"/>
      <c r="AI190" s="2"/>
      <c r="AJ190" s="2"/>
      <c r="AK190" s="2"/>
      <c r="AL190" s="2"/>
      <c r="AM190" s="2"/>
      <c r="AN190" s="2"/>
    </row>
    <row r="191" spans="27:40" s="235" customFormat="1" x14ac:dyDescent="0.25">
      <c r="AA191" s="345"/>
      <c r="AB191" s="267"/>
      <c r="AC191" s="2"/>
      <c r="AD191" s="2"/>
      <c r="AE191" s="2"/>
      <c r="AF191" s="2"/>
      <c r="AG191" s="2"/>
      <c r="AH191" s="2"/>
      <c r="AI191" s="2"/>
      <c r="AJ191" s="2"/>
      <c r="AK191" s="2"/>
      <c r="AL191" s="2"/>
      <c r="AM191" s="2"/>
      <c r="AN191" s="2"/>
    </row>
    <row r="192" spans="27:40" s="235" customFormat="1" x14ac:dyDescent="0.25">
      <c r="AA192" s="345"/>
      <c r="AB192" s="267"/>
      <c r="AC192" s="2"/>
      <c r="AD192" s="2"/>
      <c r="AE192" s="2"/>
      <c r="AF192" s="2"/>
      <c r="AG192" s="2"/>
      <c r="AH192" s="2"/>
      <c r="AI192" s="2"/>
      <c r="AJ192" s="2"/>
      <c r="AK192" s="2"/>
      <c r="AL192" s="2"/>
      <c r="AM192" s="2"/>
      <c r="AN192" s="2"/>
    </row>
    <row r="193" spans="27:40" s="235" customFormat="1" x14ac:dyDescent="0.25">
      <c r="AA193" s="345"/>
      <c r="AB193" s="267"/>
      <c r="AC193" s="2"/>
      <c r="AD193" s="2"/>
      <c r="AE193" s="2"/>
      <c r="AF193" s="2"/>
      <c r="AG193" s="2"/>
      <c r="AH193" s="2"/>
      <c r="AI193" s="2"/>
      <c r="AJ193" s="2"/>
      <c r="AK193" s="2"/>
      <c r="AL193" s="2"/>
      <c r="AM193" s="2"/>
      <c r="AN193" s="2"/>
    </row>
    <row r="194" spans="27:40" s="235" customFormat="1" x14ac:dyDescent="0.25">
      <c r="AA194" s="345"/>
      <c r="AB194" s="267"/>
      <c r="AC194" s="2"/>
      <c r="AD194" s="2"/>
      <c r="AE194" s="2"/>
      <c r="AF194" s="2"/>
      <c r="AG194" s="2"/>
      <c r="AH194" s="2"/>
      <c r="AI194" s="2"/>
      <c r="AJ194" s="2"/>
      <c r="AK194" s="2"/>
      <c r="AL194" s="2"/>
      <c r="AM194" s="2"/>
      <c r="AN194" s="2"/>
    </row>
    <row r="195" spans="27:40" s="235" customFormat="1" x14ac:dyDescent="0.25">
      <c r="AA195" s="345"/>
      <c r="AB195" s="267"/>
      <c r="AC195" s="2"/>
      <c r="AD195" s="2"/>
      <c r="AE195" s="2"/>
      <c r="AF195" s="2"/>
      <c r="AG195" s="2"/>
      <c r="AH195" s="2"/>
      <c r="AI195" s="2"/>
      <c r="AJ195" s="2"/>
      <c r="AK195" s="2"/>
      <c r="AL195" s="2"/>
      <c r="AM195" s="2"/>
      <c r="AN195" s="2"/>
    </row>
    <row r="196" spans="27:40" s="235" customFormat="1" x14ac:dyDescent="0.25">
      <c r="AA196" s="345"/>
      <c r="AB196" s="267"/>
      <c r="AC196" s="2"/>
      <c r="AD196" s="2"/>
      <c r="AE196" s="2"/>
      <c r="AF196" s="2"/>
      <c r="AG196" s="2"/>
      <c r="AH196" s="2"/>
      <c r="AI196" s="2"/>
      <c r="AJ196" s="2"/>
      <c r="AK196" s="2"/>
      <c r="AL196" s="2"/>
      <c r="AM196" s="2"/>
      <c r="AN196" s="2"/>
    </row>
    <row r="197" spans="27:40" s="235" customFormat="1" x14ac:dyDescent="0.25">
      <c r="AA197" s="345"/>
      <c r="AB197" s="267"/>
      <c r="AC197" s="2"/>
      <c r="AD197" s="2"/>
      <c r="AE197" s="2"/>
      <c r="AF197" s="2"/>
      <c r="AG197" s="2"/>
      <c r="AH197" s="2"/>
      <c r="AI197" s="2"/>
      <c r="AJ197" s="2"/>
      <c r="AK197" s="2"/>
      <c r="AL197" s="2"/>
      <c r="AM197" s="2"/>
      <c r="AN197" s="2"/>
    </row>
    <row r="198" spans="27:40" s="235" customFormat="1" x14ac:dyDescent="0.25">
      <c r="AA198" s="345"/>
      <c r="AB198" s="267"/>
      <c r="AC198" s="2"/>
      <c r="AD198" s="2"/>
      <c r="AE198" s="2"/>
      <c r="AF198" s="2"/>
      <c r="AG198" s="2"/>
      <c r="AH198" s="2"/>
      <c r="AI198" s="2"/>
      <c r="AJ198" s="2"/>
      <c r="AK198" s="2"/>
      <c r="AL198" s="2"/>
      <c r="AM198" s="2"/>
      <c r="AN198" s="2"/>
    </row>
    <row r="199" spans="27:40" s="235" customFormat="1" x14ac:dyDescent="0.25">
      <c r="AA199" s="345"/>
      <c r="AB199" s="267"/>
      <c r="AC199" s="2"/>
      <c r="AD199" s="2"/>
      <c r="AE199" s="2"/>
      <c r="AF199" s="2"/>
      <c r="AG199" s="2"/>
      <c r="AH199" s="2"/>
      <c r="AI199" s="2"/>
      <c r="AJ199" s="2"/>
      <c r="AK199" s="2"/>
      <c r="AL199" s="2"/>
      <c r="AM199" s="2"/>
      <c r="AN199" s="2"/>
    </row>
    <row r="200" spans="27:40" s="235" customFormat="1" x14ac:dyDescent="0.25">
      <c r="AA200" s="345"/>
      <c r="AB200" s="267"/>
      <c r="AC200" s="2"/>
      <c r="AD200" s="2"/>
      <c r="AE200" s="2"/>
      <c r="AF200" s="2"/>
      <c r="AG200" s="2"/>
      <c r="AH200" s="2"/>
      <c r="AI200" s="2"/>
      <c r="AJ200" s="2"/>
      <c r="AK200" s="2"/>
      <c r="AL200" s="2"/>
      <c r="AM200" s="2"/>
      <c r="AN200" s="2"/>
    </row>
    <row r="201" spans="27:40" s="235" customFormat="1" x14ac:dyDescent="0.25">
      <c r="AA201" s="345"/>
      <c r="AB201" s="267"/>
      <c r="AC201" s="2"/>
      <c r="AD201" s="2"/>
      <c r="AE201" s="2"/>
      <c r="AF201" s="2"/>
      <c r="AG201" s="2"/>
      <c r="AH201" s="2"/>
      <c r="AI201" s="2"/>
      <c r="AJ201" s="2"/>
      <c r="AK201" s="2"/>
      <c r="AL201" s="2"/>
      <c r="AM201" s="2"/>
      <c r="AN201" s="2"/>
    </row>
    <row r="202" spans="27:40" s="235" customFormat="1" x14ac:dyDescent="0.25">
      <c r="AA202" s="345"/>
      <c r="AB202" s="267"/>
      <c r="AC202" s="2"/>
      <c r="AD202" s="2"/>
      <c r="AE202" s="2"/>
      <c r="AF202" s="2"/>
      <c r="AG202" s="2"/>
      <c r="AH202" s="2"/>
      <c r="AI202" s="2"/>
      <c r="AJ202" s="2"/>
      <c r="AK202" s="2"/>
      <c r="AL202" s="2"/>
      <c r="AM202" s="2"/>
      <c r="AN202" s="2"/>
    </row>
    <row r="203" spans="27:40" s="235" customFormat="1" x14ac:dyDescent="0.25">
      <c r="AA203" s="345"/>
      <c r="AB203" s="267"/>
      <c r="AC203" s="2"/>
      <c r="AD203" s="2"/>
      <c r="AE203" s="2"/>
      <c r="AF203" s="2"/>
      <c r="AG203" s="2"/>
      <c r="AH203" s="2"/>
      <c r="AI203" s="2"/>
      <c r="AJ203" s="2"/>
      <c r="AK203" s="2"/>
      <c r="AL203" s="2"/>
      <c r="AM203" s="2"/>
      <c r="AN203" s="2"/>
    </row>
    <row r="204" spans="27:40" s="235" customFormat="1" x14ac:dyDescent="0.25">
      <c r="AA204" s="345"/>
      <c r="AB204" s="267"/>
      <c r="AC204" s="2"/>
      <c r="AD204" s="2"/>
      <c r="AE204" s="2"/>
      <c r="AF204" s="2"/>
      <c r="AG204" s="2"/>
      <c r="AH204" s="2"/>
      <c r="AI204" s="2"/>
      <c r="AJ204" s="2"/>
      <c r="AK204" s="2"/>
      <c r="AL204" s="2"/>
      <c r="AM204" s="2"/>
      <c r="AN204" s="2"/>
    </row>
    <row r="205" spans="27:40" s="235" customFormat="1" x14ac:dyDescent="0.25">
      <c r="AA205" s="345"/>
      <c r="AB205" s="267"/>
      <c r="AC205" s="2"/>
      <c r="AD205" s="2"/>
      <c r="AE205" s="2"/>
      <c r="AF205" s="2"/>
      <c r="AG205" s="2"/>
      <c r="AH205" s="2"/>
      <c r="AI205" s="2"/>
      <c r="AJ205" s="2"/>
      <c r="AK205" s="2"/>
      <c r="AL205" s="2"/>
      <c r="AM205" s="2"/>
      <c r="AN205" s="2"/>
    </row>
    <row r="206" spans="27:40" s="235" customFormat="1" x14ac:dyDescent="0.25">
      <c r="AA206" s="345"/>
      <c r="AB206" s="267"/>
      <c r="AC206" s="2"/>
      <c r="AD206" s="2"/>
      <c r="AE206" s="2"/>
      <c r="AF206" s="2"/>
      <c r="AG206" s="2"/>
      <c r="AH206" s="2"/>
      <c r="AI206" s="2"/>
      <c r="AJ206" s="2"/>
      <c r="AK206" s="2"/>
      <c r="AL206" s="2"/>
      <c r="AM206" s="2"/>
      <c r="AN206" s="2"/>
    </row>
    <row r="207" spans="27:40" s="235" customFormat="1" x14ac:dyDescent="0.25">
      <c r="AA207" s="345"/>
      <c r="AB207" s="267"/>
      <c r="AC207" s="2"/>
      <c r="AD207" s="2"/>
      <c r="AE207" s="2"/>
      <c r="AF207" s="2"/>
      <c r="AG207" s="2"/>
      <c r="AH207" s="2"/>
      <c r="AI207" s="2"/>
      <c r="AJ207" s="2"/>
      <c r="AK207" s="2"/>
      <c r="AL207" s="2"/>
      <c r="AM207" s="2"/>
      <c r="AN207" s="2"/>
    </row>
    <row r="208" spans="27:40" s="235" customFormat="1" x14ac:dyDescent="0.25">
      <c r="AA208" s="345"/>
      <c r="AB208" s="267"/>
      <c r="AC208" s="2"/>
      <c r="AD208" s="2"/>
      <c r="AE208" s="2"/>
      <c r="AF208" s="2"/>
      <c r="AG208" s="2"/>
      <c r="AH208" s="2"/>
      <c r="AI208" s="2"/>
      <c r="AJ208" s="2"/>
      <c r="AK208" s="2"/>
      <c r="AL208" s="2"/>
      <c r="AM208" s="2"/>
      <c r="AN208" s="2"/>
    </row>
    <row r="209" spans="27:40" s="235" customFormat="1" x14ac:dyDescent="0.25">
      <c r="AA209" s="345"/>
      <c r="AB209" s="267"/>
      <c r="AC209" s="2"/>
      <c r="AD209" s="2"/>
      <c r="AE209" s="2"/>
      <c r="AF209" s="2"/>
      <c r="AG209" s="2"/>
      <c r="AH209" s="2"/>
      <c r="AI209" s="2"/>
      <c r="AJ209" s="2"/>
      <c r="AK209" s="2"/>
      <c r="AL209" s="2"/>
      <c r="AM209" s="2"/>
      <c r="AN209" s="2"/>
    </row>
    <row r="210" spans="27:40" s="235" customFormat="1" x14ac:dyDescent="0.25">
      <c r="AA210" s="345"/>
      <c r="AB210" s="267"/>
      <c r="AC210" s="2"/>
      <c r="AD210" s="2"/>
      <c r="AE210" s="2"/>
      <c r="AF210" s="2"/>
      <c r="AG210" s="2"/>
      <c r="AH210" s="2"/>
      <c r="AI210" s="2"/>
      <c r="AJ210" s="2"/>
      <c r="AK210" s="2"/>
      <c r="AL210" s="2"/>
      <c r="AM210" s="2"/>
      <c r="AN210" s="2"/>
    </row>
    <row r="211" spans="27:40" s="235" customFormat="1" x14ac:dyDescent="0.25">
      <c r="AA211" s="345"/>
      <c r="AB211" s="267"/>
      <c r="AC211" s="2"/>
      <c r="AD211" s="2"/>
      <c r="AE211" s="2"/>
      <c r="AF211" s="2"/>
      <c r="AG211" s="2"/>
      <c r="AH211" s="2"/>
      <c r="AI211" s="2"/>
      <c r="AJ211" s="2"/>
      <c r="AK211" s="2"/>
      <c r="AL211" s="2"/>
      <c r="AM211" s="2"/>
      <c r="AN211" s="2"/>
    </row>
    <row r="212" spans="27:40" s="235" customFormat="1" x14ac:dyDescent="0.25">
      <c r="AA212" s="345"/>
      <c r="AB212" s="267"/>
      <c r="AC212" s="2"/>
      <c r="AD212" s="2"/>
      <c r="AE212" s="2"/>
      <c r="AF212" s="2"/>
      <c r="AG212" s="2"/>
      <c r="AH212" s="2"/>
      <c r="AI212" s="2"/>
      <c r="AJ212" s="2"/>
      <c r="AK212" s="2"/>
      <c r="AL212" s="2"/>
      <c r="AM212" s="2"/>
      <c r="AN212" s="2"/>
    </row>
    <row r="213" spans="27:40" s="235" customFormat="1" x14ac:dyDescent="0.25">
      <c r="AA213" s="345"/>
      <c r="AB213" s="267"/>
      <c r="AC213" s="2"/>
      <c r="AD213" s="2"/>
      <c r="AE213" s="2"/>
      <c r="AF213" s="2"/>
      <c r="AG213" s="2"/>
      <c r="AH213" s="2"/>
      <c r="AI213" s="2"/>
      <c r="AJ213" s="2"/>
      <c r="AK213" s="2"/>
      <c r="AL213" s="2"/>
      <c r="AM213" s="2"/>
      <c r="AN213" s="2"/>
    </row>
    <row r="214" spans="27:40" s="235" customFormat="1" x14ac:dyDescent="0.25">
      <c r="AA214" s="345"/>
      <c r="AB214" s="267"/>
      <c r="AC214" s="2"/>
      <c r="AD214" s="2"/>
      <c r="AE214" s="2"/>
      <c r="AF214" s="2"/>
      <c r="AG214" s="2"/>
      <c r="AH214" s="2"/>
      <c r="AI214" s="2"/>
      <c r="AJ214" s="2"/>
      <c r="AK214" s="2"/>
      <c r="AL214" s="2"/>
      <c r="AM214" s="2"/>
      <c r="AN214" s="2"/>
    </row>
    <row r="215" spans="27:40" s="235" customFormat="1" x14ac:dyDescent="0.25">
      <c r="AA215" s="345"/>
      <c r="AB215" s="267"/>
      <c r="AC215" s="2"/>
      <c r="AD215" s="2"/>
      <c r="AE215" s="2"/>
      <c r="AF215" s="2"/>
      <c r="AG215" s="2"/>
      <c r="AH215" s="2"/>
      <c r="AI215" s="2"/>
      <c r="AJ215" s="2"/>
      <c r="AK215" s="2"/>
      <c r="AL215" s="2"/>
      <c r="AM215" s="2"/>
      <c r="AN215" s="2"/>
    </row>
    <row r="216" spans="27:40" s="235" customFormat="1" x14ac:dyDescent="0.25">
      <c r="AA216" s="345"/>
      <c r="AB216" s="267"/>
      <c r="AC216" s="2"/>
      <c r="AD216" s="2"/>
      <c r="AE216" s="2"/>
      <c r="AF216" s="2"/>
      <c r="AG216" s="2"/>
      <c r="AH216" s="2"/>
      <c r="AI216" s="2"/>
      <c r="AJ216" s="2"/>
      <c r="AK216" s="2"/>
      <c r="AL216" s="2"/>
      <c r="AM216" s="2"/>
      <c r="AN216" s="2"/>
    </row>
    <row r="217" spans="27:40" s="235" customFormat="1" x14ac:dyDescent="0.25">
      <c r="AA217" s="345"/>
      <c r="AB217" s="267"/>
      <c r="AC217" s="2"/>
      <c r="AD217" s="2"/>
      <c r="AE217" s="2"/>
      <c r="AF217" s="2"/>
      <c r="AG217" s="2"/>
      <c r="AH217" s="2"/>
      <c r="AI217" s="2"/>
      <c r="AJ217" s="2"/>
      <c r="AK217" s="2"/>
      <c r="AL217" s="2"/>
      <c r="AM217" s="2"/>
      <c r="AN217" s="2"/>
    </row>
    <row r="218" spans="27:40" s="235" customFormat="1" x14ac:dyDescent="0.25">
      <c r="AA218" s="345"/>
      <c r="AB218" s="267"/>
      <c r="AC218" s="2"/>
      <c r="AD218" s="2"/>
      <c r="AE218" s="2"/>
      <c r="AF218" s="2"/>
      <c r="AG218" s="2"/>
      <c r="AH218" s="2"/>
      <c r="AI218" s="2"/>
      <c r="AJ218" s="2"/>
      <c r="AK218" s="2"/>
      <c r="AL218" s="2"/>
      <c r="AM218" s="2"/>
      <c r="AN218" s="2"/>
    </row>
    <row r="219" spans="27:40" s="235" customFormat="1" x14ac:dyDescent="0.25">
      <c r="AA219" s="345"/>
      <c r="AB219" s="267"/>
      <c r="AC219" s="2"/>
      <c r="AD219" s="2"/>
      <c r="AE219" s="2"/>
      <c r="AF219" s="2"/>
      <c r="AG219" s="2"/>
      <c r="AH219" s="2"/>
      <c r="AI219" s="2"/>
      <c r="AJ219" s="2"/>
      <c r="AK219" s="2"/>
      <c r="AL219" s="2"/>
      <c r="AM219" s="2"/>
      <c r="AN219" s="2"/>
    </row>
    <row r="220" spans="27:40" s="235" customFormat="1" x14ac:dyDescent="0.25">
      <c r="AA220" s="345"/>
      <c r="AB220" s="267"/>
      <c r="AC220" s="2"/>
      <c r="AD220" s="2"/>
      <c r="AE220" s="2"/>
      <c r="AF220" s="2"/>
      <c r="AG220" s="2"/>
      <c r="AH220" s="2"/>
      <c r="AI220" s="2"/>
      <c r="AJ220" s="2"/>
      <c r="AK220" s="2"/>
      <c r="AL220" s="2"/>
      <c r="AM220" s="2"/>
      <c r="AN220" s="2"/>
    </row>
    <row r="221" spans="27:40" s="235" customFormat="1" x14ac:dyDescent="0.25">
      <c r="AA221" s="345"/>
      <c r="AB221" s="267"/>
      <c r="AC221" s="2"/>
      <c r="AD221" s="2"/>
      <c r="AE221" s="2"/>
      <c r="AF221" s="2"/>
      <c r="AG221" s="2"/>
      <c r="AH221" s="2"/>
      <c r="AI221" s="2"/>
      <c r="AJ221" s="2"/>
      <c r="AK221" s="2"/>
      <c r="AL221" s="2"/>
      <c r="AM221" s="2"/>
      <c r="AN221" s="2"/>
    </row>
    <row r="222" spans="27:40" s="235" customFormat="1" x14ac:dyDescent="0.25">
      <c r="AA222" s="345"/>
      <c r="AB222" s="267"/>
      <c r="AC222" s="2"/>
      <c r="AD222" s="2"/>
      <c r="AE222" s="2"/>
      <c r="AF222" s="2"/>
      <c r="AG222" s="2"/>
      <c r="AH222" s="2"/>
      <c r="AI222" s="2"/>
      <c r="AJ222" s="2"/>
      <c r="AK222" s="2"/>
      <c r="AL222" s="2"/>
      <c r="AM222" s="2"/>
      <c r="AN222" s="2"/>
    </row>
    <row r="223" spans="27:40" s="235" customFormat="1" x14ac:dyDescent="0.25">
      <c r="AA223" s="345"/>
      <c r="AB223" s="267"/>
      <c r="AC223" s="2"/>
      <c r="AD223" s="2"/>
      <c r="AE223" s="2"/>
      <c r="AF223" s="2"/>
      <c r="AG223" s="2"/>
      <c r="AH223" s="2"/>
      <c r="AI223" s="2"/>
      <c r="AJ223" s="2"/>
      <c r="AK223" s="2"/>
      <c r="AL223" s="2"/>
      <c r="AM223" s="2"/>
      <c r="AN223" s="2"/>
    </row>
    <row r="224" spans="27:40" s="235" customFormat="1" x14ac:dyDescent="0.25">
      <c r="AA224" s="345"/>
      <c r="AB224" s="267"/>
      <c r="AC224" s="2"/>
      <c r="AD224" s="2"/>
      <c r="AE224" s="2"/>
      <c r="AF224" s="2"/>
      <c r="AG224" s="2"/>
      <c r="AH224" s="2"/>
      <c r="AI224" s="2"/>
      <c r="AJ224" s="2"/>
      <c r="AK224" s="2"/>
      <c r="AL224" s="2"/>
      <c r="AM224" s="2"/>
      <c r="AN224" s="2"/>
    </row>
    <row r="225" spans="27:40" s="235" customFormat="1" x14ac:dyDescent="0.25">
      <c r="AA225" s="345"/>
      <c r="AB225" s="267"/>
      <c r="AC225" s="2"/>
      <c r="AD225" s="2"/>
      <c r="AE225" s="2"/>
      <c r="AF225" s="2"/>
      <c r="AG225" s="2"/>
      <c r="AH225" s="2"/>
      <c r="AI225" s="2"/>
      <c r="AJ225" s="2"/>
      <c r="AK225" s="2"/>
      <c r="AL225" s="2"/>
      <c r="AM225" s="2"/>
      <c r="AN225" s="2"/>
    </row>
    <row r="226" spans="27:40" s="235" customFormat="1" x14ac:dyDescent="0.25">
      <c r="AA226" s="345"/>
      <c r="AB226" s="267"/>
      <c r="AC226" s="2"/>
      <c r="AD226" s="2"/>
      <c r="AE226" s="2"/>
      <c r="AF226" s="2"/>
      <c r="AG226" s="2"/>
      <c r="AH226" s="2"/>
      <c r="AI226" s="2"/>
      <c r="AJ226" s="2"/>
      <c r="AK226" s="2"/>
      <c r="AL226" s="2"/>
      <c r="AM226" s="2"/>
      <c r="AN226" s="2"/>
    </row>
    <row r="227" spans="27:40" s="235" customFormat="1" x14ac:dyDescent="0.25">
      <c r="AA227" s="345"/>
      <c r="AB227" s="267"/>
      <c r="AC227" s="2"/>
      <c r="AD227" s="2"/>
      <c r="AE227" s="2"/>
      <c r="AF227" s="2"/>
      <c r="AG227" s="2"/>
      <c r="AH227" s="2"/>
      <c r="AI227" s="2"/>
      <c r="AJ227" s="2"/>
      <c r="AK227" s="2"/>
      <c r="AL227" s="2"/>
      <c r="AM227" s="2"/>
      <c r="AN227" s="2"/>
    </row>
    <row r="228" spans="27:40" s="235" customFormat="1" x14ac:dyDescent="0.25">
      <c r="AA228" s="345"/>
      <c r="AB228" s="267"/>
      <c r="AC228" s="2"/>
      <c r="AD228" s="2"/>
      <c r="AE228" s="2"/>
      <c r="AF228" s="2"/>
      <c r="AG228" s="2"/>
      <c r="AH228" s="2"/>
      <c r="AI228" s="2"/>
      <c r="AJ228" s="2"/>
      <c r="AK228" s="2"/>
      <c r="AL228" s="2"/>
      <c r="AM228" s="2"/>
      <c r="AN228" s="2"/>
    </row>
    <row r="229" spans="27:40" s="235" customFormat="1" x14ac:dyDescent="0.25">
      <c r="AA229" s="345"/>
      <c r="AB229" s="267"/>
      <c r="AC229" s="2"/>
      <c r="AD229" s="2"/>
      <c r="AE229" s="2"/>
      <c r="AF229" s="2"/>
      <c r="AG229" s="2"/>
      <c r="AH229" s="2"/>
      <c r="AI229" s="2"/>
      <c r="AJ229" s="2"/>
      <c r="AK229" s="2"/>
      <c r="AL229" s="2"/>
      <c r="AM229" s="2"/>
      <c r="AN229" s="2"/>
    </row>
    <row r="230" spans="27:40" s="235" customFormat="1" x14ac:dyDescent="0.25">
      <c r="AA230" s="345"/>
      <c r="AB230" s="267"/>
      <c r="AC230" s="2"/>
      <c r="AD230" s="2"/>
      <c r="AE230" s="2"/>
      <c r="AF230" s="2"/>
      <c r="AG230" s="2"/>
      <c r="AH230" s="2"/>
      <c r="AI230" s="2"/>
      <c r="AJ230" s="2"/>
      <c r="AK230" s="2"/>
      <c r="AL230" s="2"/>
      <c r="AM230" s="2"/>
      <c r="AN230" s="2"/>
    </row>
    <row r="231" spans="27:40" s="235" customFormat="1" x14ac:dyDescent="0.25">
      <c r="AA231" s="345"/>
      <c r="AB231" s="267"/>
      <c r="AC231" s="2"/>
      <c r="AD231" s="2"/>
      <c r="AE231" s="2"/>
      <c r="AF231" s="2"/>
      <c r="AG231" s="2"/>
      <c r="AH231" s="2"/>
      <c r="AI231" s="2"/>
      <c r="AJ231" s="2"/>
      <c r="AK231" s="2"/>
      <c r="AL231" s="2"/>
      <c r="AM231" s="2"/>
      <c r="AN231" s="2"/>
    </row>
    <row r="232" spans="27:40" s="235" customFormat="1" x14ac:dyDescent="0.25">
      <c r="AA232" s="345"/>
      <c r="AB232" s="267"/>
      <c r="AC232" s="2"/>
      <c r="AD232" s="2"/>
      <c r="AE232" s="2"/>
      <c r="AF232" s="2"/>
      <c r="AG232" s="2"/>
      <c r="AH232" s="2"/>
      <c r="AI232" s="2"/>
      <c r="AJ232" s="2"/>
      <c r="AK232" s="2"/>
      <c r="AL232" s="2"/>
      <c r="AM232" s="2"/>
      <c r="AN232" s="2"/>
    </row>
    <row r="233" spans="27:40" s="235" customFormat="1" x14ac:dyDescent="0.25">
      <c r="AA233" s="345"/>
      <c r="AB233" s="267"/>
      <c r="AC233" s="2"/>
      <c r="AD233" s="2"/>
      <c r="AE233" s="2"/>
      <c r="AF233" s="2"/>
      <c r="AG233" s="2"/>
      <c r="AH233" s="2"/>
      <c r="AI233" s="2"/>
      <c r="AJ233" s="2"/>
      <c r="AK233" s="2"/>
      <c r="AL233" s="2"/>
      <c r="AM233" s="2"/>
      <c r="AN233" s="2"/>
    </row>
    <row r="234" spans="27:40" s="235" customFormat="1" x14ac:dyDescent="0.25">
      <c r="AA234" s="345"/>
      <c r="AB234" s="267"/>
      <c r="AC234" s="2"/>
      <c r="AD234" s="2"/>
      <c r="AE234" s="2"/>
      <c r="AF234" s="2"/>
      <c r="AG234" s="2"/>
      <c r="AH234" s="2"/>
      <c r="AI234" s="2"/>
      <c r="AJ234" s="2"/>
      <c r="AK234" s="2"/>
      <c r="AL234" s="2"/>
      <c r="AM234" s="2"/>
      <c r="AN234" s="2"/>
    </row>
    <row r="235" spans="27:40" s="235" customFormat="1" x14ac:dyDescent="0.25">
      <c r="AA235" s="345"/>
      <c r="AB235" s="267"/>
      <c r="AC235" s="2"/>
      <c r="AD235" s="2"/>
      <c r="AE235" s="2"/>
      <c r="AF235" s="2"/>
      <c r="AG235" s="2"/>
      <c r="AH235" s="2"/>
      <c r="AI235" s="2"/>
      <c r="AJ235" s="2"/>
      <c r="AK235" s="2"/>
      <c r="AL235" s="2"/>
      <c r="AM235" s="2"/>
      <c r="AN235" s="2"/>
    </row>
    <row r="236" spans="27:40" s="235" customFormat="1" x14ac:dyDescent="0.25">
      <c r="AA236" s="345"/>
      <c r="AB236" s="267"/>
      <c r="AC236" s="2"/>
      <c r="AD236" s="2"/>
      <c r="AE236" s="2"/>
      <c r="AF236" s="2"/>
      <c r="AG236" s="2"/>
      <c r="AH236" s="2"/>
      <c r="AI236" s="2"/>
      <c r="AJ236" s="2"/>
      <c r="AK236" s="2"/>
      <c r="AL236" s="2"/>
      <c r="AM236" s="2"/>
      <c r="AN236" s="2"/>
    </row>
    <row r="237" spans="27:40" s="235" customFormat="1" x14ac:dyDescent="0.25">
      <c r="AA237" s="345"/>
      <c r="AB237" s="267"/>
      <c r="AC237" s="2"/>
      <c r="AD237" s="2"/>
      <c r="AE237" s="2"/>
      <c r="AF237" s="2"/>
      <c r="AG237" s="2"/>
      <c r="AH237" s="2"/>
      <c r="AI237" s="2"/>
      <c r="AJ237" s="2"/>
      <c r="AK237" s="2"/>
      <c r="AL237" s="2"/>
      <c r="AM237" s="2"/>
      <c r="AN237" s="2"/>
    </row>
    <row r="238" spans="27:40" s="235" customFormat="1" x14ac:dyDescent="0.25">
      <c r="AA238" s="345"/>
      <c r="AB238" s="267"/>
      <c r="AC238" s="2"/>
      <c r="AD238" s="2"/>
      <c r="AE238" s="2"/>
      <c r="AF238" s="2"/>
      <c r="AG238" s="2"/>
      <c r="AH238" s="2"/>
      <c r="AI238" s="2"/>
      <c r="AJ238" s="2"/>
      <c r="AK238" s="2"/>
      <c r="AL238" s="2"/>
      <c r="AM238" s="2"/>
      <c r="AN238" s="2"/>
    </row>
    <row r="239" spans="27:40" s="235" customFormat="1" x14ac:dyDescent="0.25">
      <c r="AA239" s="345"/>
      <c r="AB239" s="267"/>
      <c r="AC239" s="2"/>
      <c r="AD239" s="2"/>
      <c r="AE239" s="2"/>
      <c r="AF239" s="2"/>
      <c r="AG239" s="2"/>
      <c r="AH239" s="2"/>
      <c r="AI239" s="2"/>
      <c r="AJ239" s="2"/>
      <c r="AK239" s="2"/>
      <c r="AL239" s="2"/>
      <c r="AM239" s="2"/>
      <c r="AN239" s="2"/>
    </row>
    <row r="240" spans="27:40" s="235" customFormat="1" x14ac:dyDescent="0.25">
      <c r="AA240" s="345"/>
      <c r="AB240" s="267"/>
      <c r="AC240" s="2"/>
      <c r="AD240" s="2"/>
      <c r="AE240" s="2"/>
      <c r="AF240" s="2"/>
      <c r="AG240" s="2"/>
      <c r="AH240" s="2"/>
      <c r="AI240" s="2"/>
      <c r="AJ240" s="2"/>
      <c r="AK240" s="2"/>
      <c r="AL240" s="2"/>
      <c r="AM240" s="2"/>
      <c r="AN240" s="2"/>
    </row>
    <row r="241" spans="27:40" s="235" customFormat="1" x14ac:dyDescent="0.25">
      <c r="AA241" s="345"/>
      <c r="AB241" s="267"/>
      <c r="AC241" s="2"/>
      <c r="AD241" s="2"/>
      <c r="AE241" s="2"/>
      <c r="AF241" s="2"/>
      <c r="AG241" s="2"/>
      <c r="AH241" s="2"/>
      <c r="AI241" s="2"/>
      <c r="AJ241" s="2"/>
      <c r="AK241" s="2"/>
      <c r="AL241" s="2"/>
      <c r="AM241" s="2"/>
      <c r="AN241" s="2"/>
    </row>
    <row r="242" spans="27:40" s="235" customFormat="1" x14ac:dyDescent="0.25">
      <c r="AA242" s="345"/>
      <c r="AB242" s="267"/>
      <c r="AC242" s="2"/>
      <c r="AD242" s="2"/>
      <c r="AE242" s="2"/>
      <c r="AF242" s="2"/>
      <c r="AG242" s="2"/>
      <c r="AH242" s="2"/>
      <c r="AI242" s="2"/>
      <c r="AJ242" s="2"/>
      <c r="AK242" s="2"/>
      <c r="AL242" s="2"/>
      <c r="AM242" s="2"/>
      <c r="AN242" s="2"/>
    </row>
    <row r="243" spans="27:40" s="235" customFormat="1" x14ac:dyDescent="0.25">
      <c r="AA243" s="345"/>
      <c r="AB243" s="267"/>
      <c r="AC243" s="2"/>
      <c r="AD243" s="2"/>
      <c r="AE243" s="2"/>
      <c r="AF243" s="2"/>
      <c r="AG243" s="2"/>
      <c r="AH243" s="2"/>
      <c r="AI243" s="2"/>
      <c r="AJ243" s="2"/>
      <c r="AK243" s="2"/>
      <c r="AL243" s="2"/>
      <c r="AM243" s="2"/>
      <c r="AN243" s="2"/>
    </row>
    <row r="244" spans="27:40" s="235" customFormat="1" x14ac:dyDescent="0.25">
      <c r="AA244" s="345"/>
      <c r="AB244" s="267"/>
      <c r="AC244" s="2"/>
      <c r="AD244" s="2"/>
      <c r="AE244" s="2"/>
      <c r="AF244" s="2"/>
      <c r="AG244" s="2"/>
      <c r="AH244" s="2"/>
      <c r="AI244" s="2"/>
      <c r="AJ244" s="2"/>
      <c r="AK244" s="2"/>
      <c r="AL244" s="2"/>
      <c r="AM244" s="2"/>
      <c r="AN244" s="2"/>
    </row>
    <row r="245" spans="27:40" s="235" customFormat="1" x14ac:dyDescent="0.25">
      <c r="AA245" s="345"/>
      <c r="AB245" s="267"/>
      <c r="AC245" s="2"/>
      <c r="AD245" s="2"/>
      <c r="AE245" s="2"/>
      <c r="AF245" s="2"/>
      <c r="AG245" s="2"/>
      <c r="AH245" s="2"/>
      <c r="AI245" s="2"/>
      <c r="AJ245" s="2"/>
      <c r="AK245" s="2"/>
      <c r="AL245" s="2"/>
      <c r="AM245" s="2"/>
      <c r="AN245" s="2"/>
    </row>
    <row r="246" spans="27:40" s="235" customFormat="1" x14ac:dyDescent="0.25">
      <c r="AA246" s="345"/>
      <c r="AB246" s="267"/>
      <c r="AC246" s="2"/>
      <c r="AD246" s="2"/>
      <c r="AE246" s="2"/>
      <c r="AF246" s="2"/>
      <c r="AG246" s="2"/>
      <c r="AH246" s="2"/>
      <c r="AI246" s="2"/>
      <c r="AJ246" s="2"/>
      <c r="AK246" s="2"/>
      <c r="AL246" s="2"/>
      <c r="AM246" s="2"/>
      <c r="AN246" s="2"/>
    </row>
    <row r="247" spans="27:40" s="235" customFormat="1" x14ac:dyDescent="0.25">
      <c r="AA247" s="345"/>
      <c r="AB247" s="267"/>
      <c r="AC247" s="2"/>
      <c r="AD247" s="2"/>
      <c r="AE247" s="2"/>
      <c r="AF247" s="2"/>
      <c r="AG247" s="2"/>
      <c r="AH247" s="2"/>
      <c r="AI247" s="2"/>
      <c r="AJ247" s="2"/>
      <c r="AK247" s="2"/>
      <c r="AL247" s="2"/>
      <c r="AM247" s="2"/>
      <c r="AN247" s="2"/>
    </row>
    <row r="248" spans="27:40" s="235" customFormat="1" x14ac:dyDescent="0.25">
      <c r="AA248" s="345"/>
      <c r="AB248" s="267"/>
      <c r="AC248" s="2"/>
      <c r="AD248" s="2"/>
      <c r="AE248" s="2"/>
      <c r="AF248" s="2"/>
      <c r="AG248" s="2"/>
      <c r="AH248" s="2"/>
      <c r="AI248" s="2"/>
      <c r="AJ248" s="2"/>
      <c r="AK248" s="2"/>
      <c r="AL248" s="2"/>
      <c r="AM248" s="2"/>
      <c r="AN248" s="2"/>
    </row>
    <row r="249" spans="27:40" s="235" customFormat="1" x14ac:dyDescent="0.25">
      <c r="AA249" s="345"/>
      <c r="AB249" s="267"/>
      <c r="AC249" s="2"/>
      <c r="AD249" s="2"/>
      <c r="AE249" s="2"/>
      <c r="AF249" s="2"/>
      <c r="AG249" s="2"/>
      <c r="AH249" s="2"/>
      <c r="AI249" s="2"/>
      <c r="AJ249" s="2"/>
      <c r="AK249" s="2"/>
      <c r="AL249" s="2"/>
      <c r="AM249" s="2"/>
      <c r="AN249" s="2"/>
    </row>
    <row r="250" spans="27:40" s="235" customFormat="1" x14ac:dyDescent="0.25">
      <c r="AA250" s="345"/>
      <c r="AB250" s="267"/>
      <c r="AC250" s="2"/>
      <c r="AD250" s="2"/>
      <c r="AE250" s="2"/>
      <c r="AF250" s="2"/>
      <c r="AG250" s="2"/>
      <c r="AH250" s="2"/>
      <c r="AI250" s="2"/>
      <c r="AJ250" s="2"/>
      <c r="AK250" s="2"/>
      <c r="AL250" s="2"/>
      <c r="AM250" s="2"/>
      <c r="AN250" s="2"/>
    </row>
    <row r="251" spans="27:40" s="235" customFormat="1" x14ac:dyDescent="0.25">
      <c r="AA251" s="345"/>
      <c r="AB251" s="267"/>
      <c r="AC251" s="2"/>
      <c r="AD251" s="2"/>
      <c r="AE251" s="2"/>
      <c r="AF251" s="2"/>
      <c r="AG251" s="2"/>
      <c r="AH251" s="2"/>
      <c r="AI251" s="2"/>
      <c r="AJ251" s="2"/>
      <c r="AK251" s="2"/>
      <c r="AL251" s="2"/>
      <c r="AM251" s="2"/>
      <c r="AN251" s="2"/>
    </row>
    <row r="252" spans="27:40" s="235" customFormat="1" x14ac:dyDescent="0.25">
      <c r="AA252" s="345"/>
      <c r="AB252" s="267"/>
      <c r="AC252" s="2"/>
      <c r="AD252" s="2"/>
      <c r="AE252" s="2"/>
      <c r="AF252" s="2"/>
      <c r="AG252" s="2"/>
      <c r="AH252" s="2"/>
      <c r="AI252" s="2"/>
      <c r="AJ252" s="2"/>
      <c r="AK252" s="2"/>
      <c r="AL252" s="2"/>
      <c r="AM252" s="2"/>
      <c r="AN252" s="2"/>
    </row>
    <row r="253" spans="27:40" s="235" customFormat="1" x14ac:dyDescent="0.25">
      <c r="AA253" s="345"/>
      <c r="AB253" s="267"/>
      <c r="AC253" s="2"/>
      <c r="AD253" s="2"/>
      <c r="AE253" s="2"/>
      <c r="AF253" s="2"/>
      <c r="AG253" s="2"/>
      <c r="AH253" s="2"/>
      <c r="AI253" s="2"/>
      <c r="AJ253" s="2"/>
      <c r="AK253" s="2"/>
      <c r="AL253" s="2"/>
      <c r="AM253" s="2"/>
      <c r="AN253" s="2"/>
    </row>
    <row r="254" spans="27:40" s="235" customFormat="1" x14ac:dyDescent="0.25">
      <c r="AA254" s="345"/>
      <c r="AB254" s="267"/>
      <c r="AC254" s="2"/>
      <c r="AD254" s="2"/>
      <c r="AE254" s="2"/>
      <c r="AF254" s="2"/>
      <c r="AG254" s="2"/>
      <c r="AH254" s="2"/>
      <c r="AI254" s="2"/>
      <c r="AJ254" s="2"/>
      <c r="AK254" s="2"/>
      <c r="AL254" s="2"/>
      <c r="AM254" s="2"/>
      <c r="AN254" s="2"/>
    </row>
    <row r="255" spans="27:40" s="235" customFormat="1" x14ac:dyDescent="0.25">
      <c r="AA255" s="345"/>
      <c r="AB255" s="267"/>
      <c r="AC255" s="2"/>
      <c r="AD255" s="2"/>
      <c r="AE255" s="2"/>
      <c r="AF255" s="2"/>
      <c r="AG255" s="2"/>
      <c r="AH255" s="2"/>
      <c r="AI255" s="2"/>
      <c r="AJ255" s="2"/>
      <c r="AK255" s="2"/>
      <c r="AL255" s="2"/>
      <c r="AM255" s="2"/>
      <c r="AN255" s="2"/>
    </row>
    <row r="256" spans="27:40" s="235" customFormat="1" x14ac:dyDescent="0.25">
      <c r="AA256" s="345"/>
      <c r="AB256" s="267"/>
      <c r="AC256" s="2"/>
      <c r="AD256" s="2"/>
      <c r="AE256" s="2"/>
      <c r="AF256" s="2"/>
      <c r="AG256" s="2"/>
      <c r="AH256" s="2"/>
      <c r="AI256" s="2"/>
      <c r="AJ256" s="2"/>
      <c r="AK256" s="2"/>
      <c r="AL256" s="2"/>
      <c r="AM256" s="2"/>
      <c r="AN256" s="2"/>
    </row>
    <row r="257" spans="27:40" s="235" customFormat="1" x14ac:dyDescent="0.25">
      <c r="AA257" s="345"/>
      <c r="AB257" s="267"/>
      <c r="AC257" s="2"/>
      <c r="AD257" s="2"/>
      <c r="AE257" s="2"/>
      <c r="AF257" s="2"/>
      <c r="AG257" s="2"/>
      <c r="AH257" s="2"/>
      <c r="AI257" s="2"/>
      <c r="AJ257" s="2"/>
      <c r="AK257" s="2"/>
      <c r="AL257" s="2"/>
      <c r="AM257" s="2"/>
      <c r="AN257" s="2"/>
    </row>
    <row r="258" spans="27:40" s="235" customFormat="1" x14ac:dyDescent="0.25">
      <c r="AA258" s="345"/>
      <c r="AB258" s="267"/>
      <c r="AC258" s="2"/>
      <c r="AD258" s="2"/>
      <c r="AE258" s="2"/>
      <c r="AF258" s="2"/>
      <c r="AG258" s="2"/>
      <c r="AH258" s="2"/>
      <c r="AI258" s="2"/>
      <c r="AJ258" s="2"/>
      <c r="AK258" s="2"/>
      <c r="AL258" s="2"/>
      <c r="AM258" s="2"/>
      <c r="AN258" s="2"/>
    </row>
    <row r="259" spans="27:40" s="235" customFormat="1" x14ac:dyDescent="0.25">
      <c r="AA259" s="345"/>
      <c r="AB259" s="267"/>
      <c r="AC259" s="2"/>
      <c r="AD259" s="2"/>
      <c r="AE259" s="2"/>
      <c r="AF259" s="2"/>
      <c r="AG259" s="2"/>
      <c r="AH259" s="2"/>
      <c r="AI259" s="2"/>
      <c r="AJ259" s="2"/>
      <c r="AK259" s="2"/>
      <c r="AL259" s="2"/>
      <c r="AM259" s="2"/>
      <c r="AN259" s="2"/>
    </row>
    <row r="260" spans="27:40" s="235" customFormat="1" x14ac:dyDescent="0.25">
      <c r="AA260" s="345"/>
      <c r="AB260" s="267"/>
      <c r="AC260" s="2"/>
      <c r="AD260" s="2"/>
      <c r="AE260" s="2"/>
      <c r="AF260" s="2"/>
      <c r="AG260" s="2"/>
      <c r="AH260" s="2"/>
      <c r="AI260" s="2"/>
      <c r="AJ260" s="2"/>
      <c r="AK260" s="2"/>
      <c r="AL260" s="2"/>
      <c r="AM260" s="2"/>
      <c r="AN260" s="2"/>
    </row>
    <row r="261" spans="27:40" s="235" customFormat="1" x14ac:dyDescent="0.25">
      <c r="AA261" s="345"/>
      <c r="AB261" s="267"/>
      <c r="AC261" s="2"/>
      <c r="AD261" s="2"/>
      <c r="AE261" s="2"/>
      <c r="AF261" s="2"/>
      <c r="AG261" s="2"/>
      <c r="AH261" s="2"/>
      <c r="AI261" s="2"/>
      <c r="AJ261" s="2"/>
      <c r="AK261" s="2"/>
      <c r="AL261" s="2"/>
      <c r="AM261" s="2"/>
      <c r="AN261" s="2"/>
    </row>
    <row r="262" spans="27:40" s="235" customFormat="1" x14ac:dyDescent="0.25">
      <c r="AA262" s="345"/>
      <c r="AB262" s="267"/>
      <c r="AC262" s="2"/>
      <c r="AD262" s="2"/>
      <c r="AE262" s="2"/>
      <c r="AF262" s="2"/>
      <c r="AG262" s="2"/>
      <c r="AH262" s="2"/>
      <c r="AI262" s="2"/>
      <c r="AJ262" s="2"/>
      <c r="AK262" s="2"/>
      <c r="AL262" s="2"/>
      <c r="AM262" s="2"/>
      <c r="AN262" s="2"/>
    </row>
    <row r="263" spans="27:40" s="235" customFormat="1" x14ac:dyDescent="0.25">
      <c r="AA263" s="345"/>
      <c r="AB263" s="267"/>
      <c r="AC263" s="2"/>
      <c r="AD263" s="2"/>
      <c r="AE263" s="2"/>
      <c r="AF263" s="2"/>
      <c r="AG263" s="2"/>
      <c r="AH263" s="2"/>
      <c r="AI263" s="2"/>
      <c r="AJ263" s="2"/>
      <c r="AK263" s="2"/>
      <c r="AL263" s="2"/>
      <c r="AM263" s="2"/>
      <c r="AN263" s="2"/>
    </row>
    <row r="264" spans="27:40" s="235" customFormat="1" x14ac:dyDescent="0.25">
      <c r="AA264" s="345"/>
      <c r="AB264" s="267"/>
      <c r="AC264" s="2"/>
      <c r="AD264" s="2"/>
      <c r="AE264" s="2"/>
      <c r="AF264" s="2"/>
      <c r="AG264" s="2"/>
      <c r="AH264" s="2"/>
      <c r="AI264" s="2"/>
      <c r="AJ264" s="2"/>
      <c r="AK264" s="2"/>
      <c r="AL264" s="2"/>
      <c r="AM264" s="2"/>
      <c r="AN264" s="2"/>
    </row>
    <row r="265" spans="27:40" s="235" customFormat="1" x14ac:dyDescent="0.25">
      <c r="AA265" s="345"/>
      <c r="AB265" s="267"/>
      <c r="AC265" s="2"/>
      <c r="AD265" s="2"/>
      <c r="AE265" s="2"/>
      <c r="AF265" s="2"/>
      <c r="AG265" s="2"/>
      <c r="AH265" s="2"/>
      <c r="AI265" s="2"/>
      <c r="AJ265" s="2"/>
      <c r="AK265" s="2"/>
      <c r="AL265" s="2"/>
      <c r="AM265" s="2"/>
      <c r="AN265" s="2"/>
    </row>
    <row r="266" spans="27:40" s="235" customFormat="1" x14ac:dyDescent="0.25">
      <c r="AA266" s="345"/>
      <c r="AB266" s="267"/>
      <c r="AC266" s="2"/>
      <c r="AD266" s="2"/>
      <c r="AE266" s="2"/>
      <c r="AF266" s="2"/>
      <c r="AG266" s="2"/>
      <c r="AH266" s="2"/>
      <c r="AI266" s="2"/>
      <c r="AJ266" s="2"/>
      <c r="AK266" s="2"/>
      <c r="AL266" s="2"/>
      <c r="AM266" s="2"/>
      <c r="AN266" s="2"/>
    </row>
    <row r="267" spans="27:40" s="235" customFormat="1" x14ac:dyDescent="0.25">
      <c r="AA267" s="345"/>
      <c r="AB267" s="267"/>
      <c r="AC267" s="2"/>
      <c r="AD267" s="2"/>
      <c r="AE267" s="2"/>
      <c r="AF267" s="2"/>
      <c r="AG267" s="2"/>
      <c r="AH267" s="2"/>
      <c r="AI267" s="2"/>
      <c r="AJ267" s="2"/>
      <c r="AK267" s="2"/>
      <c r="AL267" s="2"/>
      <c r="AM267" s="2"/>
      <c r="AN267" s="2"/>
    </row>
    <row r="268" spans="27:40" s="235" customFormat="1" x14ac:dyDescent="0.25">
      <c r="AA268" s="345"/>
      <c r="AB268" s="267"/>
      <c r="AC268" s="2"/>
      <c r="AD268" s="2"/>
      <c r="AE268" s="2"/>
      <c r="AF268" s="2"/>
      <c r="AG268" s="2"/>
      <c r="AH268" s="2"/>
      <c r="AI268" s="2"/>
      <c r="AJ268" s="2"/>
      <c r="AK268" s="2"/>
      <c r="AL268" s="2"/>
      <c r="AM268" s="2"/>
      <c r="AN268" s="2"/>
    </row>
    <row r="269" spans="27:40" s="235" customFormat="1" x14ac:dyDescent="0.25">
      <c r="AA269" s="345"/>
      <c r="AB269" s="267"/>
      <c r="AC269" s="2"/>
      <c r="AD269" s="2"/>
      <c r="AE269" s="2"/>
      <c r="AF269" s="2"/>
      <c r="AG269" s="2"/>
      <c r="AH269" s="2"/>
      <c r="AI269" s="2"/>
      <c r="AJ269" s="2"/>
      <c r="AK269" s="2"/>
      <c r="AL269" s="2"/>
      <c r="AM269" s="2"/>
      <c r="AN269" s="2"/>
    </row>
    <row r="270" spans="27:40" s="235" customFormat="1" x14ac:dyDescent="0.25">
      <c r="AA270" s="345"/>
      <c r="AB270" s="267"/>
      <c r="AC270" s="2"/>
      <c r="AD270" s="2"/>
      <c r="AE270" s="2"/>
      <c r="AF270" s="2"/>
      <c r="AG270" s="2"/>
      <c r="AH270" s="2"/>
      <c r="AI270" s="2"/>
      <c r="AJ270" s="2"/>
      <c r="AK270" s="2"/>
      <c r="AL270" s="2"/>
      <c r="AM270" s="2"/>
      <c r="AN270" s="2"/>
    </row>
    <row r="271" spans="27:40" s="235" customFormat="1" x14ac:dyDescent="0.25">
      <c r="AA271" s="345"/>
      <c r="AB271" s="267"/>
      <c r="AC271" s="2"/>
      <c r="AD271" s="2"/>
      <c r="AE271" s="2"/>
      <c r="AF271" s="2"/>
      <c r="AG271" s="2"/>
      <c r="AH271" s="2"/>
      <c r="AI271" s="2"/>
      <c r="AJ271" s="2"/>
      <c r="AK271" s="2"/>
      <c r="AL271" s="2"/>
      <c r="AM271" s="2"/>
      <c r="AN271" s="2"/>
    </row>
    <row r="272" spans="27:40" s="235" customFormat="1" x14ac:dyDescent="0.25">
      <c r="AA272" s="345"/>
      <c r="AB272" s="267"/>
      <c r="AC272" s="2"/>
      <c r="AD272" s="2"/>
      <c r="AE272" s="2"/>
      <c r="AF272" s="2"/>
      <c r="AG272" s="2"/>
      <c r="AH272" s="2"/>
      <c r="AI272" s="2"/>
      <c r="AJ272" s="2"/>
      <c r="AK272" s="2"/>
      <c r="AL272" s="2"/>
      <c r="AM272" s="2"/>
      <c r="AN272" s="2"/>
    </row>
    <row r="273" spans="27:40" s="235" customFormat="1" x14ac:dyDescent="0.25">
      <c r="AA273" s="345"/>
      <c r="AB273" s="267"/>
      <c r="AC273" s="2"/>
      <c r="AD273" s="2"/>
      <c r="AE273" s="2"/>
      <c r="AF273" s="2"/>
      <c r="AG273" s="2"/>
      <c r="AH273" s="2"/>
      <c r="AI273" s="2"/>
      <c r="AJ273" s="2"/>
      <c r="AK273" s="2"/>
      <c r="AL273" s="2"/>
      <c r="AM273" s="2"/>
      <c r="AN273" s="2"/>
    </row>
    <row r="274" spans="27:40" s="235" customFormat="1" x14ac:dyDescent="0.25">
      <c r="AA274" s="345"/>
      <c r="AB274" s="267"/>
      <c r="AC274" s="2"/>
      <c r="AD274" s="2"/>
      <c r="AE274" s="2"/>
      <c r="AF274" s="2"/>
      <c r="AG274" s="2"/>
      <c r="AH274" s="2"/>
      <c r="AI274" s="2"/>
      <c r="AJ274" s="2"/>
      <c r="AK274" s="2"/>
      <c r="AL274" s="2"/>
      <c r="AM274" s="2"/>
      <c r="AN274" s="2"/>
    </row>
    <row r="275" spans="27:40" s="235" customFormat="1" x14ac:dyDescent="0.25">
      <c r="AA275" s="345"/>
      <c r="AB275" s="267"/>
      <c r="AC275" s="2"/>
      <c r="AD275" s="2"/>
      <c r="AE275" s="2"/>
      <c r="AF275" s="2"/>
      <c r="AG275" s="2"/>
      <c r="AH275" s="2"/>
      <c r="AI275" s="2"/>
      <c r="AJ275" s="2"/>
      <c r="AK275" s="2"/>
      <c r="AL275" s="2"/>
      <c r="AM275" s="2"/>
      <c r="AN275" s="2"/>
    </row>
    <row r="276" spans="27:40" s="235" customFormat="1" x14ac:dyDescent="0.25">
      <c r="AA276" s="345"/>
      <c r="AB276" s="267"/>
      <c r="AC276" s="2"/>
      <c r="AD276" s="2"/>
      <c r="AE276" s="2"/>
      <c r="AF276" s="2"/>
      <c r="AG276" s="2"/>
      <c r="AH276" s="2"/>
      <c r="AI276" s="2"/>
      <c r="AJ276" s="2"/>
      <c r="AK276" s="2"/>
      <c r="AL276" s="2"/>
      <c r="AM276" s="2"/>
      <c r="AN276" s="2"/>
    </row>
    <row r="277" spans="27:40" s="235" customFormat="1" x14ac:dyDescent="0.25">
      <c r="AA277" s="345"/>
      <c r="AB277" s="267"/>
      <c r="AC277" s="2"/>
      <c r="AD277" s="2"/>
      <c r="AE277" s="2"/>
      <c r="AF277" s="2"/>
      <c r="AG277" s="2"/>
      <c r="AH277" s="2"/>
      <c r="AI277" s="2"/>
      <c r="AJ277" s="2"/>
      <c r="AK277" s="2"/>
      <c r="AL277" s="2"/>
      <c r="AM277" s="2"/>
      <c r="AN277" s="2"/>
    </row>
    <row r="278" spans="27:40" s="235" customFormat="1" x14ac:dyDescent="0.25">
      <c r="AA278" s="345"/>
      <c r="AB278" s="267"/>
      <c r="AC278" s="2"/>
      <c r="AD278" s="2"/>
      <c r="AE278" s="2"/>
      <c r="AF278" s="2"/>
      <c r="AG278" s="2"/>
      <c r="AH278" s="2"/>
      <c r="AI278" s="2"/>
      <c r="AJ278" s="2"/>
      <c r="AK278" s="2"/>
      <c r="AL278" s="2"/>
      <c r="AM278" s="2"/>
      <c r="AN278" s="2"/>
    </row>
    <row r="279" spans="27:40" s="235" customFormat="1" x14ac:dyDescent="0.25">
      <c r="AA279" s="345"/>
      <c r="AB279" s="267"/>
      <c r="AC279" s="2"/>
      <c r="AD279" s="2"/>
      <c r="AE279" s="2"/>
      <c r="AF279" s="2"/>
      <c r="AG279" s="2"/>
      <c r="AH279" s="2"/>
      <c r="AI279" s="2"/>
      <c r="AJ279" s="2"/>
      <c r="AK279" s="2"/>
      <c r="AL279" s="2"/>
      <c r="AM279" s="2"/>
      <c r="AN279" s="2"/>
    </row>
    <row r="280" spans="27:40" s="235" customFormat="1" x14ac:dyDescent="0.25">
      <c r="AA280" s="345"/>
      <c r="AB280" s="267"/>
      <c r="AC280" s="2"/>
      <c r="AD280" s="2"/>
      <c r="AE280" s="2"/>
      <c r="AF280" s="2"/>
      <c r="AG280" s="2"/>
      <c r="AH280" s="2"/>
      <c r="AI280" s="2"/>
      <c r="AJ280" s="2"/>
      <c r="AK280" s="2"/>
      <c r="AL280" s="2"/>
      <c r="AM280" s="2"/>
      <c r="AN280" s="2"/>
    </row>
    <row r="281" spans="27:40" s="235" customFormat="1" x14ac:dyDescent="0.25">
      <c r="AA281" s="345"/>
      <c r="AB281" s="267"/>
      <c r="AC281" s="2"/>
      <c r="AD281" s="2"/>
      <c r="AE281" s="2"/>
      <c r="AF281" s="2"/>
      <c r="AG281" s="2"/>
      <c r="AH281" s="2"/>
      <c r="AI281" s="2"/>
      <c r="AJ281" s="2"/>
      <c r="AK281" s="2"/>
      <c r="AL281" s="2"/>
      <c r="AM281" s="2"/>
      <c r="AN281" s="2"/>
    </row>
    <row r="282" spans="27:40" s="235" customFormat="1" x14ac:dyDescent="0.25">
      <c r="AA282" s="345"/>
      <c r="AB282" s="267"/>
      <c r="AC282" s="2"/>
      <c r="AD282" s="2"/>
      <c r="AE282" s="2"/>
      <c r="AF282" s="2"/>
      <c r="AG282" s="2"/>
      <c r="AH282" s="2"/>
      <c r="AI282" s="2"/>
      <c r="AJ282" s="2"/>
      <c r="AK282" s="2"/>
      <c r="AL282" s="2"/>
      <c r="AM282" s="2"/>
      <c r="AN282" s="2"/>
    </row>
    <row r="283" spans="27:40" s="235" customFormat="1" x14ac:dyDescent="0.25">
      <c r="AA283" s="345"/>
      <c r="AB283" s="267"/>
      <c r="AC283" s="2"/>
      <c r="AD283" s="2"/>
      <c r="AE283" s="2"/>
      <c r="AF283" s="2"/>
      <c r="AG283" s="2"/>
      <c r="AH283" s="2"/>
      <c r="AI283" s="2"/>
      <c r="AJ283" s="2"/>
      <c r="AK283" s="2"/>
      <c r="AL283" s="2"/>
      <c r="AM283" s="2"/>
      <c r="AN283" s="2"/>
    </row>
    <row r="284" spans="27:40" s="235" customFormat="1" x14ac:dyDescent="0.25">
      <c r="AA284" s="345"/>
      <c r="AB284" s="267"/>
      <c r="AC284" s="2"/>
      <c r="AD284" s="2"/>
      <c r="AE284" s="2"/>
      <c r="AF284" s="2"/>
      <c r="AG284" s="2"/>
      <c r="AH284" s="2"/>
      <c r="AI284" s="2"/>
      <c r="AJ284" s="2"/>
      <c r="AK284" s="2"/>
      <c r="AL284" s="2"/>
      <c r="AM284" s="2"/>
      <c r="AN284" s="2"/>
    </row>
    <row r="285" spans="27:40" s="235" customFormat="1" x14ac:dyDescent="0.25">
      <c r="AA285" s="345"/>
      <c r="AB285" s="267"/>
      <c r="AC285" s="2"/>
      <c r="AD285" s="2"/>
      <c r="AE285" s="2"/>
      <c r="AF285" s="2"/>
      <c r="AG285" s="2"/>
      <c r="AH285" s="2"/>
      <c r="AI285" s="2"/>
      <c r="AJ285" s="2"/>
      <c r="AK285" s="2"/>
      <c r="AL285" s="2"/>
      <c r="AM285" s="2"/>
      <c r="AN285" s="2"/>
    </row>
    <row r="286" spans="27:40" s="235" customFormat="1" x14ac:dyDescent="0.25">
      <c r="AA286" s="345"/>
      <c r="AB286" s="267"/>
      <c r="AC286" s="2"/>
      <c r="AD286" s="2"/>
      <c r="AE286" s="2"/>
      <c r="AF286" s="2"/>
      <c r="AG286" s="2"/>
      <c r="AH286" s="2"/>
      <c r="AI286" s="2"/>
      <c r="AJ286" s="2"/>
      <c r="AK286" s="2"/>
      <c r="AL286" s="2"/>
      <c r="AM286" s="2"/>
      <c r="AN286" s="2"/>
    </row>
    <row r="287" spans="27:40" s="235" customFormat="1" x14ac:dyDescent="0.25">
      <c r="AA287" s="345"/>
      <c r="AB287" s="267"/>
      <c r="AC287" s="2"/>
      <c r="AD287" s="2"/>
      <c r="AE287" s="2"/>
      <c r="AF287" s="2"/>
      <c r="AG287" s="2"/>
      <c r="AH287" s="2"/>
      <c r="AI287" s="2"/>
      <c r="AJ287" s="2"/>
      <c r="AK287" s="2"/>
      <c r="AL287" s="2"/>
      <c r="AM287" s="2"/>
      <c r="AN287" s="2"/>
    </row>
    <row r="288" spans="27:40" s="235" customFormat="1" x14ac:dyDescent="0.25">
      <c r="AA288" s="345"/>
      <c r="AB288" s="267"/>
      <c r="AC288" s="2"/>
      <c r="AD288" s="2"/>
      <c r="AE288" s="2"/>
      <c r="AF288" s="2"/>
      <c r="AG288" s="2"/>
      <c r="AH288" s="2"/>
      <c r="AI288" s="2"/>
      <c r="AJ288" s="2"/>
      <c r="AK288" s="2"/>
      <c r="AL288" s="2"/>
      <c r="AM288" s="2"/>
      <c r="AN288" s="2"/>
    </row>
    <row r="289" spans="27:40" s="235" customFormat="1" x14ac:dyDescent="0.25">
      <c r="AA289" s="345"/>
      <c r="AB289" s="267"/>
      <c r="AC289" s="2"/>
      <c r="AD289" s="2"/>
      <c r="AE289" s="2"/>
      <c r="AF289" s="2"/>
      <c r="AG289" s="2"/>
      <c r="AH289" s="2"/>
      <c r="AI289" s="2"/>
      <c r="AJ289" s="2"/>
      <c r="AK289" s="2"/>
      <c r="AL289" s="2"/>
      <c r="AM289" s="2"/>
      <c r="AN289" s="2"/>
    </row>
    <row r="290" spans="27:40" s="235" customFormat="1" x14ac:dyDescent="0.25">
      <c r="AA290" s="345"/>
      <c r="AB290" s="267"/>
      <c r="AC290" s="2"/>
      <c r="AD290" s="2"/>
      <c r="AE290" s="2"/>
      <c r="AF290" s="2"/>
      <c r="AG290" s="2"/>
      <c r="AH290" s="2"/>
      <c r="AI290" s="2"/>
      <c r="AJ290" s="2"/>
      <c r="AK290" s="2"/>
      <c r="AL290" s="2"/>
      <c r="AM290" s="2"/>
      <c r="AN290" s="2"/>
    </row>
    <row r="291" spans="27:40" s="235" customFormat="1" x14ac:dyDescent="0.25">
      <c r="AA291" s="345"/>
      <c r="AB291" s="267"/>
      <c r="AC291" s="2"/>
      <c r="AD291" s="2"/>
      <c r="AE291" s="2"/>
      <c r="AF291" s="2"/>
      <c r="AG291" s="2"/>
      <c r="AH291" s="2"/>
      <c r="AI291" s="2"/>
      <c r="AJ291" s="2"/>
      <c r="AK291" s="2"/>
      <c r="AL291" s="2"/>
      <c r="AM291" s="2"/>
      <c r="AN291" s="2"/>
    </row>
    <row r="292" spans="27:40" s="235" customFormat="1" x14ac:dyDescent="0.25">
      <c r="AA292" s="345"/>
      <c r="AB292" s="267"/>
      <c r="AC292" s="2"/>
      <c r="AD292" s="2"/>
      <c r="AE292" s="2"/>
      <c r="AF292" s="2"/>
      <c r="AG292" s="2"/>
      <c r="AH292" s="2"/>
      <c r="AI292" s="2"/>
      <c r="AJ292" s="2"/>
      <c r="AK292" s="2"/>
      <c r="AL292" s="2"/>
      <c r="AM292" s="2"/>
      <c r="AN292" s="2"/>
    </row>
    <row r="293" spans="27:40" s="235" customFormat="1" x14ac:dyDescent="0.25">
      <c r="AA293" s="345"/>
      <c r="AB293" s="267"/>
      <c r="AC293" s="2"/>
      <c r="AD293" s="2"/>
      <c r="AE293" s="2"/>
      <c r="AF293" s="2"/>
      <c r="AG293" s="2"/>
      <c r="AH293" s="2"/>
      <c r="AI293" s="2"/>
      <c r="AJ293" s="2"/>
      <c r="AK293" s="2"/>
      <c r="AL293" s="2"/>
      <c r="AM293" s="2"/>
      <c r="AN293" s="2"/>
    </row>
    <row r="294" spans="27:40" s="235" customFormat="1" x14ac:dyDescent="0.25">
      <c r="AA294" s="345"/>
      <c r="AB294" s="267"/>
      <c r="AC294" s="2"/>
      <c r="AD294" s="2"/>
      <c r="AE294" s="2"/>
      <c r="AF294" s="2"/>
      <c r="AG294" s="2"/>
      <c r="AH294" s="2"/>
      <c r="AI294" s="2"/>
      <c r="AJ294" s="2"/>
      <c r="AK294" s="2"/>
      <c r="AL294" s="2"/>
      <c r="AM294" s="2"/>
      <c r="AN294" s="2"/>
    </row>
    <row r="295" spans="27:40" s="235" customFormat="1" x14ac:dyDescent="0.25">
      <c r="AA295" s="345"/>
      <c r="AB295" s="267"/>
      <c r="AC295" s="2"/>
      <c r="AD295" s="2"/>
      <c r="AE295" s="2"/>
      <c r="AF295" s="2"/>
      <c r="AG295" s="2"/>
      <c r="AH295" s="2"/>
      <c r="AI295" s="2"/>
      <c r="AJ295" s="2"/>
      <c r="AK295" s="2"/>
      <c r="AL295" s="2"/>
      <c r="AM295" s="2"/>
      <c r="AN295" s="2"/>
    </row>
    <row r="296" spans="27:40" s="235" customFormat="1" x14ac:dyDescent="0.25">
      <c r="AA296" s="345"/>
      <c r="AB296" s="267"/>
      <c r="AC296" s="2"/>
      <c r="AD296" s="2"/>
      <c r="AE296" s="2"/>
      <c r="AF296" s="2"/>
      <c r="AG296" s="2"/>
      <c r="AH296" s="2"/>
      <c r="AI296" s="2"/>
      <c r="AJ296" s="2"/>
      <c r="AK296" s="2"/>
      <c r="AL296" s="2"/>
      <c r="AM296" s="2"/>
      <c r="AN296" s="2"/>
    </row>
    <row r="297" spans="27:40" s="235" customFormat="1" x14ac:dyDescent="0.25">
      <c r="AA297" s="345"/>
      <c r="AB297" s="267"/>
      <c r="AC297" s="2"/>
      <c r="AD297" s="2"/>
      <c r="AE297" s="2"/>
      <c r="AF297" s="2"/>
      <c r="AG297" s="2"/>
      <c r="AH297" s="2"/>
      <c r="AI297" s="2"/>
      <c r="AJ297" s="2"/>
      <c r="AK297" s="2"/>
      <c r="AL297" s="2"/>
      <c r="AM297" s="2"/>
      <c r="AN297" s="2"/>
    </row>
    <row r="298" spans="27:40" s="235" customFormat="1" x14ac:dyDescent="0.25">
      <c r="AA298" s="345"/>
      <c r="AB298" s="267"/>
      <c r="AC298" s="2"/>
      <c r="AD298" s="2"/>
      <c r="AE298" s="2"/>
      <c r="AF298" s="2"/>
      <c r="AG298" s="2"/>
      <c r="AH298" s="2"/>
      <c r="AI298" s="2"/>
      <c r="AJ298" s="2"/>
      <c r="AK298" s="2"/>
      <c r="AL298" s="2"/>
      <c r="AM298" s="2"/>
      <c r="AN298" s="2"/>
    </row>
    <row r="299" spans="27:40" s="235" customFormat="1" x14ac:dyDescent="0.25">
      <c r="AA299" s="345"/>
      <c r="AB299" s="267"/>
      <c r="AC299" s="2"/>
      <c r="AD299" s="2"/>
      <c r="AE299" s="2"/>
      <c r="AF299" s="2"/>
      <c r="AG299" s="2"/>
      <c r="AH299" s="2"/>
      <c r="AI299" s="2"/>
      <c r="AJ299" s="2"/>
      <c r="AK299" s="2"/>
      <c r="AL299" s="2"/>
      <c r="AM299" s="2"/>
      <c r="AN299" s="2"/>
    </row>
    <row r="300" spans="27:40" s="235" customFormat="1" x14ac:dyDescent="0.25">
      <c r="AA300" s="345"/>
      <c r="AB300" s="267"/>
      <c r="AC300" s="2"/>
      <c r="AD300" s="2"/>
      <c r="AE300" s="2"/>
      <c r="AF300" s="2"/>
      <c r="AG300" s="2"/>
      <c r="AH300" s="2"/>
      <c r="AI300" s="2"/>
      <c r="AJ300" s="2"/>
      <c r="AK300" s="2"/>
      <c r="AL300" s="2"/>
      <c r="AM300" s="2"/>
      <c r="AN300" s="2"/>
    </row>
    <row r="301" spans="27:40" s="235" customFormat="1" x14ac:dyDescent="0.25">
      <c r="AA301" s="345"/>
      <c r="AB301" s="267"/>
      <c r="AC301" s="2"/>
      <c r="AD301" s="2"/>
      <c r="AE301" s="2"/>
      <c r="AF301" s="2"/>
      <c r="AG301" s="2"/>
      <c r="AH301" s="2"/>
      <c r="AI301" s="2"/>
      <c r="AJ301" s="2"/>
      <c r="AK301" s="2"/>
      <c r="AL301" s="2"/>
      <c r="AM301" s="2"/>
      <c r="AN301" s="2"/>
    </row>
    <row r="302" spans="27:40" s="235" customFormat="1" x14ac:dyDescent="0.25">
      <c r="AA302" s="345"/>
      <c r="AB302" s="267"/>
      <c r="AC302" s="2"/>
      <c r="AD302" s="2"/>
      <c r="AE302" s="2"/>
      <c r="AF302" s="2"/>
      <c r="AG302" s="2"/>
      <c r="AH302" s="2"/>
      <c r="AI302" s="2"/>
      <c r="AJ302" s="2"/>
      <c r="AK302" s="2"/>
      <c r="AL302" s="2"/>
      <c r="AM302" s="2"/>
      <c r="AN302" s="2"/>
    </row>
    <row r="303" spans="27:40" s="235" customFormat="1" x14ac:dyDescent="0.25">
      <c r="AA303" s="345"/>
      <c r="AB303" s="267"/>
      <c r="AC303" s="2"/>
      <c r="AD303" s="2"/>
      <c r="AE303" s="2"/>
      <c r="AF303" s="2"/>
      <c r="AG303" s="2"/>
      <c r="AH303" s="2"/>
      <c r="AI303" s="2"/>
      <c r="AJ303" s="2"/>
      <c r="AK303" s="2"/>
      <c r="AL303" s="2"/>
      <c r="AM303" s="2"/>
      <c r="AN303" s="2"/>
    </row>
    <row r="304" spans="27:40" s="235" customFormat="1" x14ac:dyDescent="0.25">
      <c r="AA304" s="345"/>
      <c r="AB304" s="267"/>
      <c r="AC304" s="2"/>
      <c r="AD304" s="2"/>
      <c r="AE304" s="2"/>
      <c r="AF304" s="2"/>
      <c r="AG304" s="2"/>
      <c r="AH304" s="2"/>
      <c r="AI304" s="2"/>
      <c r="AJ304" s="2"/>
      <c r="AK304" s="2"/>
      <c r="AL304" s="2"/>
      <c r="AM304" s="2"/>
      <c r="AN304" s="2"/>
    </row>
    <row r="305" spans="27:40" s="235" customFormat="1" x14ac:dyDescent="0.25">
      <c r="AA305" s="345"/>
      <c r="AB305" s="267"/>
      <c r="AC305" s="2"/>
      <c r="AD305" s="2"/>
      <c r="AE305" s="2"/>
      <c r="AF305" s="2"/>
      <c r="AG305" s="2"/>
      <c r="AH305" s="2"/>
      <c r="AI305" s="2"/>
      <c r="AJ305" s="2"/>
      <c r="AK305" s="2"/>
      <c r="AL305" s="2"/>
      <c r="AM305" s="2"/>
      <c r="AN305" s="2"/>
    </row>
    <row r="306" spans="27:40" s="235" customFormat="1" x14ac:dyDescent="0.25">
      <c r="AA306" s="345"/>
      <c r="AB306" s="267"/>
      <c r="AC306" s="2"/>
      <c r="AD306" s="2"/>
      <c r="AE306" s="2"/>
      <c r="AF306" s="2"/>
      <c r="AG306" s="2"/>
      <c r="AH306" s="2"/>
      <c r="AI306" s="2"/>
      <c r="AJ306" s="2"/>
      <c r="AK306" s="2"/>
      <c r="AL306" s="2"/>
      <c r="AM306" s="2"/>
      <c r="AN306" s="2"/>
    </row>
    <row r="307" spans="27:40" s="235" customFormat="1" x14ac:dyDescent="0.25">
      <c r="AA307" s="345"/>
      <c r="AB307" s="267"/>
      <c r="AC307" s="2"/>
      <c r="AD307" s="2"/>
      <c r="AE307" s="2"/>
      <c r="AF307" s="2"/>
      <c r="AG307" s="2"/>
      <c r="AH307" s="2"/>
      <c r="AI307" s="2"/>
      <c r="AJ307" s="2"/>
      <c r="AK307" s="2"/>
      <c r="AL307" s="2"/>
      <c r="AM307" s="2"/>
      <c r="AN307" s="2"/>
    </row>
    <row r="308" spans="27:40" s="235" customFormat="1" x14ac:dyDescent="0.25">
      <c r="AA308" s="345"/>
      <c r="AB308" s="267"/>
      <c r="AC308" s="2"/>
      <c r="AD308" s="2"/>
      <c r="AE308" s="2"/>
      <c r="AF308" s="2"/>
      <c r="AG308" s="2"/>
      <c r="AH308" s="2"/>
      <c r="AI308" s="2"/>
      <c r="AJ308" s="2"/>
      <c r="AK308" s="2"/>
      <c r="AL308" s="2"/>
      <c r="AM308" s="2"/>
      <c r="AN308" s="2"/>
    </row>
    <row r="309" spans="27:40" s="235" customFormat="1" x14ac:dyDescent="0.25">
      <c r="AA309" s="345"/>
      <c r="AB309" s="267"/>
      <c r="AC309" s="2"/>
      <c r="AD309" s="2"/>
      <c r="AE309" s="2"/>
      <c r="AF309" s="2"/>
      <c r="AG309" s="2"/>
      <c r="AH309" s="2"/>
      <c r="AI309" s="2"/>
      <c r="AJ309" s="2"/>
      <c r="AK309" s="2"/>
      <c r="AL309" s="2"/>
      <c r="AM309" s="2"/>
      <c r="AN309" s="2"/>
    </row>
  </sheetData>
  <mergeCells count="2">
    <mergeCell ref="B2:L2"/>
    <mergeCell ref="P2:Z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6C9B-FD0D-4712-AB60-FAB759D3FE68}">
  <dimension ref="A1:GE124"/>
  <sheetViews>
    <sheetView workbookViewId="0"/>
  </sheetViews>
  <sheetFormatPr defaultColWidth="8.81640625" defaultRowHeight="10.5" x14ac:dyDescent="0.25"/>
  <cols>
    <col min="1" max="1" width="4.453125" style="235" customWidth="1"/>
    <col min="2" max="2" width="18.453125" style="2" customWidth="1"/>
    <col min="3" max="3" width="12.1796875" style="2" customWidth="1"/>
    <col min="4" max="5" width="0" style="2" hidden="1" customWidth="1"/>
    <col min="6" max="6" width="8.81640625" style="2" customWidth="1"/>
    <col min="7" max="10" width="8.81640625" style="2" hidden="1" customWidth="1"/>
    <col min="11" max="11" width="8.81640625" style="2"/>
    <col min="12" max="15" width="8.81640625" style="2" hidden="1" customWidth="1"/>
    <col min="16" max="16" width="8.81640625" style="2"/>
    <col min="17" max="20" width="0" style="2" hidden="1" customWidth="1"/>
    <col min="21" max="21" width="8.81640625" style="2"/>
    <col min="22" max="25" width="0" style="2" hidden="1" customWidth="1"/>
    <col min="26" max="26" width="8.81640625" style="2"/>
    <col min="27" max="30" width="0" style="2" hidden="1" customWidth="1"/>
    <col min="31" max="31" width="8.81640625" style="2"/>
    <col min="32" max="35" width="0" style="2" hidden="1" customWidth="1"/>
    <col min="36" max="36" width="8.81640625" style="2"/>
    <col min="37" max="40" width="0" style="2" hidden="1" customWidth="1"/>
    <col min="41" max="41" width="8.81640625" style="2"/>
    <col min="42" max="45" width="0" style="2" hidden="1" customWidth="1"/>
    <col min="46" max="46" width="8.81640625" style="2"/>
    <col min="47" max="50" width="0" style="2" hidden="1" customWidth="1"/>
    <col min="51" max="51" width="8.81640625" style="2"/>
    <col min="52" max="54" width="0" style="2" hidden="1" customWidth="1"/>
    <col min="55" max="55" width="8.81640625" style="2"/>
    <col min="56" max="57" width="0" style="2" hidden="1" customWidth="1"/>
    <col min="58" max="58" width="8.81640625" style="2"/>
    <col min="59" max="61" width="0" style="2" hidden="1" customWidth="1"/>
    <col min="62" max="62" width="8.81640625" style="2"/>
    <col min="63" max="66" width="0" style="2" hidden="1" customWidth="1"/>
    <col min="67" max="67" width="8.81640625" style="2"/>
    <col min="68" max="71" width="0" style="2" hidden="1" customWidth="1"/>
    <col min="72" max="72" width="8.81640625" style="2"/>
    <col min="73" max="76" width="0" style="2" hidden="1" customWidth="1"/>
    <col min="77" max="77" width="8.81640625" style="2"/>
    <col min="78" max="81" width="0" style="2" hidden="1" customWidth="1"/>
    <col min="82" max="82" width="8.81640625" style="2"/>
    <col min="83" max="85" width="0" style="2" hidden="1" customWidth="1"/>
    <col min="86" max="86" width="8.81640625" style="2"/>
    <col min="87" max="88" width="0" style="2" hidden="1" customWidth="1"/>
    <col min="89" max="89" width="8.81640625" style="2"/>
    <col min="90" max="91" width="0" style="2" hidden="1" customWidth="1"/>
    <col min="92" max="92" width="8.81640625" style="2"/>
    <col min="93" max="94" width="0" style="2" hidden="1" customWidth="1"/>
    <col min="95" max="95" width="8.81640625" style="2"/>
    <col min="96" max="97" width="0" style="2" hidden="1" customWidth="1"/>
    <col min="98" max="98" width="8.81640625" style="2"/>
    <col min="99" max="99" width="0" style="2" hidden="1" customWidth="1"/>
    <col min="100" max="100" width="21.54296875" style="235" customWidth="1"/>
    <col min="101" max="101" width="18.81640625" style="235" customWidth="1"/>
    <col min="102" max="103" width="8.81640625" style="2"/>
    <col min="104" max="104" width="10.453125" style="2" customWidth="1"/>
    <col min="105" max="106" width="8.81640625" style="2"/>
    <col min="107" max="107" width="10.453125" style="2" customWidth="1"/>
    <col min="108" max="109" width="8.81640625" style="2"/>
    <col min="110" max="110" width="10.54296875" style="2" customWidth="1"/>
    <col min="111" max="112" width="8.81640625" style="2"/>
    <col min="113" max="113" width="10.54296875" style="2" customWidth="1"/>
    <col min="114" max="115" width="8.81640625" style="2"/>
    <col min="116" max="116" width="10.81640625" style="2" customWidth="1"/>
    <col min="117" max="118" width="8.81640625" style="2"/>
    <col min="119" max="119" width="10.81640625" style="2" customWidth="1"/>
    <col min="120" max="121" width="8.81640625" style="2"/>
    <col min="122" max="122" width="10.54296875" style="2" customWidth="1"/>
    <col min="123" max="124" width="8.81640625" style="235"/>
    <col min="125" max="125" width="28.81640625" style="2" customWidth="1"/>
    <col min="126" max="126" width="8.81640625" style="2"/>
    <col min="127" max="127" width="9.453125" style="2" hidden="1" customWidth="1"/>
    <col min="128" max="128" width="0" style="2" hidden="1" customWidth="1"/>
    <col min="129" max="129" width="8.81640625" style="2"/>
    <col min="130" max="133" width="0" style="2" hidden="1" customWidth="1"/>
    <col min="134" max="134" width="8.81640625" style="2"/>
    <col min="135" max="136" width="0" style="2" hidden="1" customWidth="1"/>
    <col min="137" max="169" width="8.81640625" style="235"/>
    <col min="170" max="16384" width="8.81640625" style="2"/>
  </cols>
  <sheetData>
    <row r="1" spans="1:187" s="235" customFormat="1" x14ac:dyDescent="0.25"/>
    <row r="2" spans="1:187" s="235" customFormat="1" x14ac:dyDescent="0.25">
      <c r="B2" s="539" t="s">
        <v>283</v>
      </c>
      <c r="C2" s="290"/>
      <c r="D2" s="290"/>
      <c r="E2" s="524"/>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524"/>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524" t="s">
        <v>284</v>
      </c>
      <c r="CY2" s="290"/>
      <c r="CZ2" s="290"/>
      <c r="DA2" s="290"/>
      <c r="DB2" s="525"/>
      <c r="DC2" s="290"/>
      <c r="DD2" s="290"/>
      <c r="DE2" s="290"/>
      <c r="DF2" s="290"/>
      <c r="DG2" s="290"/>
      <c r="DH2" s="290"/>
      <c r="DI2" s="290"/>
      <c r="DJ2" s="290"/>
      <c r="DK2" s="290"/>
      <c r="DL2" s="290"/>
      <c r="DM2" s="290"/>
      <c r="DN2" s="290"/>
      <c r="DO2" s="290"/>
      <c r="DP2" s="290"/>
      <c r="DQ2" s="290"/>
      <c r="DR2" s="290"/>
      <c r="DU2" s="237" t="s">
        <v>285</v>
      </c>
    </row>
    <row r="3" spans="1:187" s="235" customFormat="1" ht="11" thickBot="1" x14ac:dyDescent="0.3">
      <c r="B3" s="526" t="s">
        <v>286</v>
      </c>
      <c r="C3" s="525"/>
      <c r="D3" s="1477" t="s">
        <v>287</v>
      </c>
      <c r="E3" s="1477"/>
      <c r="F3" s="1477"/>
      <c r="G3" s="1477"/>
      <c r="H3" s="1477"/>
      <c r="I3" s="1477" t="s">
        <v>288</v>
      </c>
      <c r="J3" s="1477"/>
      <c r="K3" s="1477"/>
      <c r="L3" s="1477"/>
      <c r="M3" s="1477"/>
      <c r="N3" s="1477" t="s">
        <v>289</v>
      </c>
      <c r="O3" s="1477"/>
      <c r="P3" s="1477"/>
      <c r="Q3" s="1477"/>
      <c r="R3" s="1477"/>
      <c r="S3" s="1477" t="s">
        <v>290</v>
      </c>
      <c r="T3" s="1477"/>
      <c r="U3" s="1477"/>
      <c r="V3" s="1477"/>
      <c r="W3" s="1477"/>
      <c r="X3" s="1477" t="s">
        <v>291</v>
      </c>
      <c r="Y3" s="1477"/>
      <c r="Z3" s="1477"/>
      <c r="AA3" s="1477"/>
      <c r="AB3" s="1477"/>
      <c r="AC3" s="1477" t="s">
        <v>292</v>
      </c>
      <c r="AD3" s="1477"/>
      <c r="AE3" s="1477"/>
      <c r="AF3" s="1477"/>
      <c r="AG3" s="1477"/>
      <c r="AH3" s="1477" t="s">
        <v>293</v>
      </c>
      <c r="AI3" s="1477"/>
      <c r="AJ3" s="1477"/>
      <c r="AK3" s="1477"/>
      <c r="AL3" s="1477"/>
      <c r="AM3" s="1477" t="s">
        <v>294</v>
      </c>
      <c r="AN3" s="1477"/>
      <c r="AO3" s="1477"/>
      <c r="AP3" s="1477"/>
      <c r="AQ3" s="1477"/>
      <c r="AR3" s="1477" t="s">
        <v>295</v>
      </c>
      <c r="AS3" s="1477"/>
      <c r="AT3" s="1477"/>
      <c r="AU3" s="1477"/>
      <c r="AV3" s="1477"/>
      <c r="AW3" s="1477" t="s">
        <v>296</v>
      </c>
      <c r="AX3" s="1477"/>
      <c r="AY3" s="1477"/>
      <c r="AZ3" s="1477"/>
      <c r="BA3" s="1477"/>
      <c r="BB3" s="1476" t="s">
        <v>297</v>
      </c>
      <c r="BC3" s="1476"/>
      <c r="BD3" s="1476"/>
      <c r="BE3" s="1476" t="s">
        <v>297</v>
      </c>
      <c r="BF3" s="1476"/>
      <c r="BG3" s="1476"/>
      <c r="BH3" s="1478" t="s">
        <v>298</v>
      </c>
      <c r="BI3" s="1478"/>
      <c r="BJ3" s="1478"/>
      <c r="BK3" s="1478"/>
      <c r="BL3" s="1478"/>
      <c r="BM3" s="1478" t="s">
        <v>299</v>
      </c>
      <c r="BN3" s="1478"/>
      <c r="BO3" s="1478"/>
      <c r="BP3" s="1478"/>
      <c r="BQ3" s="1478"/>
      <c r="BR3" s="1478" t="s">
        <v>300</v>
      </c>
      <c r="BS3" s="1478"/>
      <c r="BT3" s="1478"/>
      <c r="BU3" s="1478"/>
      <c r="BV3" s="1478"/>
      <c r="BW3" s="1478" t="s">
        <v>301</v>
      </c>
      <c r="BX3" s="1478"/>
      <c r="BY3" s="1478"/>
      <c r="BZ3" s="1478"/>
      <c r="CA3" s="1478"/>
      <c r="CB3" s="1478" t="s">
        <v>302</v>
      </c>
      <c r="CC3" s="1478"/>
      <c r="CD3" s="1478"/>
      <c r="CE3" s="1478"/>
      <c r="CF3" s="1478"/>
      <c r="CG3" s="1478" t="s">
        <v>303</v>
      </c>
      <c r="CH3" s="1478"/>
      <c r="CI3" s="1478"/>
      <c r="CJ3" s="1478" t="s">
        <v>304</v>
      </c>
      <c r="CK3" s="1478"/>
      <c r="CL3" s="1478"/>
      <c r="CM3" s="1478" t="s">
        <v>305</v>
      </c>
      <c r="CN3" s="1478"/>
      <c r="CO3" s="1478"/>
      <c r="CP3" s="1478" t="s">
        <v>306</v>
      </c>
      <c r="CQ3" s="1478"/>
      <c r="CR3" s="1478"/>
      <c r="CS3" s="1478" t="s">
        <v>307</v>
      </c>
      <c r="CT3" s="1478"/>
      <c r="CU3" s="1478"/>
      <c r="CV3" s="527"/>
      <c r="CW3" s="528"/>
      <c r="CX3" s="1478" t="s">
        <v>308</v>
      </c>
      <c r="CY3" s="1478"/>
      <c r="CZ3" s="1478"/>
      <c r="DA3" s="1478"/>
      <c r="DB3" s="1478"/>
      <c r="DC3" s="1478"/>
      <c r="DD3" s="525"/>
      <c r="DE3" s="525"/>
      <c r="DF3" s="525"/>
      <c r="DG3" s="525"/>
      <c r="DH3" s="525"/>
      <c r="DI3" s="525"/>
      <c r="DJ3" s="525"/>
      <c r="DK3" s="525"/>
      <c r="DL3" s="525"/>
      <c r="DM3" s="525"/>
      <c r="DN3" s="525"/>
      <c r="DO3" s="525"/>
      <c r="DP3" s="525"/>
      <c r="DQ3" s="525"/>
      <c r="DR3" s="527"/>
    </row>
    <row r="4" spans="1:187" s="846" customFormat="1" ht="72" customHeight="1" thickBot="1" x14ac:dyDescent="0.3">
      <c r="A4" s="840"/>
      <c r="B4" s="1479" t="s">
        <v>309</v>
      </c>
      <c r="C4" s="1480"/>
      <c r="D4" s="1481" t="s">
        <v>274</v>
      </c>
      <c r="E4" s="1482"/>
      <c r="F4" s="1482"/>
      <c r="G4" s="1482"/>
      <c r="H4" s="1483"/>
      <c r="I4" s="1484" t="s">
        <v>221</v>
      </c>
      <c r="J4" s="1485"/>
      <c r="K4" s="1485"/>
      <c r="L4" s="1485"/>
      <c r="M4" s="1486"/>
      <c r="N4" s="442"/>
      <c r="O4" s="443"/>
      <c r="P4" s="443" t="s">
        <v>233</v>
      </c>
      <c r="Q4" s="443"/>
      <c r="R4" s="444"/>
      <c r="S4" s="442"/>
      <c r="T4" s="443"/>
      <c r="U4" s="443" t="s">
        <v>227</v>
      </c>
      <c r="V4" s="443"/>
      <c r="W4" s="444"/>
      <c r="X4" s="442"/>
      <c r="Y4" s="443"/>
      <c r="Z4" s="443" t="s">
        <v>218</v>
      </c>
      <c r="AA4" s="443"/>
      <c r="AB4" s="444"/>
      <c r="AC4" s="442"/>
      <c r="AD4" s="443"/>
      <c r="AE4" s="443" t="s">
        <v>224</v>
      </c>
      <c r="AF4" s="443"/>
      <c r="AG4" s="444"/>
      <c r="AH4" s="442"/>
      <c r="AI4" s="443"/>
      <c r="AJ4" s="443" t="s">
        <v>310</v>
      </c>
      <c r="AK4" s="443"/>
      <c r="AL4" s="444"/>
      <c r="AM4" s="442"/>
      <c r="AN4" s="443"/>
      <c r="AO4" s="443" t="s">
        <v>311</v>
      </c>
      <c r="AP4" s="443"/>
      <c r="AQ4" s="444"/>
      <c r="AR4" s="442"/>
      <c r="AS4" s="443"/>
      <c r="AT4" s="443" t="s">
        <v>229</v>
      </c>
      <c r="AU4" s="443"/>
      <c r="AV4" s="444"/>
      <c r="AW4" s="1484" t="s">
        <v>231</v>
      </c>
      <c r="AX4" s="1485"/>
      <c r="AY4" s="1485"/>
      <c r="AZ4" s="1485"/>
      <c r="BA4" s="1486"/>
      <c r="BB4" s="1484" t="s">
        <v>258</v>
      </c>
      <c r="BC4" s="1485"/>
      <c r="BD4" s="1486"/>
      <c r="BE4" s="1484" t="s">
        <v>260</v>
      </c>
      <c r="BF4" s="1485"/>
      <c r="BG4" s="1486"/>
      <c r="BH4" s="1484" t="s">
        <v>241</v>
      </c>
      <c r="BI4" s="1485"/>
      <c r="BJ4" s="1485"/>
      <c r="BK4" s="1485"/>
      <c r="BL4" s="1486"/>
      <c r="BM4" s="442"/>
      <c r="BN4" s="443"/>
      <c r="BO4" s="443" t="s">
        <v>312</v>
      </c>
      <c r="BP4" s="443"/>
      <c r="BQ4" s="444"/>
      <c r="BR4" s="442"/>
      <c r="BS4" s="443"/>
      <c r="BT4" s="443" t="s">
        <v>313</v>
      </c>
      <c r="BU4" s="443"/>
      <c r="BV4" s="444"/>
      <c r="BW4" s="1484" t="s">
        <v>250</v>
      </c>
      <c r="BX4" s="1485"/>
      <c r="BY4" s="1485"/>
      <c r="BZ4" s="1485"/>
      <c r="CA4" s="1486"/>
      <c r="CB4" s="442"/>
      <c r="CC4" s="443"/>
      <c r="CD4" s="443" t="s">
        <v>252</v>
      </c>
      <c r="CE4" s="443"/>
      <c r="CF4" s="444"/>
      <c r="CG4" s="1484" t="s">
        <v>314</v>
      </c>
      <c r="CH4" s="1485"/>
      <c r="CI4" s="1486"/>
      <c r="CJ4" s="1484" t="s">
        <v>315</v>
      </c>
      <c r="CK4" s="1485"/>
      <c r="CL4" s="1486"/>
      <c r="CM4" s="1484" t="s">
        <v>316</v>
      </c>
      <c r="CN4" s="1485"/>
      <c r="CO4" s="1486"/>
      <c r="CP4" s="1484" t="s">
        <v>317</v>
      </c>
      <c r="CQ4" s="1485"/>
      <c r="CR4" s="1486"/>
      <c r="CS4" s="442"/>
      <c r="CT4" s="444" t="s">
        <v>318</v>
      </c>
      <c r="CU4" s="841"/>
      <c r="CV4" s="842"/>
      <c r="CW4" s="843"/>
      <c r="CX4" s="1481" t="s">
        <v>319</v>
      </c>
      <c r="CY4" s="1482"/>
      <c r="CZ4" s="1483"/>
      <c r="DA4" s="1481" t="s">
        <v>320</v>
      </c>
      <c r="DB4" s="1482"/>
      <c r="DC4" s="1483"/>
      <c r="DD4" s="1481" t="s">
        <v>321</v>
      </c>
      <c r="DE4" s="1482"/>
      <c r="DF4" s="1483"/>
      <c r="DG4" s="1481" t="s">
        <v>322</v>
      </c>
      <c r="DH4" s="1482"/>
      <c r="DI4" s="1483"/>
      <c r="DJ4" s="1481" t="s">
        <v>323</v>
      </c>
      <c r="DK4" s="1482"/>
      <c r="DL4" s="1483"/>
      <c r="DM4" s="1481" t="s">
        <v>324</v>
      </c>
      <c r="DN4" s="1482"/>
      <c r="DO4" s="1483"/>
      <c r="DP4" s="1481" t="s">
        <v>325</v>
      </c>
      <c r="DQ4" s="1482"/>
      <c r="DR4" s="1483"/>
      <c r="DS4" s="840"/>
      <c r="DT4" s="840"/>
      <c r="DU4" s="1487" t="s">
        <v>326</v>
      </c>
      <c r="DV4" s="1488"/>
      <c r="DW4" s="1484" t="s">
        <v>327</v>
      </c>
      <c r="DX4" s="1485"/>
      <c r="DY4" s="1485"/>
      <c r="DZ4" s="1485"/>
      <c r="EA4" s="1486"/>
      <c r="EB4" s="1485" t="s">
        <v>328</v>
      </c>
      <c r="EC4" s="1485"/>
      <c r="ED4" s="1485"/>
      <c r="EE4" s="1485"/>
      <c r="EF4" s="1486"/>
      <c r="EG4" s="844"/>
      <c r="EH4" s="239"/>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5"/>
      <c r="FO4" s="845"/>
      <c r="FP4" s="845"/>
      <c r="FQ4" s="845"/>
      <c r="FR4" s="845"/>
      <c r="FS4" s="845"/>
      <c r="FT4" s="845"/>
      <c r="FU4" s="845"/>
      <c r="FV4" s="845"/>
      <c r="FW4" s="845"/>
      <c r="FX4" s="845"/>
      <c r="FY4" s="845"/>
      <c r="FZ4" s="845"/>
      <c r="GA4" s="845"/>
      <c r="GB4" s="845"/>
      <c r="GC4" s="845"/>
      <c r="GD4" s="845"/>
      <c r="GE4" s="845"/>
    </row>
    <row r="5" spans="1:187" s="45" customFormat="1" ht="78" customHeight="1" x14ac:dyDescent="0.25">
      <c r="A5" s="238"/>
      <c r="B5" s="515" t="s">
        <v>329</v>
      </c>
      <c r="C5" s="516"/>
      <c r="D5" s="540" t="s">
        <v>330</v>
      </c>
      <c r="E5" s="541" t="s">
        <v>331</v>
      </c>
      <c r="F5" s="541" t="s">
        <v>332</v>
      </c>
      <c r="G5" s="541" t="s">
        <v>333</v>
      </c>
      <c r="H5" s="542" t="s">
        <v>334</v>
      </c>
      <c r="I5" s="517" t="s">
        <v>335</v>
      </c>
      <c r="J5" s="518" t="s">
        <v>336</v>
      </c>
      <c r="K5" s="518" t="s">
        <v>332</v>
      </c>
      <c r="L5" s="518" t="s">
        <v>337</v>
      </c>
      <c r="M5" s="516" t="s">
        <v>338</v>
      </c>
      <c r="N5" s="517" t="s">
        <v>339</v>
      </c>
      <c r="O5" s="518" t="s">
        <v>340</v>
      </c>
      <c r="P5" s="518" t="s">
        <v>332</v>
      </c>
      <c r="Q5" s="518" t="s">
        <v>341</v>
      </c>
      <c r="R5" s="516" t="s">
        <v>342</v>
      </c>
      <c r="S5" s="517" t="s">
        <v>343</v>
      </c>
      <c r="T5" s="518" t="s">
        <v>344</v>
      </c>
      <c r="U5" s="518" t="s">
        <v>332</v>
      </c>
      <c r="V5" s="518" t="s">
        <v>345</v>
      </c>
      <c r="W5" s="516" t="s">
        <v>346</v>
      </c>
      <c r="X5" s="517" t="s">
        <v>347</v>
      </c>
      <c r="Y5" s="518" t="s">
        <v>348</v>
      </c>
      <c r="Z5" s="518" t="s">
        <v>332</v>
      </c>
      <c r="AA5" s="518" t="s">
        <v>349</v>
      </c>
      <c r="AB5" s="516" t="s">
        <v>350</v>
      </c>
      <c r="AC5" s="517" t="s">
        <v>351</v>
      </c>
      <c r="AD5" s="518" t="s">
        <v>352</v>
      </c>
      <c r="AE5" s="518" t="s">
        <v>332</v>
      </c>
      <c r="AF5" s="518" t="s">
        <v>353</v>
      </c>
      <c r="AG5" s="516" t="s">
        <v>354</v>
      </c>
      <c r="AH5" s="517" t="s">
        <v>355</v>
      </c>
      <c r="AI5" s="518" t="s">
        <v>356</v>
      </c>
      <c r="AJ5" s="518" t="s">
        <v>332</v>
      </c>
      <c r="AK5" s="518" t="s">
        <v>357</v>
      </c>
      <c r="AL5" s="516" t="s">
        <v>358</v>
      </c>
      <c r="AM5" s="517" t="s">
        <v>359</v>
      </c>
      <c r="AN5" s="518" t="s">
        <v>360</v>
      </c>
      <c r="AO5" s="518" t="s">
        <v>332</v>
      </c>
      <c r="AP5" s="518" t="s">
        <v>361</v>
      </c>
      <c r="AQ5" s="516" t="s">
        <v>362</v>
      </c>
      <c r="AR5" s="517" t="s">
        <v>363</v>
      </c>
      <c r="AS5" s="518" t="s">
        <v>364</v>
      </c>
      <c r="AT5" s="518" t="s">
        <v>332</v>
      </c>
      <c r="AU5" s="518" t="s">
        <v>365</v>
      </c>
      <c r="AV5" s="516" t="s">
        <v>366</v>
      </c>
      <c r="AW5" s="517" t="s">
        <v>367</v>
      </c>
      <c r="AX5" s="518" t="s">
        <v>368</v>
      </c>
      <c r="AY5" s="518" t="s">
        <v>332</v>
      </c>
      <c r="AZ5" s="518" t="s">
        <v>369</v>
      </c>
      <c r="BA5" s="516" t="s">
        <v>370</v>
      </c>
      <c r="BB5" s="517" t="s">
        <v>371</v>
      </c>
      <c r="BC5" s="518" t="s">
        <v>332</v>
      </c>
      <c r="BD5" s="516" t="s">
        <v>372</v>
      </c>
      <c r="BE5" s="517" t="s">
        <v>373</v>
      </c>
      <c r="BF5" s="518" t="s">
        <v>332</v>
      </c>
      <c r="BG5" s="516" t="s">
        <v>374</v>
      </c>
      <c r="BH5" s="517" t="s">
        <v>375</v>
      </c>
      <c r="BI5" s="518" t="s">
        <v>376</v>
      </c>
      <c r="BJ5" s="518" t="s">
        <v>332</v>
      </c>
      <c r="BK5" s="518" t="s">
        <v>377</v>
      </c>
      <c r="BL5" s="516" t="s">
        <v>378</v>
      </c>
      <c r="BM5" s="517" t="s">
        <v>379</v>
      </c>
      <c r="BN5" s="518" t="s">
        <v>380</v>
      </c>
      <c r="BO5" s="518" t="s">
        <v>332</v>
      </c>
      <c r="BP5" s="518" t="s">
        <v>381</v>
      </c>
      <c r="BQ5" s="516" t="s">
        <v>382</v>
      </c>
      <c r="BR5" s="517" t="s">
        <v>383</v>
      </c>
      <c r="BS5" s="518" t="s">
        <v>384</v>
      </c>
      <c r="BT5" s="518" t="s">
        <v>332</v>
      </c>
      <c r="BU5" s="518" t="s">
        <v>385</v>
      </c>
      <c r="BV5" s="516" t="s">
        <v>386</v>
      </c>
      <c r="BW5" s="517" t="s">
        <v>387</v>
      </c>
      <c r="BX5" s="518" t="s">
        <v>387</v>
      </c>
      <c r="BY5" s="518" t="s">
        <v>332</v>
      </c>
      <c r="BZ5" s="518" t="s">
        <v>388</v>
      </c>
      <c r="CA5" s="516" t="s">
        <v>388</v>
      </c>
      <c r="CB5" s="517" t="s">
        <v>389</v>
      </c>
      <c r="CC5" s="518" t="s">
        <v>389</v>
      </c>
      <c r="CD5" s="518" t="s">
        <v>332</v>
      </c>
      <c r="CE5" s="518" t="s">
        <v>390</v>
      </c>
      <c r="CF5" s="516" t="s">
        <v>390</v>
      </c>
      <c r="CG5" s="517" t="s">
        <v>391</v>
      </c>
      <c r="CH5" s="518" t="s">
        <v>332</v>
      </c>
      <c r="CI5" s="516" t="s">
        <v>392</v>
      </c>
      <c r="CJ5" s="517" t="s">
        <v>393</v>
      </c>
      <c r="CK5" s="518" t="s">
        <v>332</v>
      </c>
      <c r="CL5" s="516" t="s">
        <v>394</v>
      </c>
      <c r="CM5" s="517" t="s">
        <v>395</v>
      </c>
      <c r="CN5" s="518" t="s">
        <v>332</v>
      </c>
      <c r="CO5" s="516" t="s">
        <v>396</v>
      </c>
      <c r="CP5" s="517" t="s">
        <v>397</v>
      </c>
      <c r="CQ5" s="518" t="s">
        <v>332</v>
      </c>
      <c r="CR5" s="516" t="s">
        <v>398</v>
      </c>
      <c r="CS5" s="517" t="s">
        <v>399</v>
      </c>
      <c r="CT5" s="516" t="s">
        <v>332</v>
      </c>
      <c r="CU5" s="516" t="s">
        <v>399</v>
      </c>
      <c r="CV5" s="543"/>
      <c r="CW5" s="544"/>
      <c r="CX5" s="517" t="s">
        <v>400</v>
      </c>
      <c r="CY5" s="518" t="s">
        <v>332</v>
      </c>
      <c r="CZ5" s="516" t="s">
        <v>400</v>
      </c>
      <c r="DA5" s="517" t="s">
        <v>401</v>
      </c>
      <c r="DB5" s="518" t="s">
        <v>332</v>
      </c>
      <c r="DC5" s="516" t="s">
        <v>402</v>
      </c>
      <c r="DD5" s="517" t="s">
        <v>403</v>
      </c>
      <c r="DE5" s="518" t="s">
        <v>332</v>
      </c>
      <c r="DF5" s="516" t="s">
        <v>404</v>
      </c>
      <c r="DG5" s="517" t="s">
        <v>405</v>
      </c>
      <c r="DH5" s="518" t="s">
        <v>332</v>
      </c>
      <c r="DI5" s="516" t="s">
        <v>406</v>
      </c>
      <c r="DJ5" s="517" t="s">
        <v>405</v>
      </c>
      <c r="DK5" s="518" t="s">
        <v>332</v>
      </c>
      <c r="DL5" s="516" t="s">
        <v>407</v>
      </c>
      <c r="DM5" s="517" t="s">
        <v>405</v>
      </c>
      <c r="DN5" s="518" t="s">
        <v>408</v>
      </c>
      <c r="DO5" s="516" t="s">
        <v>409</v>
      </c>
      <c r="DP5" s="517" t="s">
        <v>405</v>
      </c>
      <c r="DQ5" s="518" t="s">
        <v>408</v>
      </c>
      <c r="DR5" s="516" t="s">
        <v>410</v>
      </c>
      <c r="DS5" s="238"/>
      <c r="DT5" s="238"/>
      <c r="DU5" s="570"/>
      <c r="DV5" s="571"/>
      <c r="DW5" s="572" t="s">
        <v>411</v>
      </c>
      <c r="DX5" s="573" t="s">
        <v>412</v>
      </c>
      <c r="DY5" s="573" t="s">
        <v>413</v>
      </c>
      <c r="DZ5" s="574" t="s">
        <v>414</v>
      </c>
      <c r="EA5" s="575" t="s">
        <v>415</v>
      </c>
      <c r="EB5" s="574" t="s">
        <v>411</v>
      </c>
      <c r="EC5" s="574" t="s">
        <v>412</v>
      </c>
      <c r="ED5" s="574" t="s">
        <v>413</v>
      </c>
      <c r="EE5" s="574" t="s">
        <v>414</v>
      </c>
      <c r="EF5" s="575" t="s">
        <v>415</v>
      </c>
      <c r="EG5" s="561"/>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row>
    <row r="6" spans="1:187" s="45" customFormat="1" ht="30.65" customHeight="1" thickBot="1" x14ac:dyDescent="0.3">
      <c r="A6" s="238"/>
      <c r="B6" s="519" t="s">
        <v>416</v>
      </c>
      <c r="C6" s="520"/>
      <c r="D6" s="521" t="s">
        <v>411</v>
      </c>
      <c r="E6" s="522" t="s">
        <v>412</v>
      </c>
      <c r="F6" s="522" t="s">
        <v>413</v>
      </c>
      <c r="G6" s="522" t="s">
        <v>414</v>
      </c>
      <c r="H6" s="523" t="s">
        <v>415</v>
      </c>
      <c r="I6" s="521" t="s">
        <v>411</v>
      </c>
      <c r="J6" s="522" t="s">
        <v>412</v>
      </c>
      <c r="K6" s="522" t="s">
        <v>413</v>
      </c>
      <c r="L6" s="522" t="s">
        <v>414</v>
      </c>
      <c r="M6" s="523" t="s">
        <v>415</v>
      </c>
      <c r="N6" s="521" t="s">
        <v>411</v>
      </c>
      <c r="O6" s="522" t="s">
        <v>412</v>
      </c>
      <c r="P6" s="522" t="s">
        <v>413</v>
      </c>
      <c r="Q6" s="522" t="s">
        <v>414</v>
      </c>
      <c r="R6" s="523" t="s">
        <v>415</v>
      </c>
      <c r="S6" s="521" t="s">
        <v>411</v>
      </c>
      <c r="T6" s="522" t="s">
        <v>412</v>
      </c>
      <c r="U6" s="522" t="s">
        <v>413</v>
      </c>
      <c r="V6" s="522" t="s">
        <v>414</v>
      </c>
      <c r="W6" s="523" t="s">
        <v>415</v>
      </c>
      <c r="X6" s="521" t="s">
        <v>411</v>
      </c>
      <c r="Y6" s="522" t="s">
        <v>412</v>
      </c>
      <c r="Z6" s="522" t="s">
        <v>413</v>
      </c>
      <c r="AA6" s="522" t="s">
        <v>414</v>
      </c>
      <c r="AB6" s="523" t="s">
        <v>415</v>
      </c>
      <c r="AC6" s="521" t="s">
        <v>411</v>
      </c>
      <c r="AD6" s="522" t="s">
        <v>412</v>
      </c>
      <c r="AE6" s="522" t="s">
        <v>413</v>
      </c>
      <c r="AF6" s="522" t="s">
        <v>414</v>
      </c>
      <c r="AG6" s="523" t="s">
        <v>415</v>
      </c>
      <c r="AH6" s="521" t="s">
        <v>411</v>
      </c>
      <c r="AI6" s="522" t="s">
        <v>412</v>
      </c>
      <c r="AJ6" s="522" t="s">
        <v>413</v>
      </c>
      <c r="AK6" s="522" t="s">
        <v>414</v>
      </c>
      <c r="AL6" s="523" t="s">
        <v>415</v>
      </c>
      <c r="AM6" s="521" t="s">
        <v>411</v>
      </c>
      <c r="AN6" s="522" t="s">
        <v>412</v>
      </c>
      <c r="AO6" s="522" t="s">
        <v>413</v>
      </c>
      <c r="AP6" s="522" t="s">
        <v>414</v>
      </c>
      <c r="AQ6" s="523" t="s">
        <v>415</v>
      </c>
      <c r="AR6" s="521" t="s">
        <v>411</v>
      </c>
      <c r="AS6" s="522" t="s">
        <v>412</v>
      </c>
      <c r="AT6" s="522" t="s">
        <v>413</v>
      </c>
      <c r="AU6" s="522" t="s">
        <v>414</v>
      </c>
      <c r="AV6" s="523" t="s">
        <v>415</v>
      </c>
      <c r="AW6" s="521" t="s">
        <v>411</v>
      </c>
      <c r="AX6" s="522" t="s">
        <v>412</v>
      </c>
      <c r="AY6" s="522" t="s">
        <v>413</v>
      </c>
      <c r="AZ6" s="522" t="s">
        <v>414</v>
      </c>
      <c r="BA6" s="523" t="s">
        <v>415</v>
      </c>
      <c r="BB6" s="521" t="s">
        <v>412</v>
      </c>
      <c r="BC6" s="522" t="s">
        <v>413</v>
      </c>
      <c r="BD6" s="523" t="s">
        <v>414</v>
      </c>
      <c r="BE6" s="521" t="s">
        <v>412</v>
      </c>
      <c r="BF6" s="522" t="s">
        <v>413</v>
      </c>
      <c r="BG6" s="523" t="s">
        <v>414</v>
      </c>
      <c r="BH6" s="521" t="s">
        <v>411</v>
      </c>
      <c r="BI6" s="522" t="s">
        <v>412</v>
      </c>
      <c r="BJ6" s="522" t="s">
        <v>413</v>
      </c>
      <c r="BK6" s="522" t="s">
        <v>414</v>
      </c>
      <c r="BL6" s="523" t="s">
        <v>415</v>
      </c>
      <c r="BM6" s="521" t="s">
        <v>411</v>
      </c>
      <c r="BN6" s="522" t="s">
        <v>412</v>
      </c>
      <c r="BO6" s="522" t="s">
        <v>413</v>
      </c>
      <c r="BP6" s="522" t="s">
        <v>414</v>
      </c>
      <c r="BQ6" s="523" t="s">
        <v>415</v>
      </c>
      <c r="BR6" s="521" t="s">
        <v>411</v>
      </c>
      <c r="BS6" s="522" t="s">
        <v>412</v>
      </c>
      <c r="BT6" s="522" t="s">
        <v>413</v>
      </c>
      <c r="BU6" s="522" t="s">
        <v>414</v>
      </c>
      <c r="BV6" s="523" t="s">
        <v>415</v>
      </c>
      <c r="BW6" s="521" t="s">
        <v>411</v>
      </c>
      <c r="BX6" s="522" t="s">
        <v>412</v>
      </c>
      <c r="BY6" s="522" t="s">
        <v>413</v>
      </c>
      <c r="BZ6" s="522" t="s">
        <v>414</v>
      </c>
      <c r="CA6" s="523" t="s">
        <v>415</v>
      </c>
      <c r="CB6" s="521" t="s">
        <v>411</v>
      </c>
      <c r="CC6" s="522" t="s">
        <v>412</v>
      </c>
      <c r="CD6" s="522" t="s">
        <v>413</v>
      </c>
      <c r="CE6" s="522" t="s">
        <v>414</v>
      </c>
      <c r="CF6" s="523" t="s">
        <v>415</v>
      </c>
      <c r="CG6" s="521" t="s">
        <v>412</v>
      </c>
      <c r="CH6" s="522" t="s">
        <v>413</v>
      </c>
      <c r="CI6" s="523" t="s">
        <v>414</v>
      </c>
      <c r="CJ6" s="521" t="s">
        <v>412</v>
      </c>
      <c r="CK6" s="522" t="s">
        <v>413</v>
      </c>
      <c r="CL6" s="523" t="s">
        <v>414</v>
      </c>
      <c r="CM6" s="521" t="s">
        <v>412</v>
      </c>
      <c r="CN6" s="522" t="s">
        <v>413</v>
      </c>
      <c r="CO6" s="523" t="s">
        <v>414</v>
      </c>
      <c r="CP6" s="521" t="s">
        <v>412</v>
      </c>
      <c r="CQ6" s="522" t="s">
        <v>413</v>
      </c>
      <c r="CR6" s="523" t="s">
        <v>414</v>
      </c>
      <c r="CS6" s="521" t="s">
        <v>412</v>
      </c>
      <c r="CT6" s="523" t="s">
        <v>413</v>
      </c>
      <c r="CU6" s="523" t="s">
        <v>414</v>
      </c>
      <c r="CV6" s="545"/>
      <c r="CW6" s="533"/>
      <c r="CX6" s="521" t="s">
        <v>417</v>
      </c>
      <c r="CY6" s="522" t="s">
        <v>418</v>
      </c>
      <c r="CZ6" s="891" t="s">
        <v>75</v>
      </c>
      <c r="DA6" s="521" t="s">
        <v>417</v>
      </c>
      <c r="DB6" s="522" t="s">
        <v>418</v>
      </c>
      <c r="DC6" s="891" t="s">
        <v>75</v>
      </c>
      <c r="DD6" s="521" t="s">
        <v>417</v>
      </c>
      <c r="DE6" s="522" t="s">
        <v>418</v>
      </c>
      <c r="DF6" s="891" t="s">
        <v>75</v>
      </c>
      <c r="DG6" s="521" t="s">
        <v>417</v>
      </c>
      <c r="DH6" s="522" t="s">
        <v>418</v>
      </c>
      <c r="DI6" s="891" t="s">
        <v>75</v>
      </c>
      <c r="DJ6" s="521" t="s">
        <v>417</v>
      </c>
      <c r="DK6" s="522" t="s">
        <v>418</v>
      </c>
      <c r="DL6" s="891" t="s">
        <v>75</v>
      </c>
      <c r="DM6" s="521" t="s">
        <v>417</v>
      </c>
      <c r="DN6" s="522" t="s">
        <v>418</v>
      </c>
      <c r="DO6" s="891" t="s">
        <v>75</v>
      </c>
      <c r="DP6" s="521" t="s">
        <v>417</v>
      </c>
      <c r="DQ6" s="522" t="s">
        <v>418</v>
      </c>
      <c r="DR6" s="891" t="s">
        <v>75</v>
      </c>
      <c r="DS6" s="238"/>
      <c r="DT6" s="238"/>
      <c r="DU6" s="576" t="s">
        <v>419</v>
      </c>
      <c r="DV6" s="577"/>
      <c r="DW6" s="578" t="s">
        <v>420</v>
      </c>
      <c r="DX6" s="579"/>
      <c r="DY6" s="579" t="s">
        <v>421</v>
      </c>
      <c r="DZ6" s="1489" t="s">
        <v>422</v>
      </c>
      <c r="EA6" s="1490"/>
      <c r="EB6" s="1489" t="s">
        <v>423</v>
      </c>
      <c r="EC6" s="1489"/>
      <c r="ED6" s="579" t="s">
        <v>421</v>
      </c>
      <c r="EE6" s="1489" t="s">
        <v>422</v>
      </c>
      <c r="EF6" s="1490"/>
      <c r="EG6" s="561"/>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row>
    <row r="7" spans="1:187" s="45" customFormat="1" x14ac:dyDescent="0.25">
      <c r="A7" s="238"/>
      <c r="B7" s="445" t="s">
        <v>424</v>
      </c>
      <c r="C7" s="446" t="s">
        <v>425</v>
      </c>
      <c r="D7" s="447">
        <v>779.00886864000006</v>
      </c>
      <c r="E7" s="448">
        <v>927.14227320000009</v>
      </c>
      <c r="F7" s="448">
        <v>1117.4151519999998</v>
      </c>
      <c r="G7" s="448">
        <v>1326.1814940000002</v>
      </c>
      <c r="H7" s="449">
        <v>1475.1573139200002</v>
      </c>
      <c r="I7" s="447">
        <v>177.90499999999997</v>
      </c>
      <c r="J7" s="448">
        <v>229.46000000000004</v>
      </c>
      <c r="K7" s="448">
        <v>300.43200000000002</v>
      </c>
      <c r="L7" s="448">
        <v>522.35956666666664</v>
      </c>
      <c r="M7" s="449">
        <v>637.21409803921551</v>
      </c>
      <c r="N7" s="447">
        <v>447.04999999999984</v>
      </c>
      <c r="O7" s="448">
        <v>562.31999999999994</v>
      </c>
      <c r="P7" s="448">
        <v>687.31499999999994</v>
      </c>
      <c r="Q7" s="448">
        <v>912.55499999999961</v>
      </c>
      <c r="R7" s="449">
        <v>1145.5599999999997</v>
      </c>
      <c r="S7" s="447">
        <v>475.18749999999983</v>
      </c>
      <c r="T7" s="448">
        <v>570.93750000000034</v>
      </c>
      <c r="U7" s="448">
        <v>612.14999999999986</v>
      </c>
      <c r="V7" s="448">
        <v>651.48</v>
      </c>
      <c r="W7" s="449">
        <v>683.2399999999999</v>
      </c>
      <c r="X7" s="447">
        <v>230.22699999999995</v>
      </c>
      <c r="Y7" s="448">
        <v>309.04928571428559</v>
      </c>
      <c r="Z7" s="448">
        <v>400.71546428571412</v>
      </c>
      <c r="AA7" s="448">
        <v>612.5167142857141</v>
      </c>
      <c r="AB7" s="449">
        <v>713.54399999999998</v>
      </c>
      <c r="AC7" s="447">
        <v>-164.34000000000009</v>
      </c>
      <c r="AD7" s="448">
        <v>-2.6926027397263255</v>
      </c>
      <c r="AE7" s="448">
        <v>259.43207091055569</v>
      </c>
      <c r="AF7" s="448">
        <v>660.44712328767082</v>
      </c>
      <c r="AG7" s="449">
        <v>895.80250000000012</v>
      </c>
      <c r="AH7" s="447">
        <v>75.403166666666621</v>
      </c>
      <c r="AI7" s="448">
        <v>139.85833333333335</v>
      </c>
      <c r="AJ7" s="448">
        <v>216.00533333333334</v>
      </c>
      <c r="AK7" s="448">
        <v>338.56733333333318</v>
      </c>
      <c r="AL7" s="449">
        <v>501.01333333333326</v>
      </c>
      <c r="AM7" s="447">
        <v>109.86857142857146</v>
      </c>
      <c r="AN7" s="448">
        <v>172.66734047619036</v>
      </c>
      <c r="AO7" s="448">
        <v>261.30905059523803</v>
      </c>
      <c r="AP7" s="448">
        <v>385.96798571428565</v>
      </c>
      <c r="AQ7" s="449">
        <v>497.70590476190478</v>
      </c>
      <c r="AR7" s="447">
        <v>458.35399999999998</v>
      </c>
      <c r="AS7" s="448">
        <v>519.93562500000007</v>
      </c>
      <c r="AT7" s="448">
        <v>605.5350000000002</v>
      </c>
      <c r="AU7" s="448">
        <v>686.87125000000015</v>
      </c>
      <c r="AV7" s="449">
        <v>750.87300000000016</v>
      </c>
      <c r="AW7" s="447">
        <v>258.89999999999952</v>
      </c>
      <c r="AX7" s="448">
        <v>342.34890410958866</v>
      </c>
      <c r="AY7" s="448">
        <v>470.27139403706616</v>
      </c>
      <c r="AZ7" s="448">
        <v>593.96054794520489</v>
      </c>
      <c r="BA7" s="449">
        <v>711.47499999999923</v>
      </c>
      <c r="BB7" s="447">
        <v>90.870899999999963</v>
      </c>
      <c r="BC7" s="448">
        <v>118.99666666666661</v>
      </c>
      <c r="BD7" s="449">
        <v>169.44913333333335</v>
      </c>
      <c r="BE7" s="447">
        <v>361.23</v>
      </c>
      <c r="BF7" s="448">
        <f>BF50</f>
        <v>378.77499999999998</v>
      </c>
      <c r="BG7" s="449">
        <v>999.6999999999997</v>
      </c>
      <c r="BH7" s="447">
        <v>279.84000000000003</v>
      </c>
      <c r="BI7" s="448">
        <v>403.14749999999998</v>
      </c>
      <c r="BJ7" s="448">
        <v>517.89</v>
      </c>
      <c r="BK7" s="448">
        <v>636.72750000000008</v>
      </c>
      <c r="BL7" s="449">
        <v>799.19999999999982</v>
      </c>
      <c r="BM7" s="447">
        <v>169.42099999999996</v>
      </c>
      <c r="BN7" s="448">
        <v>325.68384800000001</v>
      </c>
      <c r="BO7" s="448">
        <v>642.71350000000007</v>
      </c>
      <c r="BP7" s="448">
        <v>951.16131000000019</v>
      </c>
      <c r="BQ7" s="449">
        <v>1400.568</v>
      </c>
      <c r="BR7" s="447">
        <v>475.19999999999993</v>
      </c>
      <c r="BS7" s="448">
        <v>571.0379999999999</v>
      </c>
      <c r="BT7" s="448">
        <v>745.07999999999993</v>
      </c>
      <c r="BU7" s="448">
        <v>937.70999999999992</v>
      </c>
      <c r="BV7" s="449">
        <v>1065.5999999999999</v>
      </c>
      <c r="BW7" s="447">
        <v>29.403000000000006</v>
      </c>
      <c r="BX7" s="448">
        <v>160.97227999999984</v>
      </c>
      <c r="BY7" s="448">
        <v>338.31907499999994</v>
      </c>
      <c r="BZ7" s="448">
        <v>428.83551999999997</v>
      </c>
      <c r="CA7" s="449">
        <v>561.42585000000008</v>
      </c>
      <c r="CB7" s="447">
        <v>-38.999999999999972</v>
      </c>
      <c r="CC7" s="448">
        <v>108.89999999999998</v>
      </c>
      <c r="CD7" s="448">
        <v>345.15</v>
      </c>
      <c r="CE7" s="448">
        <v>635.4</v>
      </c>
      <c r="CF7" s="449">
        <v>561</v>
      </c>
      <c r="CG7" s="447">
        <v>3634.4000000000005</v>
      </c>
      <c r="CH7" s="448">
        <v>6784.2000000000007</v>
      </c>
      <c r="CI7" s="449">
        <v>10474.68</v>
      </c>
      <c r="CJ7" s="447">
        <v>93.85599999999971</v>
      </c>
      <c r="CK7" s="448">
        <v>147.0599999999996</v>
      </c>
      <c r="CL7" s="449">
        <v>501.90000000000009</v>
      </c>
      <c r="CM7" s="447">
        <v>355.80260346399234</v>
      </c>
      <c r="CN7" s="448">
        <v>543.72126389460607</v>
      </c>
      <c r="CO7" s="449">
        <v>1009.5604370761114</v>
      </c>
      <c r="CP7" s="447">
        <v>4763.9999999999973</v>
      </c>
      <c r="CQ7" s="448">
        <v>6299.5</v>
      </c>
      <c r="CR7" s="449">
        <v>8037.5999999999995</v>
      </c>
      <c r="CS7" s="447">
        <v>1247.3749999999995</v>
      </c>
      <c r="CT7" s="449">
        <v>2094.5000000000005</v>
      </c>
      <c r="CU7" s="449">
        <v>2915.9250000000006</v>
      </c>
      <c r="CV7" s="545"/>
      <c r="CW7" s="533"/>
      <c r="CX7" s="447">
        <f>CX50</f>
        <v>992</v>
      </c>
      <c r="CY7" s="448">
        <f t="shared" ref="CY7:DR7" si="0">CY50</f>
        <v>1220</v>
      </c>
      <c r="CZ7" s="449" t="e">
        <f t="shared" si="0"/>
        <v>#DIV/0!</v>
      </c>
      <c r="DA7" s="447">
        <f t="shared" si="0"/>
        <v>1088.9684210526314</v>
      </c>
      <c r="DB7" s="448">
        <f t="shared" si="0"/>
        <v>1164.1157894736841</v>
      </c>
      <c r="DC7" s="449" t="e">
        <f t="shared" si="0"/>
        <v>#DIV/0!</v>
      </c>
      <c r="DD7" s="447">
        <f t="shared" si="0"/>
        <v>283.29824561403507</v>
      </c>
      <c r="DE7" s="448">
        <f t="shared" si="0"/>
        <v>343.29824561403507</v>
      </c>
      <c r="DF7" s="449">
        <f t="shared" si="0"/>
        <v>516.63157894736833</v>
      </c>
      <c r="DG7" s="447">
        <f t="shared" si="0"/>
        <v>74.703947368421055</v>
      </c>
      <c r="DH7" s="448">
        <f t="shared" si="0"/>
        <v>103.95394736842105</v>
      </c>
      <c r="DI7" s="449">
        <f t="shared" si="0"/>
        <v>239.70394736842104</v>
      </c>
      <c r="DJ7" s="447">
        <f t="shared" si="0"/>
        <v>374.8547368421053</v>
      </c>
      <c r="DK7" s="448">
        <f t="shared" si="0"/>
        <v>502.8547368421053</v>
      </c>
      <c r="DL7" s="449">
        <f t="shared" si="0"/>
        <v>918.85473684210535</v>
      </c>
      <c r="DM7" s="447">
        <f t="shared" si="0"/>
        <v>250.75519999999997</v>
      </c>
      <c r="DN7" s="448">
        <f t="shared" si="0"/>
        <v>290.48631999999998</v>
      </c>
      <c r="DO7" s="449">
        <f t="shared" si="0"/>
        <v>328.8</v>
      </c>
      <c r="DP7" s="447">
        <f t="shared" si="0"/>
        <v>138.58000000000004</v>
      </c>
      <c r="DQ7" s="448">
        <f t="shared" si="0"/>
        <v>180.22542280078133</v>
      </c>
      <c r="DR7" s="449">
        <f t="shared" si="0"/>
        <v>150.20000000000005</v>
      </c>
      <c r="DS7" s="238"/>
      <c r="DT7" s="238"/>
      <c r="DU7" s="592" t="s">
        <v>426</v>
      </c>
      <c r="DV7" s="593" t="s">
        <v>427</v>
      </c>
      <c r="DW7" s="146">
        <v>7500</v>
      </c>
      <c r="DX7" s="133">
        <v>8000</v>
      </c>
      <c r="DY7" s="133">
        <v>8000</v>
      </c>
      <c r="DZ7" s="133">
        <v>8000</v>
      </c>
      <c r="EA7" s="147">
        <v>8500</v>
      </c>
      <c r="EB7" s="133">
        <v>5400</v>
      </c>
      <c r="EC7" s="133">
        <v>5450</v>
      </c>
      <c r="ED7" s="133">
        <v>5450</v>
      </c>
      <c r="EE7" s="133">
        <v>5450</v>
      </c>
      <c r="EF7" s="147">
        <v>5500</v>
      </c>
      <c r="EG7" s="289"/>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row>
    <row r="8" spans="1:187" s="45" customFormat="1" x14ac:dyDescent="0.25">
      <c r="A8" s="238"/>
      <c r="B8" s="468" t="s">
        <v>428</v>
      </c>
      <c r="C8" s="36" t="s">
        <v>429</v>
      </c>
      <c r="D8" s="127">
        <v>0.71599999999999997</v>
      </c>
      <c r="E8" s="128">
        <v>0.77566666666666673</v>
      </c>
      <c r="F8" s="128">
        <v>0.83533333333333326</v>
      </c>
      <c r="G8" s="128">
        <v>0.89500000000000002</v>
      </c>
      <c r="H8" s="129">
        <v>0.95466666666666677</v>
      </c>
      <c r="I8" s="127">
        <v>1.125</v>
      </c>
      <c r="J8" s="128">
        <v>1.2374999999999998</v>
      </c>
      <c r="K8" s="128">
        <v>1.35</v>
      </c>
      <c r="L8" s="128">
        <v>1.6500000000000001</v>
      </c>
      <c r="M8" s="129">
        <v>1.7249999999999999</v>
      </c>
      <c r="N8" s="127">
        <v>1.625</v>
      </c>
      <c r="O8" s="128">
        <v>1.7875000000000001</v>
      </c>
      <c r="P8" s="128">
        <v>1.9500000000000002</v>
      </c>
      <c r="Q8" s="128">
        <v>2.2749999999999999</v>
      </c>
      <c r="R8" s="129">
        <v>2.6</v>
      </c>
      <c r="S8" s="127">
        <v>1.625</v>
      </c>
      <c r="T8" s="128">
        <v>1.885</v>
      </c>
      <c r="U8" s="128">
        <v>1.9500000000000002</v>
      </c>
      <c r="V8" s="128">
        <v>1.9824999999999999</v>
      </c>
      <c r="W8" s="129">
        <v>2.0150000000000001</v>
      </c>
      <c r="X8" s="127">
        <v>1.0499999999999998</v>
      </c>
      <c r="Y8" s="128">
        <v>1.125</v>
      </c>
      <c r="Z8" s="128">
        <v>1.2374999999999998</v>
      </c>
      <c r="AA8" s="128">
        <v>1.5</v>
      </c>
      <c r="AB8" s="129">
        <v>1.5750000000000002</v>
      </c>
      <c r="AC8" s="127">
        <v>1.5</v>
      </c>
      <c r="AD8" s="128">
        <v>1.7087671232876711</v>
      </c>
      <c r="AE8" s="128">
        <v>2.0103142626913777</v>
      </c>
      <c r="AF8" s="128">
        <v>2.2783561643835619</v>
      </c>
      <c r="AG8" s="129">
        <v>2.375</v>
      </c>
      <c r="AH8" s="127">
        <v>0.82500000000000007</v>
      </c>
      <c r="AI8" s="128">
        <v>0.97500000000000009</v>
      </c>
      <c r="AJ8" s="128">
        <v>1.2000000000000002</v>
      </c>
      <c r="AK8" s="128">
        <v>1.4249999999999998</v>
      </c>
      <c r="AL8" s="129">
        <v>1.6500000000000001</v>
      </c>
      <c r="AM8" s="127">
        <v>0.67500000000000004</v>
      </c>
      <c r="AN8" s="128">
        <v>0.75</v>
      </c>
      <c r="AO8" s="128">
        <v>0.9375</v>
      </c>
      <c r="AP8" s="128">
        <v>1.125</v>
      </c>
      <c r="AQ8" s="129">
        <v>1.2000000000000002</v>
      </c>
      <c r="AR8" s="127">
        <v>1.6900000000000002</v>
      </c>
      <c r="AS8" s="128">
        <v>1.7875000000000001</v>
      </c>
      <c r="AT8" s="128">
        <v>1.9500000000000002</v>
      </c>
      <c r="AU8" s="128">
        <v>2.1125000000000003</v>
      </c>
      <c r="AV8" s="129">
        <v>2.21</v>
      </c>
      <c r="AW8" s="127">
        <v>1.9500000000000002</v>
      </c>
      <c r="AX8" s="128">
        <v>2.2438356164383562</v>
      </c>
      <c r="AY8" s="128">
        <v>2.6398066075745366</v>
      </c>
      <c r="AZ8" s="128">
        <v>2.9917808219178088</v>
      </c>
      <c r="BA8" s="129">
        <v>3.25</v>
      </c>
      <c r="BB8" s="127">
        <v>0.72000000000000008</v>
      </c>
      <c r="BC8" s="128">
        <v>0.8</v>
      </c>
      <c r="BD8" s="129">
        <v>0.88000000000000012</v>
      </c>
      <c r="BE8" s="127">
        <v>1.2000000000000002</v>
      </c>
      <c r="BF8" s="128">
        <v>1</v>
      </c>
      <c r="BG8" s="129">
        <v>2</v>
      </c>
      <c r="BH8" s="127">
        <v>1.32</v>
      </c>
      <c r="BI8" s="128">
        <v>1.65</v>
      </c>
      <c r="BJ8" s="128">
        <v>1.65</v>
      </c>
      <c r="BK8" s="128">
        <v>1.65</v>
      </c>
      <c r="BL8" s="129">
        <v>1.98</v>
      </c>
      <c r="BM8" s="127">
        <v>0.77</v>
      </c>
      <c r="BN8" s="128">
        <v>0.88</v>
      </c>
      <c r="BO8" s="128">
        <v>1.1000000000000001</v>
      </c>
      <c r="BP8" s="128">
        <v>1.21</v>
      </c>
      <c r="BQ8" s="129">
        <v>1.43</v>
      </c>
      <c r="BR8" s="127">
        <v>0.96</v>
      </c>
      <c r="BS8" s="128">
        <v>1.04</v>
      </c>
      <c r="BT8" s="128">
        <v>1.1200000000000001</v>
      </c>
      <c r="BU8" s="128">
        <v>1.2</v>
      </c>
      <c r="BV8" s="129">
        <v>1.28</v>
      </c>
      <c r="BW8" s="127">
        <v>0.24</v>
      </c>
      <c r="BX8" s="128">
        <v>0.56000000000000005</v>
      </c>
      <c r="BY8" s="128">
        <v>0.6</v>
      </c>
      <c r="BZ8" s="128">
        <v>0.64</v>
      </c>
      <c r="CA8" s="129">
        <v>0.72</v>
      </c>
      <c r="CB8" s="127">
        <v>0.89999999999999991</v>
      </c>
      <c r="CC8" s="128">
        <v>0.89999999999999991</v>
      </c>
      <c r="CD8" s="128">
        <v>0.89999999999999991</v>
      </c>
      <c r="CE8" s="128">
        <v>0.89999999999999991</v>
      </c>
      <c r="CF8" s="129">
        <v>0.89999999999999991</v>
      </c>
      <c r="CG8" s="127">
        <v>8.8000000000000007</v>
      </c>
      <c r="CH8" s="128">
        <v>8.8000000000000007</v>
      </c>
      <c r="CI8" s="129">
        <v>8.8000000000000007</v>
      </c>
      <c r="CJ8" s="127">
        <v>4.7600000000000007</v>
      </c>
      <c r="CK8" s="128">
        <v>5.1000000000000005</v>
      </c>
      <c r="CL8" s="129">
        <v>5.95</v>
      </c>
      <c r="CM8" s="127">
        <v>4.8000000000000007</v>
      </c>
      <c r="CN8" s="128">
        <v>5</v>
      </c>
      <c r="CO8" s="129">
        <v>5.5</v>
      </c>
      <c r="CP8" s="127">
        <v>17</v>
      </c>
      <c r="CQ8" s="128">
        <v>17</v>
      </c>
      <c r="CR8" s="129">
        <v>17</v>
      </c>
      <c r="CS8" s="127">
        <v>17</v>
      </c>
      <c r="CT8" s="129">
        <v>17</v>
      </c>
      <c r="CU8" s="129">
        <v>17</v>
      </c>
      <c r="CV8" s="545"/>
      <c r="CW8" s="533"/>
      <c r="CX8" s="874">
        <v>1</v>
      </c>
      <c r="CY8" s="879">
        <v>1</v>
      </c>
      <c r="CZ8" s="880">
        <v>1</v>
      </c>
      <c r="DA8" s="874">
        <v>0.71599999999999997</v>
      </c>
      <c r="DB8" s="879">
        <v>0.77566666666666673</v>
      </c>
      <c r="DC8" s="880">
        <v>0.83533333333333326</v>
      </c>
      <c r="DD8" s="874">
        <v>1</v>
      </c>
      <c r="DE8" s="879">
        <v>1</v>
      </c>
      <c r="DF8" s="880">
        <v>1</v>
      </c>
      <c r="DG8" s="874">
        <v>0.5625</v>
      </c>
      <c r="DH8" s="879">
        <v>0.5625</v>
      </c>
      <c r="DI8" s="880">
        <v>0.5625</v>
      </c>
      <c r="DJ8" s="874">
        <v>0.96</v>
      </c>
      <c r="DK8" s="879">
        <v>0.96</v>
      </c>
      <c r="DL8" s="880">
        <v>0.96</v>
      </c>
      <c r="DM8" s="874">
        <v>0.50600000000000001</v>
      </c>
      <c r="DN8" s="879">
        <v>0.51700000000000002</v>
      </c>
      <c r="DO8" s="880">
        <v>0.52800000000000002</v>
      </c>
      <c r="DP8" s="874">
        <v>0.52</v>
      </c>
      <c r="DQ8" s="879">
        <v>0.53600000000000003</v>
      </c>
      <c r="DR8" s="880">
        <v>0.4</v>
      </c>
      <c r="DS8" s="238"/>
      <c r="DT8" s="238"/>
      <c r="DU8" s="580" t="s">
        <v>430</v>
      </c>
      <c r="DV8" s="156" t="s">
        <v>431</v>
      </c>
      <c r="DW8" s="139">
        <v>27.5</v>
      </c>
      <c r="DX8" s="131">
        <v>27.5</v>
      </c>
      <c r="DY8" s="131">
        <v>28</v>
      </c>
      <c r="DZ8" s="131">
        <v>28.5</v>
      </c>
      <c r="EA8" s="140">
        <v>29</v>
      </c>
      <c r="EB8" s="131">
        <v>35</v>
      </c>
      <c r="EC8" s="131">
        <v>35.5</v>
      </c>
      <c r="ED8" s="131">
        <v>36</v>
      </c>
      <c r="EE8" s="131">
        <v>36.5</v>
      </c>
      <c r="EF8" s="140">
        <v>37</v>
      </c>
      <c r="EG8" s="560"/>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row>
    <row r="9" spans="1:187" s="45" customFormat="1" x14ac:dyDescent="0.25">
      <c r="A9" s="238"/>
      <c r="B9" s="46" t="s">
        <v>216</v>
      </c>
      <c r="C9" s="19" t="s">
        <v>432</v>
      </c>
      <c r="D9" s="127">
        <v>16.291318855999997</v>
      </c>
      <c r="E9" s="128">
        <v>15.96192272</v>
      </c>
      <c r="F9" s="128">
        <v>15.673926400000001</v>
      </c>
      <c r="G9" s="128">
        <v>15.365930079999998</v>
      </c>
      <c r="H9" s="129">
        <v>15.079333576</v>
      </c>
      <c r="I9" s="127">
        <v>70.254599999999996</v>
      </c>
      <c r="J9" s="128">
        <v>70.14800000000001</v>
      </c>
      <c r="K9" s="128">
        <v>70.019199999999998</v>
      </c>
      <c r="L9" s="128">
        <v>69.865009999999998</v>
      </c>
      <c r="M9" s="129">
        <v>69.779399999999995</v>
      </c>
      <c r="N9" s="127">
        <v>32.549999999999997</v>
      </c>
      <c r="O9" s="128">
        <v>32.4512</v>
      </c>
      <c r="P9" s="128">
        <v>32.343000000000004</v>
      </c>
      <c r="Q9" s="128">
        <v>32.094799999999999</v>
      </c>
      <c r="R9" s="129">
        <v>31.995999999999999</v>
      </c>
      <c r="S9" s="127">
        <v>31.842500000000001</v>
      </c>
      <c r="T9" s="128">
        <v>31.782500000000002</v>
      </c>
      <c r="U9" s="128">
        <v>31.715</v>
      </c>
      <c r="V9" s="128">
        <v>31.6</v>
      </c>
      <c r="W9" s="129">
        <v>31.54</v>
      </c>
      <c r="X9" s="127">
        <v>71.2928</v>
      </c>
      <c r="Y9" s="128">
        <v>71.159800000000004</v>
      </c>
      <c r="Z9" s="128">
        <v>70.985699999999994</v>
      </c>
      <c r="AA9" s="128">
        <v>70.836640000000003</v>
      </c>
      <c r="AB9" s="129">
        <v>70.684799999999996</v>
      </c>
      <c r="AC9" s="127">
        <v>35.040999999999997</v>
      </c>
      <c r="AD9" s="128">
        <v>34.835000000000001</v>
      </c>
      <c r="AE9" s="128">
        <v>34.526000000000003</v>
      </c>
      <c r="AF9" s="128">
        <v>33.880000000000003</v>
      </c>
      <c r="AG9" s="129">
        <v>33.700000000000003</v>
      </c>
      <c r="AH9" s="127">
        <v>70.412500000000009</v>
      </c>
      <c r="AI9" s="128">
        <v>70.288200000000003</v>
      </c>
      <c r="AJ9" s="128">
        <v>70.159800000000004</v>
      </c>
      <c r="AK9" s="128">
        <v>70.007199999999997</v>
      </c>
      <c r="AL9" s="129">
        <v>69.876000000000005</v>
      </c>
      <c r="AM9" s="127">
        <v>71.400000000000006</v>
      </c>
      <c r="AN9" s="128">
        <v>71.300977000000003</v>
      </c>
      <c r="AO9" s="128">
        <v>71.126979000000006</v>
      </c>
      <c r="AP9" s="128">
        <v>70.977484000000004</v>
      </c>
      <c r="AQ9" s="129">
        <v>70.90100000000001</v>
      </c>
      <c r="AR9" s="127">
        <v>28.276399999999999</v>
      </c>
      <c r="AS9" s="128">
        <v>28.145299999999999</v>
      </c>
      <c r="AT9" s="128">
        <v>28.014199999999995</v>
      </c>
      <c r="AU9" s="128">
        <v>28.014199999999995</v>
      </c>
      <c r="AV9" s="129">
        <v>28.014199999999995</v>
      </c>
      <c r="AW9" s="127">
        <v>32.781800000000004</v>
      </c>
      <c r="AX9" s="128">
        <v>32.646899999999995</v>
      </c>
      <c r="AY9" s="128">
        <v>32.436999999999998</v>
      </c>
      <c r="AZ9" s="128">
        <v>32.362000000000002</v>
      </c>
      <c r="BA9" s="129">
        <v>32.286999999999999</v>
      </c>
      <c r="BB9" s="127">
        <v>57.342500000000001</v>
      </c>
      <c r="BC9" s="128">
        <v>57.307200000000002</v>
      </c>
      <c r="BD9" s="129">
        <v>57.307200000000002</v>
      </c>
      <c r="BE9" s="127">
        <v>23.307200000000002</v>
      </c>
      <c r="BF9" s="128">
        <v>23.231999999999999</v>
      </c>
      <c r="BG9" s="129">
        <v>23.192799999999998</v>
      </c>
      <c r="BH9" s="127">
        <v>3.6830000000000003</v>
      </c>
      <c r="BI9" s="128">
        <v>3.8343899999999995</v>
      </c>
      <c r="BJ9" s="128">
        <v>3.8214000000000001</v>
      </c>
      <c r="BK9" s="128">
        <v>3.8029499999999996</v>
      </c>
      <c r="BL9" s="129">
        <v>4.0304000000000002</v>
      </c>
      <c r="BM9" s="127">
        <v>6.5907799999999996</v>
      </c>
      <c r="BN9" s="128">
        <v>6.5815165799999997</v>
      </c>
      <c r="BO9" s="128">
        <v>6.5679330000000009</v>
      </c>
      <c r="BP9" s="128">
        <v>6.5571326000000001</v>
      </c>
      <c r="BQ9" s="129">
        <v>6.5492400000000002</v>
      </c>
      <c r="BR9" s="127">
        <v>2.46</v>
      </c>
      <c r="BS9" s="128">
        <v>2.4617400000000003</v>
      </c>
      <c r="BT9" s="128">
        <v>2.4588000000000001</v>
      </c>
      <c r="BU9" s="128">
        <v>2.4558600000000004</v>
      </c>
      <c r="BV9" s="129">
        <v>2.46</v>
      </c>
      <c r="BW9" s="127">
        <v>6.0250000000000004</v>
      </c>
      <c r="BX9" s="128">
        <v>6.0150000000000006</v>
      </c>
      <c r="BY9" s="128">
        <v>5.97</v>
      </c>
      <c r="BZ9" s="128">
        <v>6.0350000000000001</v>
      </c>
      <c r="CA9" s="129">
        <v>6.0250000000000004</v>
      </c>
      <c r="CB9" s="127">
        <v>0.44799999999999995</v>
      </c>
      <c r="CC9" s="128">
        <v>0.44560000000000005</v>
      </c>
      <c r="CD9" s="128">
        <v>0.44560000000000005</v>
      </c>
      <c r="CE9" s="128">
        <v>0.44560000000000005</v>
      </c>
      <c r="CF9" s="129">
        <v>0.44799999999999995</v>
      </c>
      <c r="CG9" s="127">
        <v>28.454000000000001</v>
      </c>
      <c r="CH9" s="128">
        <v>27.896000000000001</v>
      </c>
      <c r="CI9" s="129">
        <v>26.684719999999999</v>
      </c>
      <c r="CJ9" s="127">
        <v>3.5729600000000001</v>
      </c>
      <c r="CK9" s="128">
        <v>3.5673599999999999</v>
      </c>
      <c r="CL9" s="129">
        <v>3.3344</v>
      </c>
      <c r="CM9" s="127">
        <v>2.1502617319963537</v>
      </c>
      <c r="CN9" s="128">
        <v>2.0464872128447924</v>
      </c>
      <c r="CO9" s="129">
        <v>1.7103125847776941</v>
      </c>
      <c r="CP9" s="127">
        <v>0.45849999999999996</v>
      </c>
      <c r="CQ9" s="128">
        <v>0.45849999999999996</v>
      </c>
      <c r="CR9" s="129">
        <v>0.45849999999999996</v>
      </c>
      <c r="CS9" s="127">
        <v>8.1290000000000015E-2</v>
      </c>
      <c r="CT9" s="129">
        <v>7.2859999999999994E-2</v>
      </c>
      <c r="CU9" s="129">
        <v>6.4943999999999988E-2</v>
      </c>
      <c r="CV9" s="545"/>
      <c r="CW9" s="534"/>
      <c r="CX9" s="127">
        <f>((CX22)+(CX46/2))*4%</f>
        <v>81.36</v>
      </c>
      <c r="CY9" s="128">
        <f t="shared" ref="CY9:DC9" si="1">((CY22)+(CY46/2))*4%</f>
        <v>79.400000000000006</v>
      </c>
      <c r="CZ9" s="129" t="e">
        <f t="shared" si="1"/>
        <v>#DIV/0!</v>
      </c>
      <c r="DA9" s="127">
        <f t="shared" si="1"/>
        <v>19.600526315789477</v>
      </c>
      <c r="DB9" s="128">
        <f t="shared" si="1"/>
        <v>19.840526315789475</v>
      </c>
      <c r="DC9" s="129" t="e">
        <f t="shared" si="1"/>
        <v>#DIV/0!</v>
      </c>
      <c r="DD9" s="899">
        <v>68.950526315789475</v>
      </c>
      <c r="DE9" s="900">
        <v>68.85052631578948</v>
      </c>
      <c r="DF9" s="901">
        <v>68.650526315789477</v>
      </c>
      <c r="DG9" s="899">
        <v>68.707894736842107</v>
      </c>
      <c r="DH9" s="900">
        <v>68.527894736842114</v>
      </c>
      <c r="DI9" s="901">
        <v>68.90789473684211</v>
      </c>
      <c r="DJ9" s="127">
        <f t="shared" ref="DJ9:DK9" si="2">((DJ22)+(DJ46/2))*4%</f>
        <v>27.302894736842106</v>
      </c>
      <c r="DK9" s="128">
        <f t="shared" si="2"/>
        <v>27.502894736842105</v>
      </c>
      <c r="DL9" s="901">
        <v>27.502894736842105</v>
      </c>
      <c r="DM9" s="899">
        <v>7.8968000000000007</v>
      </c>
      <c r="DN9" s="900">
        <v>7.8768000000000011</v>
      </c>
      <c r="DO9" s="901">
        <v>7.8568000000000007</v>
      </c>
      <c r="DP9" s="899">
        <v>6.6160000000000005</v>
      </c>
      <c r="DQ9" s="900">
        <v>6.5441736632812502</v>
      </c>
      <c r="DR9" s="901">
        <v>6.5360000000000005</v>
      </c>
      <c r="DS9" s="238"/>
      <c r="DT9" s="238"/>
      <c r="DU9" s="581" t="s">
        <v>433</v>
      </c>
      <c r="DV9" s="157" t="s">
        <v>434</v>
      </c>
      <c r="DW9" s="144">
        <v>131</v>
      </c>
      <c r="DX9" s="132">
        <v>131</v>
      </c>
      <c r="DY9" s="132">
        <v>132</v>
      </c>
      <c r="DZ9" s="132">
        <v>134</v>
      </c>
      <c r="EA9" s="145">
        <v>134</v>
      </c>
      <c r="EB9" s="132">
        <v>75</v>
      </c>
      <c r="EC9" s="132">
        <v>75</v>
      </c>
      <c r="ED9" s="132">
        <v>76</v>
      </c>
      <c r="EE9" s="132">
        <v>77</v>
      </c>
      <c r="EF9" s="145">
        <v>77</v>
      </c>
      <c r="EG9" s="560"/>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row>
    <row r="10" spans="1:187" s="45" customFormat="1" x14ac:dyDescent="0.25">
      <c r="A10" s="238"/>
      <c r="B10" s="465" t="s">
        <v>435</v>
      </c>
      <c r="C10" s="19" t="s">
        <v>436</v>
      </c>
      <c r="D10" s="29">
        <v>1.2</v>
      </c>
      <c r="E10" s="18">
        <v>1.3</v>
      </c>
      <c r="F10" s="18">
        <v>1.4</v>
      </c>
      <c r="G10" s="18">
        <v>1.5</v>
      </c>
      <c r="H10" s="19">
        <v>1.6</v>
      </c>
      <c r="I10" s="29">
        <v>1.5</v>
      </c>
      <c r="J10" s="18">
        <v>1.65</v>
      </c>
      <c r="K10" s="18">
        <v>1.8</v>
      </c>
      <c r="L10" s="18">
        <v>2.2000000000000002</v>
      </c>
      <c r="M10" s="19">
        <v>2.2999999999999998</v>
      </c>
      <c r="N10" s="29">
        <v>2.5</v>
      </c>
      <c r="O10" s="18">
        <v>2.75</v>
      </c>
      <c r="P10" s="18">
        <v>3</v>
      </c>
      <c r="Q10" s="18">
        <v>3.5</v>
      </c>
      <c r="R10" s="19">
        <v>4</v>
      </c>
      <c r="S10" s="29">
        <v>2.5</v>
      </c>
      <c r="T10" s="18">
        <v>2.9</v>
      </c>
      <c r="U10" s="18">
        <v>3</v>
      </c>
      <c r="V10" s="18">
        <v>3.05</v>
      </c>
      <c r="W10" s="19">
        <v>3.1</v>
      </c>
      <c r="X10" s="29">
        <v>1.4</v>
      </c>
      <c r="Y10" s="18">
        <v>1.5</v>
      </c>
      <c r="Z10" s="18">
        <v>1.65</v>
      </c>
      <c r="AA10" s="18">
        <v>2</v>
      </c>
      <c r="AB10" s="19">
        <v>2.1</v>
      </c>
      <c r="AC10" s="24">
        <v>3</v>
      </c>
      <c r="AD10" s="23">
        <v>3.4520547945205475</v>
      </c>
      <c r="AE10" s="23">
        <v>4.0612409347300558</v>
      </c>
      <c r="AF10" s="23">
        <v>4.6027397260273979</v>
      </c>
      <c r="AG10" s="25">
        <v>4.75</v>
      </c>
      <c r="AH10" s="24">
        <v>1.1000000000000001</v>
      </c>
      <c r="AI10" s="18">
        <v>1.3</v>
      </c>
      <c r="AJ10" s="18">
        <v>1.6</v>
      </c>
      <c r="AK10" s="18">
        <v>1.9</v>
      </c>
      <c r="AL10" s="19">
        <v>2.2000000000000002</v>
      </c>
      <c r="AM10" s="29">
        <v>0.9</v>
      </c>
      <c r="AN10" s="18">
        <v>1</v>
      </c>
      <c r="AO10" s="18">
        <v>1.25</v>
      </c>
      <c r="AP10" s="18">
        <v>1.5</v>
      </c>
      <c r="AQ10" s="19">
        <v>1.6</v>
      </c>
      <c r="AR10" s="29">
        <v>2.6</v>
      </c>
      <c r="AS10" s="18">
        <v>2.75</v>
      </c>
      <c r="AT10" s="18">
        <v>3</v>
      </c>
      <c r="AU10" s="18">
        <v>3.25</v>
      </c>
      <c r="AV10" s="19">
        <v>3.4</v>
      </c>
      <c r="AW10" s="24">
        <v>3</v>
      </c>
      <c r="AX10" s="23">
        <v>3.4520547945205475</v>
      </c>
      <c r="AY10" s="23">
        <v>4.0612409347300558</v>
      </c>
      <c r="AZ10" s="23">
        <v>4.6027397260273979</v>
      </c>
      <c r="BA10" s="25">
        <v>5</v>
      </c>
      <c r="BB10" s="29">
        <v>0.9</v>
      </c>
      <c r="BC10" s="18">
        <v>1</v>
      </c>
      <c r="BD10" s="19">
        <v>1.1000000000000001</v>
      </c>
      <c r="BE10" s="29">
        <v>1.5</v>
      </c>
      <c r="BF10" s="18">
        <f>BF8/BF11</f>
        <v>1.25</v>
      </c>
      <c r="BG10" s="19">
        <v>2.5</v>
      </c>
      <c r="BH10" s="29">
        <v>12</v>
      </c>
      <c r="BI10" s="18">
        <v>15</v>
      </c>
      <c r="BJ10" s="18">
        <v>15</v>
      </c>
      <c r="BK10" s="18">
        <v>15</v>
      </c>
      <c r="BL10" s="19">
        <v>18</v>
      </c>
      <c r="BM10" s="29">
        <v>7</v>
      </c>
      <c r="BN10" s="18">
        <v>8</v>
      </c>
      <c r="BO10" s="18">
        <v>10</v>
      </c>
      <c r="BP10" s="18">
        <v>11</v>
      </c>
      <c r="BQ10" s="19">
        <v>13</v>
      </c>
      <c r="BR10" s="29">
        <v>24</v>
      </c>
      <c r="BS10" s="18">
        <v>26</v>
      </c>
      <c r="BT10" s="18">
        <v>28</v>
      </c>
      <c r="BU10" s="18">
        <v>30</v>
      </c>
      <c r="BV10" s="19">
        <v>32</v>
      </c>
      <c r="BW10" s="29">
        <v>3</v>
      </c>
      <c r="BX10" s="18">
        <v>7</v>
      </c>
      <c r="BY10" s="18">
        <v>7.5</v>
      </c>
      <c r="BZ10" s="18">
        <v>8</v>
      </c>
      <c r="CA10" s="19">
        <v>9</v>
      </c>
      <c r="CB10" s="29">
        <v>15</v>
      </c>
      <c r="CC10" s="18">
        <v>15</v>
      </c>
      <c r="CD10" s="18">
        <v>15</v>
      </c>
      <c r="CE10" s="18">
        <v>15</v>
      </c>
      <c r="CF10" s="19">
        <v>15</v>
      </c>
      <c r="CG10" s="29">
        <v>20</v>
      </c>
      <c r="CH10" s="18">
        <v>20</v>
      </c>
      <c r="CI10" s="19">
        <v>20</v>
      </c>
      <c r="CJ10" s="29">
        <v>28</v>
      </c>
      <c r="CK10" s="18">
        <v>30</v>
      </c>
      <c r="CL10" s="19">
        <v>35</v>
      </c>
      <c r="CM10" s="29">
        <v>24</v>
      </c>
      <c r="CN10" s="18">
        <v>25</v>
      </c>
      <c r="CO10" s="19">
        <v>27.5</v>
      </c>
      <c r="CP10" s="29">
        <v>1000</v>
      </c>
      <c r="CQ10" s="18">
        <v>1000</v>
      </c>
      <c r="CR10" s="19">
        <v>1000</v>
      </c>
      <c r="CS10" s="29">
        <v>1000</v>
      </c>
      <c r="CT10" s="19">
        <v>1000</v>
      </c>
      <c r="CU10" s="19">
        <v>1000</v>
      </c>
      <c r="CV10" s="534"/>
      <c r="CW10" s="534"/>
      <c r="CX10" s="111">
        <f>CX8/CX11</f>
        <v>1</v>
      </c>
      <c r="CY10" s="112">
        <f t="shared" ref="CY10:DH10" si="3">CY8/CY11</f>
        <v>1</v>
      </c>
      <c r="CZ10" s="99">
        <f t="shared" si="3"/>
        <v>1</v>
      </c>
      <c r="DA10" s="111">
        <f t="shared" si="3"/>
        <v>1.2</v>
      </c>
      <c r="DB10" s="112">
        <f t="shared" si="3"/>
        <v>1.3</v>
      </c>
      <c r="DC10" s="99">
        <f t="shared" si="3"/>
        <v>1.4</v>
      </c>
      <c r="DD10" s="102">
        <f t="shared" si="3"/>
        <v>1.3333333333333333</v>
      </c>
      <c r="DE10" s="103">
        <f t="shared" si="3"/>
        <v>1.3333333333333333</v>
      </c>
      <c r="DF10" s="243">
        <f t="shared" si="3"/>
        <v>1.3333333333333333</v>
      </c>
      <c r="DG10" s="111">
        <f t="shared" si="3"/>
        <v>0.75</v>
      </c>
      <c r="DH10" s="112">
        <f t="shared" si="3"/>
        <v>0.75</v>
      </c>
      <c r="DI10" s="99">
        <f t="shared" ref="DI10" si="4">DI8/DI11</f>
        <v>0.75</v>
      </c>
      <c r="DJ10" s="111">
        <f t="shared" ref="DJ10" si="5">DJ8/DJ11</f>
        <v>1.28</v>
      </c>
      <c r="DK10" s="112">
        <f t="shared" ref="DK10" si="6">DK8/DK11</f>
        <v>1.28</v>
      </c>
      <c r="DL10" s="99">
        <f t="shared" ref="DL10" si="7">DL8/DL11</f>
        <v>1.28</v>
      </c>
      <c r="DM10" s="111">
        <f t="shared" ref="DM10" si="8">DM8/DM11</f>
        <v>4.5999999999999996</v>
      </c>
      <c r="DN10" s="112">
        <f t="shared" ref="DN10" si="9">DN8/DN11</f>
        <v>4.7</v>
      </c>
      <c r="DO10" s="99">
        <f t="shared" ref="DO10" si="10">DO8/DO11</f>
        <v>4.8</v>
      </c>
      <c r="DP10" s="111">
        <f t="shared" ref="DP10" si="11">DP8/DP11</f>
        <v>6.5</v>
      </c>
      <c r="DQ10" s="112">
        <f t="shared" ref="DQ10" si="12">DQ8/DQ11</f>
        <v>6.7</v>
      </c>
      <c r="DR10" s="99">
        <f t="shared" ref="DR10" si="13">DR8/DR11</f>
        <v>5</v>
      </c>
      <c r="DS10" s="238"/>
      <c r="DT10" s="238"/>
      <c r="DU10" s="581" t="s">
        <v>437</v>
      </c>
      <c r="DV10" s="157" t="s">
        <v>438</v>
      </c>
      <c r="DW10" s="144">
        <v>420</v>
      </c>
      <c r="DX10" s="132">
        <v>410</v>
      </c>
      <c r="DY10" s="132">
        <v>400</v>
      </c>
      <c r="DZ10" s="132">
        <v>385</v>
      </c>
      <c r="EA10" s="145">
        <v>375</v>
      </c>
      <c r="EB10" s="132">
        <v>410</v>
      </c>
      <c r="EC10" s="132">
        <v>400</v>
      </c>
      <c r="ED10" s="132">
        <v>385</v>
      </c>
      <c r="EE10" s="132">
        <v>370</v>
      </c>
      <c r="EF10" s="145">
        <v>365</v>
      </c>
      <c r="EG10" s="560"/>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row>
    <row r="11" spans="1:187" s="45" customFormat="1" ht="11" thickBot="1" x14ac:dyDescent="0.3">
      <c r="A11" s="238"/>
      <c r="B11" s="469" t="s">
        <v>439</v>
      </c>
      <c r="C11" s="450" t="s">
        <v>440</v>
      </c>
      <c r="D11" s="451">
        <v>0.59666666666666668</v>
      </c>
      <c r="E11" s="452">
        <v>0.59666666666666668</v>
      </c>
      <c r="F11" s="452">
        <v>0.59666666666666668</v>
      </c>
      <c r="G11" s="452">
        <v>0.59666666666666668</v>
      </c>
      <c r="H11" s="450">
        <v>0.59666666666666668</v>
      </c>
      <c r="I11" s="451">
        <v>0.75</v>
      </c>
      <c r="J11" s="452">
        <v>0.75</v>
      </c>
      <c r="K11" s="452">
        <v>0.75</v>
      </c>
      <c r="L11" s="452">
        <v>0.75</v>
      </c>
      <c r="M11" s="450">
        <v>0.75</v>
      </c>
      <c r="N11" s="451">
        <v>0.65</v>
      </c>
      <c r="O11" s="452">
        <v>0.65</v>
      </c>
      <c r="P11" s="452">
        <v>0.65</v>
      </c>
      <c r="Q11" s="452">
        <v>0.65</v>
      </c>
      <c r="R11" s="450">
        <v>0.65</v>
      </c>
      <c r="S11" s="451">
        <v>0.65</v>
      </c>
      <c r="T11" s="452">
        <v>0.65</v>
      </c>
      <c r="U11" s="452">
        <v>0.65</v>
      </c>
      <c r="V11" s="452">
        <v>0.65</v>
      </c>
      <c r="W11" s="450">
        <v>0.65</v>
      </c>
      <c r="X11" s="451">
        <v>0.75</v>
      </c>
      <c r="Y11" s="452">
        <v>0.75</v>
      </c>
      <c r="Z11" s="452">
        <v>0.75</v>
      </c>
      <c r="AA11" s="452">
        <v>0.75</v>
      </c>
      <c r="AB11" s="450">
        <v>0.75</v>
      </c>
      <c r="AC11" s="451">
        <v>0.5</v>
      </c>
      <c r="AD11" s="452">
        <v>0.495</v>
      </c>
      <c r="AE11" s="452">
        <v>0.495</v>
      </c>
      <c r="AF11" s="452">
        <v>0.495</v>
      </c>
      <c r="AG11" s="450">
        <v>0.5</v>
      </c>
      <c r="AH11" s="451">
        <v>0.75</v>
      </c>
      <c r="AI11" s="452">
        <v>0.75</v>
      </c>
      <c r="AJ11" s="452">
        <v>0.75</v>
      </c>
      <c r="AK11" s="452">
        <v>0.75</v>
      </c>
      <c r="AL11" s="450">
        <v>0.75</v>
      </c>
      <c r="AM11" s="451">
        <v>0.75</v>
      </c>
      <c r="AN11" s="452">
        <v>0.75</v>
      </c>
      <c r="AO11" s="452">
        <v>0.75</v>
      </c>
      <c r="AP11" s="452">
        <v>0.75</v>
      </c>
      <c r="AQ11" s="450">
        <v>0.75</v>
      </c>
      <c r="AR11" s="451">
        <v>0.65</v>
      </c>
      <c r="AS11" s="452">
        <v>0.65</v>
      </c>
      <c r="AT11" s="452">
        <v>0.65</v>
      </c>
      <c r="AU11" s="452">
        <v>0.65</v>
      </c>
      <c r="AV11" s="450">
        <v>0.65</v>
      </c>
      <c r="AW11" s="451">
        <v>0.65</v>
      </c>
      <c r="AX11" s="452">
        <v>0.65</v>
      </c>
      <c r="AY11" s="452">
        <v>0.65</v>
      </c>
      <c r="AZ11" s="452">
        <v>0.65</v>
      </c>
      <c r="BA11" s="450">
        <v>0.65</v>
      </c>
      <c r="BB11" s="451">
        <v>0.8</v>
      </c>
      <c r="BC11" s="452">
        <v>0.8</v>
      </c>
      <c r="BD11" s="450">
        <v>0.8</v>
      </c>
      <c r="BE11" s="451">
        <v>0.8</v>
      </c>
      <c r="BF11" s="452">
        <v>0.8</v>
      </c>
      <c r="BG11" s="450">
        <v>0.8</v>
      </c>
      <c r="BH11" s="451">
        <v>0.11</v>
      </c>
      <c r="BI11" s="452">
        <v>0.11</v>
      </c>
      <c r="BJ11" s="452">
        <v>0.11</v>
      </c>
      <c r="BK11" s="452">
        <v>0.11</v>
      </c>
      <c r="BL11" s="450">
        <v>0.11</v>
      </c>
      <c r="BM11" s="451">
        <v>0.11</v>
      </c>
      <c r="BN11" s="452">
        <v>0.11</v>
      </c>
      <c r="BO11" s="452">
        <v>0.11</v>
      </c>
      <c r="BP11" s="452">
        <v>0.11</v>
      </c>
      <c r="BQ11" s="450">
        <v>0.11</v>
      </c>
      <c r="BR11" s="451">
        <v>0.04</v>
      </c>
      <c r="BS11" s="452">
        <v>0.04</v>
      </c>
      <c r="BT11" s="452">
        <v>0.04</v>
      </c>
      <c r="BU11" s="452">
        <v>0.04</v>
      </c>
      <c r="BV11" s="450">
        <v>0.04</v>
      </c>
      <c r="BW11" s="451">
        <v>0.08</v>
      </c>
      <c r="BX11" s="452">
        <v>0.08</v>
      </c>
      <c r="BY11" s="452">
        <v>0.08</v>
      </c>
      <c r="BZ11" s="452">
        <v>0.08</v>
      </c>
      <c r="CA11" s="450">
        <v>0.08</v>
      </c>
      <c r="CB11" s="451">
        <v>0.06</v>
      </c>
      <c r="CC11" s="452">
        <v>0.06</v>
      </c>
      <c r="CD11" s="452">
        <v>0.06</v>
      </c>
      <c r="CE11" s="452">
        <v>0.06</v>
      </c>
      <c r="CF11" s="450">
        <v>0.06</v>
      </c>
      <c r="CG11" s="451">
        <v>0.44</v>
      </c>
      <c r="CH11" s="452">
        <v>0.44</v>
      </c>
      <c r="CI11" s="450">
        <v>0.44</v>
      </c>
      <c r="CJ11" s="451">
        <v>0.17</v>
      </c>
      <c r="CK11" s="452">
        <v>0.17</v>
      </c>
      <c r="CL11" s="450">
        <v>0.17</v>
      </c>
      <c r="CM11" s="451">
        <v>0.2</v>
      </c>
      <c r="CN11" s="452">
        <v>0.2</v>
      </c>
      <c r="CO11" s="450">
        <v>0.2</v>
      </c>
      <c r="CP11" s="451">
        <v>1.7000000000000001E-2</v>
      </c>
      <c r="CQ11" s="452">
        <v>1.7000000000000001E-2</v>
      </c>
      <c r="CR11" s="450">
        <v>1.7000000000000001E-2</v>
      </c>
      <c r="CS11" s="451">
        <v>1.7000000000000001E-2</v>
      </c>
      <c r="CT11" s="450">
        <v>1.7000000000000001E-2</v>
      </c>
      <c r="CU11" s="450">
        <v>1.7000000000000001E-2</v>
      </c>
      <c r="CV11" s="546"/>
      <c r="CW11" s="547"/>
      <c r="CX11" s="875">
        <v>1</v>
      </c>
      <c r="CY11" s="890">
        <v>1</v>
      </c>
      <c r="CZ11" s="889">
        <v>1</v>
      </c>
      <c r="DA11" s="876">
        <v>0.59666666666666668</v>
      </c>
      <c r="DB11" s="877">
        <v>0.59666666666666668</v>
      </c>
      <c r="DC11" s="878">
        <v>0.59666666666666668</v>
      </c>
      <c r="DD11" s="876">
        <v>0.75</v>
      </c>
      <c r="DE11" s="877">
        <v>0.75</v>
      </c>
      <c r="DF11" s="878">
        <v>0.75</v>
      </c>
      <c r="DG11" s="876">
        <v>0.75</v>
      </c>
      <c r="DH11" s="877">
        <v>0.75</v>
      </c>
      <c r="DI11" s="878">
        <v>0.75</v>
      </c>
      <c r="DJ11" s="876">
        <v>0.75</v>
      </c>
      <c r="DK11" s="877">
        <v>0.75</v>
      </c>
      <c r="DL11" s="878">
        <v>0.75</v>
      </c>
      <c r="DM11" s="876">
        <v>0.11</v>
      </c>
      <c r="DN11" s="877">
        <v>0.11</v>
      </c>
      <c r="DO11" s="878">
        <v>0.11</v>
      </c>
      <c r="DP11" s="876">
        <v>0.08</v>
      </c>
      <c r="DQ11" s="877">
        <v>0.08</v>
      </c>
      <c r="DR11" s="878">
        <v>0.08</v>
      </c>
      <c r="DS11" s="238"/>
      <c r="DT11" s="238"/>
      <c r="DU11" s="582" t="s">
        <v>441</v>
      </c>
      <c r="DV11" s="41" t="s">
        <v>442</v>
      </c>
      <c r="DW11" s="37">
        <v>1500</v>
      </c>
      <c r="DX11" s="38">
        <v>1500</v>
      </c>
      <c r="DY11" s="38">
        <v>1500</v>
      </c>
      <c r="DZ11" s="38">
        <v>1500</v>
      </c>
      <c r="EA11" s="39">
        <v>1500</v>
      </c>
      <c r="EB11" s="38">
        <v>1150</v>
      </c>
      <c r="EC11" s="38">
        <v>1150</v>
      </c>
      <c r="ED11" s="38">
        <v>1150</v>
      </c>
      <c r="EE11" s="38">
        <v>1150</v>
      </c>
      <c r="EF11" s="39">
        <v>1150</v>
      </c>
      <c r="EG11" s="562"/>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row>
    <row r="12" spans="1:187" s="45" customFormat="1" ht="11" thickBot="1" x14ac:dyDescent="0.3">
      <c r="A12" s="238"/>
      <c r="B12" s="470"/>
      <c r="C12" s="25"/>
      <c r="D12" s="24"/>
      <c r="E12" s="23"/>
      <c r="F12" s="23"/>
      <c r="G12" s="23"/>
      <c r="H12" s="25"/>
      <c r="I12" s="24"/>
      <c r="J12" s="23"/>
      <c r="K12" s="23"/>
      <c r="L12" s="23"/>
      <c r="M12" s="25"/>
      <c r="N12" s="24"/>
      <c r="O12" s="23"/>
      <c r="P12" s="23"/>
      <c r="Q12" s="23"/>
      <c r="R12" s="25"/>
      <c r="S12" s="24"/>
      <c r="T12" s="23"/>
      <c r="U12" s="23"/>
      <c r="V12" s="23"/>
      <c r="W12" s="25"/>
      <c r="X12" s="24"/>
      <c r="Y12" s="23"/>
      <c r="Z12" s="23"/>
      <c r="AA12" s="23"/>
      <c r="AB12" s="25"/>
      <c r="AC12" s="24"/>
      <c r="AD12" s="23"/>
      <c r="AE12" s="23"/>
      <c r="AF12" s="23"/>
      <c r="AG12" s="25"/>
      <c r="AH12" s="24"/>
      <c r="AI12" s="23"/>
      <c r="AJ12" s="23"/>
      <c r="AK12" s="23"/>
      <c r="AL12" s="25"/>
      <c r="AM12" s="24"/>
      <c r="AN12" s="23"/>
      <c r="AO12" s="23"/>
      <c r="AP12" s="23"/>
      <c r="AQ12" s="25"/>
      <c r="AR12" s="24"/>
      <c r="AS12" s="23"/>
      <c r="AT12" s="23"/>
      <c r="AU12" s="23"/>
      <c r="AV12" s="25"/>
      <c r="AW12" s="24"/>
      <c r="AX12" s="23"/>
      <c r="AY12" s="23"/>
      <c r="AZ12" s="23"/>
      <c r="BA12" s="25"/>
      <c r="BB12" s="24"/>
      <c r="BC12" s="23"/>
      <c r="BD12" s="25"/>
      <c r="BE12" s="24"/>
      <c r="BF12" s="23"/>
      <c r="BG12" s="25"/>
      <c r="BH12" s="24"/>
      <c r="BI12" s="23"/>
      <c r="BJ12" s="23"/>
      <c r="BK12" s="23"/>
      <c r="BL12" s="25"/>
      <c r="BM12" s="24"/>
      <c r="BN12" s="23"/>
      <c r="BO12" s="23"/>
      <c r="BP12" s="23"/>
      <c r="BQ12" s="25"/>
      <c r="BR12" s="24"/>
      <c r="BS12" s="23"/>
      <c r="BT12" s="23"/>
      <c r="BU12" s="23"/>
      <c r="BV12" s="25"/>
      <c r="BW12" s="24"/>
      <c r="BX12" s="23"/>
      <c r="BY12" s="23"/>
      <c r="BZ12" s="23"/>
      <c r="CA12" s="25"/>
      <c r="CB12" s="24"/>
      <c r="CC12" s="23"/>
      <c r="CD12" s="23"/>
      <c r="CE12" s="23"/>
      <c r="CF12" s="25"/>
      <c r="CG12" s="24"/>
      <c r="CH12" s="23"/>
      <c r="CI12" s="25"/>
      <c r="CJ12" s="24"/>
      <c r="CK12" s="23"/>
      <c r="CL12" s="25"/>
      <c r="CM12" s="24"/>
      <c r="CN12" s="23"/>
      <c r="CO12" s="25"/>
      <c r="CP12" s="24"/>
      <c r="CQ12" s="23"/>
      <c r="CR12" s="25"/>
      <c r="CS12" s="24"/>
      <c r="CT12" s="25"/>
      <c r="CU12" s="25"/>
      <c r="CV12" s="546"/>
      <c r="CW12" s="547"/>
      <c r="CX12" s="850"/>
      <c r="CY12" s="851"/>
      <c r="CZ12" s="852"/>
      <c r="DA12" s="853"/>
      <c r="DB12" s="854"/>
      <c r="DC12" s="855"/>
      <c r="DD12" s="853"/>
      <c r="DE12" s="854"/>
      <c r="DF12" s="855"/>
      <c r="DG12" s="853"/>
      <c r="DH12" s="854"/>
      <c r="DI12" s="855"/>
      <c r="DJ12" s="853"/>
      <c r="DK12" s="854"/>
      <c r="DL12" s="855"/>
      <c r="DM12" s="853"/>
      <c r="DN12" s="854"/>
      <c r="DO12" s="855"/>
      <c r="DP12" s="853"/>
      <c r="DQ12" s="854"/>
      <c r="DR12" s="855"/>
      <c r="DS12" s="238"/>
      <c r="DT12" s="238"/>
      <c r="DU12" s="582"/>
      <c r="DV12" s="41"/>
      <c r="DW12" s="37"/>
      <c r="DX12" s="38"/>
      <c r="DY12" s="38"/>
      <c r="DZ12" s="38"/>
      <c r="EA12" s="39"/>
      <c r="EB12" s="38"/>
      <c r="EC12" s="38"/>
      <c r="ED12" s="38"/>
      <c r="EE12" s="38"/>
      <c r="EF12" s="39"/>
      <c r="EG12" s="562"/>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row>
    <row r="13" spans="1:187" s="45" customFormat="1" x14ac:dyDescent="0.25">
      <c r="A13" s="238"/>
      <c r="B13" s="453" t="s">
        <v>443</v>
      </c>
      <c r="C13" s="454" t="s">
        <v>444</v>
      </c>
      <c r="D13" s="455"/>
      <c r="E13" s="456"/>
      <c r="F13" s="456"/>
      <c r="G13" s="457"/>
      <c r="H13" s="458"/>
      <c r="I13" s="459"/>
      <c r="J13" s="456"/>
      <c r="K13" s="456"/>
      <c r="L13" s="457"/>
      <c r="M13" s="458"/>
      <c r="N13" s="459"/>
      <c r="O13" s="456"/>
      <c r="P13" s="456"/>
      <c r="Q13" s="457"/>
      <c r="R13" s="458"/>
      <c r="S13" s="459"/>
      <c r="T13" s="456"/>
      <c r="U13" s="460"/>
      <c r="V13" s="457"/>
      <c r="W13" s="458"/>
      <c r="X13" s="459"/>
      <c r="Y13" s="456"/>
      <c r="Z13" s="456"/>
      <c r="AA13" s="457"/>
      <c r="AB13" s="458"/>
      <c r="AC13" s="459"/>
      <c r="AD13" s="456"/>
      <c r="AE13" s="456"/>
      <c r="AF13" s="457"/>
      <c r="AG13" s="458"/>
      <c r="AH13" s="459"/>
      <c r="AI13" s="456"/>
      <c r="AJ13" s="456"/>
      <c r="AK13" s="457"/>
      <c r="AL13" s="458"/>
      <c r="AM13" s="459"/>
      <c r="AN13" s="456"/>
      <c r="AO13" s="456"/>
      <c r="AP13" s="457"/>
      <c r="AQ13" s="458"/>
      <c r="AR13" s="459"/>
      <c r="AS13" s="460" t="s">
        <v>445</v>
      </c>
      <c r="AT13" s="456"/>
      <c r="AU13" s="457"/>
      <c r="AV13" s="458"/>
      <c r="AW13" s="459"/>
      <c r="AX13" s="460" t="s">
        <v>446</v>
      </c>
      <c r="AY13" s="456"/>
      <c r="AZ13" s="457"/>
      <c r="BA13" s="458"/>
      <c r="BB13" s="445"/>
      <c r="BC13" s="461"/>
      <c r="BD13" s="458"/>
      <c r="BE13" s="445"/>
      <c r="BF13" s="460" t="s">
        <v>447</v>
      </c>
      <c r="BG13" s="458"/>
      <c r="BH13" s="459"/>
      <c r="BI13" s="456"/>
      <c r="BJ13" s="456"/>
      <c r="BK13" s="457"/>
      <c r="BL13" s="458"/>
      <c r="BM13" s="459"/>
      <c r="BN13" s="456"/>
      <c r="BO13" s="456"/>
      <c r="BP13" s="457"/>
      <c r="BQ13" s="458"/>
      <c r="BR13" s="459"/>
      <c r="BS13" s="456"/>
      <c r="BT13" s="456"/>
      <c r="BU13" s="457"/>
      <c r="BV13" s="458"/>
      <c r="BW13" s="459"/>
      <c r="BX13" s="456"/>
      <c r="BY13" s="456"/>
      <c r="BZ13" s="457"/>
      <c r="CA13" s="458"/>
      <c r="CB13" s="459"/>
      <c r="CC13" s="456"/>
      <c r="CD13" s="456"/>
      <c r="CE13" s="457"/>
      <c r="CF13" s="458"/>
      <c r="CG13" s="445"/>
      <c r="CH13" s="456"/>
      <c r="CI13" s="458"/>
      <c r="CJ13" s="445"/>
      <c r="CK13" s="456"/>
      <c r="CL13" s="458"/>
      <c r="CM13" s="445"/>
      <c r="CN13" s="456"/>
      <c r="CO13" s="458"/>
      <c r="CP13" s="445"/>
      <c r="CQ13" s="456"/>
      <c r="CR13" s="458"/>
      <c r="CS13" s="445"/>
      <c r="CT13" s="462"/>
      <c r="CU13" s="458"/>
      <c r="CV13" s="545"/>
      <c r="CW13" s="534"/>
      <c r="CX13" s="847"/>
      <c r="CY13" s="848"/>
      <c r="CZ13" s="849"/>
      <c r="DA13" s="856"/>
      <c r="DB13" s="857"/>
      <c r="DC13" s="849"/>
      <c r="DD13" s="847"/>
      <c r="DE13" s="848"/>
      <c r="DF13" s="849"/>
      <c r="DG13" s="847"/>
      <c r="DH13" s="848"/>
      <c r="DI13" s="849"/>
      <c r="DJ13" s="847"/>
      <c r="DK13" s="848"/>
      <c r="DL13" s="849"/>
      <c r="DM13" s="865"/>
      <c r="DN13" s="866"/>
      <c r="DO13" s="867"/>
      <c r="DP13" s="865"/>
      <c r="DQ13" s="866"/>
      <c r="DR13" s="867"/>
      <c r="DS13" s="238"/>
      <c r="DT13" s="238"/>
      <c r="DU13" s="582" t="s">
        <v>448</v>
      </c>
      <c r="DV13" s="41" t="s">
        <v>449</v>
      </c>
      <c r="DW13" s="161">
        <v>0.32</v>
      </c>
      <c r="DX13" s="162">
        <v>0.3</v>
      </c>
      <c r="DY13" s="162">
        <v>0.25</v>
      </c>
      <c r="DZ13" s="162">
        <v>0.2</v>
      </c>
      <c r="EA13" s="163">
        <v>0.2</v>
      </c>
      <c r="EB13" s="162">
        <v>0.32</v>
      </c>
      <c r="EC13" s="162">
        <v>0.3</v>
      </c>
      <c r="ED13" s="162">
        <v>0.25</v>
      </c>
      <c r="EE13" s="162">
        <v>0.2</v>
      </c>
      <c r="EF13" s="163">
        <v>0.2</v>
      </c>
      <c r="EG13" s="563"/>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row>
    <row r="14" spans="1:187" s="45" customFormat="1" ht="10.75" customHeight="1" x14ac:dyDescent="0.25">
      <c r="A14" s="238"/>
      <c r="B14" s="467" t="s">
        <v>450</v>
      </c>
      <c r="C14" s="28" t="s">
        <v>451</v>
      </c>
      <c r="D14" s="26">
        <v>36</v>
      </c>
      <c r="E14" s="27">
        <v>36</v>
      </c>
      <c r="F14" s="27">
        <v>36</v>
      </c>
      <c r="G14" s="27">
        <v>36</v>
      </c>
      <c r="H14" s="28">
        <v>36</v>
      </c>
      <c r="I14" s="26"/>
      <c r="J14" s="27"/>
      <c r="K14" s="27"/>
      <c r="L14" s="27"/>
      <c r="M14" s="28"/>
      <c r="N14" s="26">
        <v>18</v>
      </c>
      <c r="O14" s="27">
        <v>18</v>
      </c>
      <c r="P14" s="27">
        <v>18</v>
      </c>
      <c r="Q14" s="27">
        <v>18</v>
      </c>
      <c r="R14" s="28">
        <v>18</v>
      </c>
      <c r="S14" s="26">
        <v>18.5</v>
      </c>
      <c r="T14" s="27">
        <v>18.5</v>
      </c>
      <c r="U14" s="27">
        <v>18.5</v>
      </c>
      <c r="V14" s="27">
        <v>18.5</v>
      </c>
      <c r="W14" s="28">
        <v>18.5</v>
      </c>
      <c r="X14" s="26">
        <v>12</v>
      </c>
      <c r="Y14" s="27">
        <v>12</v>
      </c>
      <c r="Z14" s="27">
        <v>12</v>
      </c>
      <c r="AA14" s="27">
        <v>12</v>
      </c>
      <c r="AB14" s="28">
        <v>12</v>
      </c>
      <c r="AC14" s="26">
        <v>18</v>
      </c>
      <c r="AD14" s="27">
        <v>18</v>
      </c>
      <c r="AE14" s="27">
        <v>18</v>
      </c>
      <c r="AF14" s="27">
        <v>18</v>
      </c>
      <c r="AG14" s="28">
        <v>18</v>
      </c>
      <c r="AH14" s="26"/>
      <c r="AI14" s="27"/>
      <c r="AJ14" s="27"/>
      <c r="AK14" s="27"/>
      <c r="AL14" s="28"/>
      <c r="AM14" s="26">
        <v>12</v>
      </c>
      <c r="AN14" s="27">
        <v>12</v>
      </c>
      <c r="AO14" s="27">
        <v>12</v>
      </c>
      <c r="AP14" s="27">
        <v>12</v>
      </c>
      <c r="AQ14" s="28">
        <v>12</v>
      </c>
      <c r="AR14" s="26">
        <v>24</v>
      </c>
      <c r="AS14" s="27">
        <v>24</v>
      </c>
      <c r="AT14" s="27">
        <v>24</v>
      </c>
      <c r="AU14" s="27">
        <v>24</v>
      </c>
      <c r="AV14" s="28">
        <v>24</v>
      </c>
      <c r="AW14" s="26">
        <v>24</v>
      </c>
      <c r="AX14" s="27">
        <v>24</v>
      </c>
      <c r="AY14" s="27">
        <v>24</v>
      </c>
      <c r="AZ14" s="27">
        <v>24</v>
      </c>
      <c r="BA14" s="28">
        <v>24</v>
      </c>
      <c r="BB14" s="26">
        <v>8</v>
      </c>
      <c r="BC14" s="27">
        <v>8</v>
      </c>
      <c r="BD14" s="28">
        <v>8</v>
      </c>
      <c r="BE14" s="26"/>
      <c r="BF14" s="27" t="s">
        <v>452</v>
      </c>
      <c r="BG14" s="28"/>
      <c r="BH14" s="26"/>
      <c r="BI14" s="27"/>
      <c r="BJ14" s="27"/>
      <c r="BK14" s="27"/>
      <c r="BL14" s="28"/>
      <c r="BM14" s="26"/>
      <c r="BN14" s="27"/>
      <c r="BO14" s="27"/>
      <c r="BP14" s="27"/>
      <c r="BQ14" s="28"/>
      <c r="BR14" s="26"/>
      <c r="BS14" s="27"/>
      <c r="BT14" s="27"/>
      <c r="BU14" s="27"/>
      <c r="BV14" s="28"/>
      <c r="BW14" s="26"/>
      <c r="BX14" s="27"/>
      <c r="BY14" s="27"/>
      <c r="BZ14" s="27"/>
      <c r="CA14" s="28"/>
      <c r="CB14" s="26"/>
      <c r="CC14" s="27"/>
      <c r="CD14" s="27"/>
      <c r="CE14" s="27"/>
      <c r="CF14" s="28"/>
      <c r="CG14" s="26"/>
      <c r="CH14" s="27"/>
      <c r="CI14" s="28"/>
      <c r="CJ14" s="26"/>
      <c r="CK14" s="27"/>
      <c r="CL14" s="28"/>
      <c r="CM14" s="26"/>
      <c r="CN14" s="27"/>
      <c r="CO14" s="28"/>
      <c r="CP14" s="26"/>
      <c r="CQ14" s="27"/>
      <c r="CR14" s="28"/>
      <c r="CS14" s="26" t="s">
        <v>453</v>
      </c>
      <c r="CT14" s="28" t="s">
        <v>453</v>
      </c>
      <c r="CU14" s="28" t="s">
        <v>453</v>
      </c>
      <c r="CV14" s="545"/>
      <c r="CW14" s="534"/>
      <c r="CX14" s="884"/>
      <c r="CY14" s="885"/>
      <c r="CZ14" s="886"/>
      <c r="DA14" s="884"/>
      <c r="DB14" s="885">
        <v>27</v>
      </c>
      <c r="DC14" s="886"/>
      <c r="DD14" s="884"/>
      <c r="DE14" s="885"/>
      <c r="DF14" s="886"/>
      <c r="DG14" s="884"/>
      <c r="DH14" s="885"/>
      <c r="DI14" s="886"/>
      <c r="DJ14" s="884"/>
      <c r="DK14" s="885"/>
      <c r="DL14" s="886"/>
      <c r="DM14" s="847"/>
      <c r="DN14" s="848"/>
      <c r="DO14" s="849"/>
      <c r="DP14" s="847"/>
      <c r="DQ14" s="848"/>
      <c r="DR14" s="849"/>
      <c r="DS14" s="238"/>
      <c r="DT14" s="238"/>
      <c r="DU14" s="582" t="s">
        <v>454</v>
      </c>
      <c r="DV14" s="41" t="s">
        <v>442</v>
      </c>
      <c r="DW14" s="141">
        <v>5.3</v>
      </c>
      <c r="DX14" s="142">
        <v>5.25</v>
      </c>
      <c r="DY14" s="142">
        <v>4.6222222222222218</v>
      </c>
      <c r="DZ14" s="142">
        <v>4.3829787234042552</v>
      </c>
      <c r="EA14" s="143">
        <v>4.3829787234042552</v>
      </c>
      <c r="EB14" s="142">
        <v>5.25</v>
      </c>
      <c r="EC14" s="142">
        <v>5.2</v>
      </c>
      <c r="ED14" s="142">
        <v>4.5777777777777775</v>
      </c>
      <c r="EE14" s="142">
        <v>4.3191489361702127</v>
      </c>
      <c r="EF14" s="143">
        <v>4.3404255319148932</v>
      </c>
      <c r="EG14" s="560"/>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row>
    <row r="15" spans="1:187" s="45" customFormat="1" x14ac:dyDescent="0.25">
      <c r="A15" s="238"/>
      <c r="B15" s="467" t="s">
        <v>455</v>
      </c>
      <c r="C15" s="28" t="s">
        <v>456</v>
      </c>
      <c r="D15" s="26"/>
      <c r="E15" s="27"/>
      <c r="F15" s="27"/>
      <c r="G15" s="27"/>
      <c r="H15" s="28"/>
      <c r="I15" s="26">
        <v>270</v>
      </c>
      <c r="J15" s="27">
        <v>274</v>
      </c>
      <c r="K15" s="27">
        <v>280</v>
      </c>
      <c r="L15" s="27">
        <v>309</v>
      </c>
      <c r="M15" s="28">
        <v>340</v>
      </c>
      <c r="N15" s="26">
        <v>580</v>
      </c>
      <c r="O15" s="27">
        <v>591.20000000000005</v>
      </c>
      <c r="P15" s="27">
        <v>597.5</v>
      </c>
      <c r="Q15" s="27">
        <v>603.79999999999995</v>
      </c>
      <c r="R15" s="28">
        <v>615</v>
      </c>
      <c r="S15" s="26">
        <v>550</v>
      </c>
      <c r="T15" s="27">
        <v>550</v>
      </c>
      <c r="U15" s="27">
        <v>550</v>
      </c>
      <c r="V15" s="27">
        <v>550</v>
      </c>
      <c r="W15" s="28">
        <v>550</v>
      </c>
      <c r="X15" s="26">
        <v>355</v>
      </c>
      <c r="Y15" s="27">
        <v>363</v>
      </c>
      <c r="Z15" s="27">
        <v>371</v>
      </c>
      <c r="AA15" s="27">
        <v>385</v>
      </c>
      <c r="AB15" s="28">
        <v>395</v>
      </c>
      <c r="AC15" s="26">
        <v>515</v>
      </c>
      <c r="AD15" s="27">
        <v>538</v>
      </c>
      <c r="AE15" s="27">
        <v>560</v>
      </c>
      <c r="AF15" s="27">
        <v>581</v>
      </c>
      <c r="AG15" s="28">
        <v>600</v>
      </c>
      <c r="AH15" s="26">
        <v>260</v>
      </c>
      <c r="AI15" s="27">
        <v>267</v>
      </c>
      <c r="AJ15" s="27">
        <v>273</v>
      </c>
      <c r="AK15" s="27">
        <v>280</v>
      </c>
      <c r="AL15" s="28">
        <v>290</v>
      </c>
      <c r="AM15" s="26">
        <v>345</v>
      </c>
      <c r="AN15" s="27">
        <v>356</v>
      </c>
      <c r="AO15" s="27">
        <v>364</v>
      </c>
      <c r="AP15" s="27">
        <v>370</v>
      </c>
      <c r="AQ15" s="28">
        <v>380</v>
      </c>
      <c r="AR15" s="26">
        <v>485</v>
      </c>
      <c r="AS15" s="27">
        <v>490</v>
      </c>
      <c r="AT15" s="27">
        <v>495</v>
      </c>
      <c r="AU15" s="27">
        <v>500</v>
      </c>
      <c r="AV15" s="28">
        <v>505</v>
      </c>
      <c r="AW15" s="26">
        <v>546</v>
      </c>
      <c r="AX15" s="27">
        <v>551</v>
      </c>
      <c r="AY15" s="27">
        <v>556</v>
      </c>
      <c r="AZ15" s="27">
        <v>561</v>
      </c>
      <c r="BA15" s="28">
        <v>566</v>
      </c>
      <c r="BB15" s="26">
        <v>256</v>
      </c>
      <c r="BC15" s="27">
        <v>260</v>
      </c>
      <c r="BD15" s="28">
        <v>268</v>
      </c>
      <c r="BE15" s="26">
        <v>515</v>
      </c>
      <c r="BF15" s="27">
        <v>530</v>
      </c>
      <c r="BG15" s="28">
        <v>566</v>
      </c>
      <c r="BH15" s="26"/>
      <c r="BI15" s="27"/>
      <c r="BJ15" s="27"/>
      <c r="BK15" s="27"/>
      <c r="BL15" s="28"/>
      <c r="BM15" s="26">
        <v>40</v>
      </c>
      <c r="BN15" s="27">
        <v>40</v>
      </c>
      <c r="BO15" s="27">
        <v>40</v>
      </c>
      <c r="BP15" s="27">
        <v>40</v>
      </c>
      <c r="BQ15" s="28">
        <v>40</v>
      </c>
      <c r="BR15" s="26">
        <v>40</v>
      </c>
      <c r="BS15" s="27">
        <v>41</v>
      </c>
      <c r="BT15" s="27">
        <v>43</v>
      </c>
      <c r="BU15" s="27">
        <v>45</v>
      </c>
      <c r="BV15" s="28">
        <v>46</v>
      </c>
      <c r="BW15" s="26">
        <v>35</v>
      </c>
      <c r="BX15" s="27">
        <v>36</v>
      </c>
      <c r="BY15" s="27">
        <v>37</v>
      </c>
      <c r="BZ15" s="27">
        <v>38</v>
      </c>
      <c r="CA15" s="28">
        <v>39</v>
      </c>
      <c r="CB15" s="26"/>
      <c r="CC15" s="27"/>
      <c r="CD15" s="27"/>
      <c r="CE15" s="27"/>
      <c r="CF15" s="28"/>
      <c r="CG15" s="26"/>
      <c r="CH15" s="27"/>
      <c r="CI15" s="28"/>
      <c r="CJ15" s="26">
        <v>111</v>
      </c>
      <c r="CK15" s="27">
        <v>112</v>
      </c>
      <c r="CL15" s="28">
        <v>110</v>
      </c>
      <c r="CM15" s="26"/>
      <c r="CN15" s="27"/>
      <c r="CO15" s="28"/>
      <c r="CP15" s="26"/>
      <c r="CQ15" s="27"/>
      <c r="CR15" s="28"/>
      <c r="CS15" s="26">
        <v>2.27</v>
      </c>
      <c r="CT15" s="28">
        <v>2.27</v>
      </c>
      <c r="CU15" s="28">
        <v>2.27</v>
      </c>
      <c r="CV15" s="545"/>
      <c r="CW15" s="534"/>
      <c r="CX15" s="847"/>
      <c r="CY15" s="848"/>
      <c r="CZ15" s="849"/>
      <c r="DA15" s="847"/>
      <c r="DB15" s="848"/>
      <c r="DC15" s="849"/>
      <c r="DD15" s="847"/>
      <c r="DE15" s="848"/>
      <c r="DF15" s="849"/>
      <c r="DG15" s="847"/>
      <c r="DH15" s="848"/>
      <c r="DI15" s="849"/>
      <c r="DJ15" s="847"/>
      <c r="DK15" s="848"/>
      <c r="DL15" s="849"/>
      <c r="DM15" s="884">
        <f>38*0.46</f>
        <v>17.48</v>
      </c>
      <c r="DN15" s="885">
        <f t="shared" ref="DN15:DO15" si="14">38*0.46</f>
        <v>17.48</v>
      </c>
      <c r="DO15" s="886">
        <f t="shared" si="14"/>
        <v>17.48</v>
      </c>
      <c r="DP15" s="847"/>
      <c r="DQ15" s="848"/>
      <c r="DR15" s="849"/>
      <c r="DS15" s="238"/>
      <c r="DT15" s="238"/>
      <c r="DU15" s="581" t="s">
        <v>457</v>
      </c>
      <c r="DV15" s="157" t="s">
        <v>458</v>
      </c>
      <c r="DW15" s="164">
        <v>650</v>
      </c>
      <c r="DX15" s="136">
        <v>650</v>
      </c>
      <c r="DY15" s="136">
        <v>650</v>
      </c>
      <c r="DZ15" s="136">
        <v>650</v>
      </c>
      <c r="EA15" s="165">
        <v>650</v>
      </c>
      <c r="EB15" s="136">
        <v>375</v>
      </c>
      <c r="EC15" s="136">
        <v>375</v>
      </c>
      <c r="ED15" s="136">
        <v>375</v>
      </c>
      <c r="EE15" s="136">
        <v>375</v>
      </c>
      <c r="EF15" s="165">
        <v>375</v>
      </c>
      <c r="EG15" s="564"/>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row>
    <row r="16" spans="1:187" s="45" customFormat="1" x14ac:dyDescent="0.25">
      <c r="A16" s="238"/>
      <c r="B16" s="465" t="s">
        <v>459</v>
      </c>
      <c r="C16" s="34" t="s">
        <v>460</v>
      </c>
      <c r="D16" s="32"/>
      <c r="E16" s="33"/>
      <c r="F16" s="33"/>
      <c r="G16" s="33"/>
      <c r="H16" s="34"/>
      <c r="I16" s="32">
        <v>2</v>
      </c>
      <c r="J16" s="33">
        <v>2</v>
      </c>
      <c r="K16" s="33">
        <v>2</v>
      </c>
      <c r="L16" s="33">
        <v>2</v>
      </c>
      <c r="M16" s="34">
        <v>2</v>
      </c>
      <c r="N16" s="32">
        <v>1.85</v>
      </c>
      <c r="O16" s="33">
        <v>1.85</v>
      </c>
      <c r="P16" s="33">
        <v>1.85</v>
      </c>
      <c r="Q16" s="33">
        <v>1.85</v>
      </c>
      <c r="R16" s="34">
        <v>1.85</v>
      </c>
      <c r="S16" s="32">
        <v>1.9</v>
      </c>
      <c r="T16" s="33">
        <v>1.9</v>
      </c>
      <c r="U16" s="33">
        <v>1.9</v>
      </c>
      <c r="V16" s="33">
        <v>1.9</v>
      </c>
      <c r="W16" s="34">
        <v>1.9</v>
      </c>
      <c r="X16" s="32">
        <v>1.95</v>
      </c>
      <c r="Y16" s="33">
        <v>2</v>
      </c>
      <c r="Z16" s="33">
        <v>2</v>
      </c>
      <c r="AA16" s="33">
        <v>2.0499999999999998</v>
      </c>
      <c r="AB16" s="34">
        <v>2.0499999999999998</v>
      </c>
      <c r="AC16" s="32">
        <v>1.9</v>
      </c>
      <c r="AD16" s="33">
        <v>1.9</v>
      </c>
      <c r="AE16" s="33">
        <v>1.9</v>
      </c>
      <c r="AF16" s="33">
        <v>1.9</v>
      </c>
      <c r="AG16" s="34">
        <v>1.9</v>
      </c>
      <c r="AH16" s="32">
        <v>1.95</v>
      </c>
      <c r="AI16" s="33">
        <v>2</v>
      </c>
      <c r="AJ16" s="33">
        <v>2</v>
      </c>
      <c r="AK16" s="33">
        <v>2.0499999999999998</v>
      </c>
      <c r="AL16" s="34">
        <v>2.1</v>
      </c>
      <c r="AM16" s="32">
        <v>1.95</v>
      </c>
      <c r="AN16" s="33">
        <v>2</v>
      </c>
      <c r="AO16" s="33">
        <v>2</v>
      </c>
      <c r="AP16" s="33">
        <v>2.0499999999999998</v>
      </c>
      <c r="AQ16" s="34">
        <v>2.1</v>
      </c>
      <c r="AR16" s="32">
        <v>1.9</v>
      </c>
      <c r="AS16" s="33">
        <v>1.9</v>
      </c>
      <c r="AT16" s="33">
        <v>1.9</v>
      </c>
      <c r="AU16" s="33">
        <v>1.9</v>
      </c>
      <c r="AV16" s="34">
        <v>1.9</v>
      </c>
      <c r="AW16" s="32">
        <v>1.9</v>
      </c>
      <c r="AX16" s="33">
        <v>1.9</v>
      </c>
      <c r="AY16" s="33">
        <v>1.9</v>
      </c>
      <c r="AZ16" s="33">
        <v>1.9</v>
      </c>
      <c r="BA16" s="34">
        <v>1.9</v>
      </c>
      <c r="BB16" s="32">
        <v>1.9</v>
      </c>
      <c r="BC16" s="33">
        <v>1.9</v>
      </c>
      <c r="BD16" s="34">
        <v>1.95</v>
      </c>
      <c r="BE16" s="32">
        <v>1.8</v>
      </c>
      <c r="BF16" s="33">
        <v>1.85</v>
      </c>
      <c r="BG16" s="34">
        <v>1.9</v>
      </c>
      <c r="BH16" s="32"/>
      <c r="BI16" s="33"/>
      <c r="BJ16" s="33"/>
      <c r="BK16" s="33"/>
      <c r="BL16" s="34"/>
      <c r="BM16" s="32">
        <v>1.8</v>
      </c>
      <c r="BN16" s="33">
        <v>1.9474999999999998</v>
      </c>
      <c r="BO16" s="33">
        <v>2.0499999999999998</v>
      </c>
      <c r="BP16" s="33">
        <v>2.1524999999999999</v>
      </c>
      <c r="BQ16" s="34">
        <v>2.2999999999999998</v>
      </c>
      <c r="BR16" s="32">
        <v>2.25</v>
      </c>
      <c r="BS16" s="33">
        <v>2.25</v>
      </c>
      <c r="BT16" s="33">
        <v>2.25</v>
      </c>
      <c r="BU16" s="33">
        <v>2.25</v>
      </c>
      <c r="BV16" s="34">
        <v>2.25</v>
      </c>
      <c r="BW16" s="32">
        <v>1.9</v>
      </c>
      <c r="BX16" s="33">
        <v>1.9</v>
      </c>
      <c r="BY16" s="33">
        <v>1.9</v>
      </c>
      <c r="BZ16" s="33">
        <v>1.9</v>
      </c>
      <c r="CA16" s="34">
        <v>1.9</v>
      </c>
      <c r="CB16" s="32"/>
      <c r="CC16" s="33"/>
      <c r="CD16" s="33"/>
      <c r="CE16" s="33"/>
      <c r="CF16" s="34"/>
      <c r="CG16" s="32"/>
      <c r="CH16" s="33"/>
      <c r="CI16" s="34"/>
      <c r="CJ16" s="32">
        <v>1.1599999999999999</v>
      </c>
      <c r="CK16" s="33">
        <v>1.1599999999999999</v>
      </c>
      <c r="CL16" s="34">
        <v>1.1599999999999999</v>
      </c>
      <c r="CM16" s="32"/>
      <c r="CN16" s="33"/>
      <c r="CO16" s="34"/>
      <c r="CP16" s="32"/>
      <c r="CQ16" s="33"/>
      <c r="CR16" s="34"/>
      <c r="CS16" s="32">
        <v>2.0625</v>
      </c>
      <c r="CT16" s="34">
        <v>2.25</v>
      </c>
      <c r="CU16" s="34">
        <v>2.4375</v>
      </c>
      <c r="CV16" s="545"/>
      <c r="CW16" s="547"/>
      <c r="CX16" s="856"/>
      <c r="CY16" s="857"/>
      <c r="CZ16" s="858"/>
      <c r="DA16" s="856"/>
      <c r="DB16" s="857"/>
      <c r="DC16" s="858"/>
      <c r="DD16" s="856"/>
      <c r="DE16" s="857"/>
      <c r="DF16" s="858"/>
      <c r="DG16" s="856"/>
      <c r="DH16" s="857"/>
      <c r="DI16" s="858"/>
      <c r="DJ16" s="856"/>
      <c r="DK16" s="857"/>
      <c r="DL16" s="859" t="s">
        <v>461</v>
      </c>
      <c r="DM16" s="856"/>
      <c r="DN16" s="857"/>
      <c r="DO16" s="858"/>
      <c r="DP16" s="856"/>
      <c r="DQ16" s="857"/>
      <c r="DR16" s="858"/>
      <c r="DS16" s="238"/>
      <c r="DT16" s="238"/>
      <c r="DU16" s="581" t="s">
        <v>462</v>
      </c>
      <c r="DV16" s="157" t="s">
        <v>449</v>
      </c>
      <c r="DW16" s="166">
        <v>0.06</v>
      </c>
      <c r="DX16" s="167">
        <v>0.05</v>
      </c>
      <c r="DY16" s="167">
        <v>0.04</v>
      </c>
      <c r="DZ16" s="167">
        <v>0.03</v>
      </c>
      <c r="EA16" s="168">
        <v>0.03</v>
      </c>
      <c r="EB16" s="167">
        <v>0.05</v>
      </c>
      <c r="EC16" s="167">
        <v>0.04</v>
      </c>
      <c r="ED16" s="167">
        <v>0.03</v>
      </c>
      <c r="EE16" s="167">
        <v>1.4999999999999999E-2</v>
      </c>
      <c r="EF16" s="168">
        <v>0.02</v>
      </c>
      <c r="EG16" s="560"/>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row>
    <row r="17" spans="1:169" s="45" customFormat="1" x14ac:dyDescent="0.25">
      <c r="A17" s="238"/>
      <c r="B17" s="464" t="s">
        <v>463</v>
      </c>
      <c r="C17" s="13" t="s">
        <v>464</v>
      </c>
      <c r="D17" s="11">
        <v>1400</v>
      </c>
      <c r="E17" s="12">
        <v>1425</v>
      </c>
      <c r="F17" s="12">
        <v>1500</v>
      </c>
      <c r="G17" s="12">
        <v>1575</v>
      </c>
      <c r="H17" s="13">
        <v>1600</v>
      </c>
      <c r="I17" s="11">
        <v>540</v>
      </c>
      <c r="J17" s="12">
        <v>548</v>
      </c>
      <c r="K17" s="12">
        <v>560</v>
      </c>
      <c r="L17" s="12">
        <v>618</v>
      </c>
      <c r="M17" s="13">
        <v>680</v>
      </c>
      <c r="N17" s="11">
        <v>1073</v>
      </c>
      <c r="O17" s="12">
        <v>1093.72</v>
      </c>
      <c r="P17" s="12">
        <v>1105.375</v>
      </c>
      <c r="Q17" s="12">
        <v>1117.03</v>
      </c>
      <c r="R17" s="13">
        <v>1137.75</v>
      </c>
      <c r="S17" s="11">
        <v>1045</v>
      </c>
      <c r="T17" s="12">
        <v>1045</v>
      </c>
      <c r="U17" s="12">
        <v>1045</v>
      </c>
      <c r="V17" s="12">
        <v>1045</v>
      </c>
      <c r="W17" s="13">
        <v>1045</v>
      </c>
      <c r="X17" s="11">
        <v>692.25</v>
      </c>
      <c r="Y17" s="12">
        <v>726</v>
      </c>
      <c r="Z17" s="12">
        <v>742</v>
      </c>
      <c r="AA17" s="12">
        <v>789.24999999999989</v>
      </c>
      <c r="AB17" s="13">
        <v>809.74999999999989</v>
      </c>
      <c r="AC17" s="11">
        <v>978.5</v>
      </c>
      <c r="AD17" s="12">
        <v>1022.1999999999999</v>
      </c>
      <c r="AE17" s="12">
        <v>1064</v>
      </c>
      <c r="AF17" s="12">
        <v>1103.8999999999999</v>
      </c>
      <c r="AG17" s="13">
        <v>1140</v>
      </c>
      <c r="AH17" s="11">
        <v>507</v>
      </c>
      <c r="AI17" s="12">
        <v>534</v>
      </c>
      <c r="AJ17" s="12">
        <v>546</v>
      </c>
      <c r="AK17" s="12">
        <v>574</v>
      </c>
      <c r="AL17" s="13">
        <v>609</v>
      </c>
      <c r="AM17" s="11">
        <v>672.75</v>
      </c>
      <c r="AN17" s="12">
        <v>712</v>
      </c>
      <c r="AO17" s="12">
        <v>728</v>
      </c>
      <c r="AP17" s="12">
        <v>758.49999999999989</v>
      </c>
      <c r="AQ17" s="13">
        <v>798</v>
      </c>
      <c r="AR17" s="11">
        <v>921.5</v>
      </c>
      <c r="AS17" s="12">
        <v>931</v>
      </c>
      <c r="AT17" s="12">
        <v>940.5</v>
      </c>
      <c r="AU17" s="12">
        <v>950</v>
      </c>
      <c r="AV17" s="13">
        <v>959.5</v>
      </c>
      <c r="AW17" s="11">
        <v>1037.3999999999999</v>
      </c>
      <c r="AX17" s="12">
        <v>1046.8999999999999</v>
      </c>
      <c r="AY17" s="12">
        <v>1056.3999999999999</v>
      </c>
      <c r="AZ17" s="12">
        <v>1065.8999999999999</v>
      </c>
      <c r="BA17" s="13">
        <v>1075.3999999999999</v>
      </c>
      <c r="BB17" s="11">
        <v>486.4</v>
      </c>
      <c r="BC17" s="12">
        <v>494</v>
      </c>
      <c r="BD17" s="13">
        <v>522.6</v>
      </c>
      <c r="BE17" s="11">
        <v>927</v>
      </c>
      <c r="BF17" s="12">
        <v>980.5</v>
      </c>
      <c r="BG17" s="13">
        <v>1075.3999999999999</v>
      </c>
      <c r="BH17" s="11">
        <v>131</v>
      </c>
      <c r="BI17" s="12">
        <v>138</v>
      </c>
      <c r="BJ17" s="12">
        <v>145</v>
      </c>
      <c r="BK17" s="12">
        <v>152</v>
      </c>
      <c r="BL17" s="13">
        <v>160</v>
      </c>
      <c r="BM17" s="11">
        <v>72</v>
      </c>
      <c r="BN17" s="12">
        <v>77.899999999999991</v>
      </c>
      <c r="BO17" s="12">
        <v>82</v>
      </c>
      <c r="BP17" s="12">
        <v>86.1</v>
      </c>
      <c r="BQ17" s="13">
        <v>92</v>
      </c>
      <c r="BR17" s="11">
        <v>90</v>
      </c>
      <c r="BS17" s="12">
        <v>92.25</v>
      </c>
      <c r="BT17" s="12">
        <v>96.75</v>
      </c>
      <c r="BU17" s="12">
        <v>101.25</v>
      </c>
      <c r="BV17" s="13">
        <v>103.5</v>
      </c>
      <c r="BW17" s="11">
        <v>66.5</v>
      </c>
      <c r="BX17" s="12">
        <v>68.399999999999991</v>
      </c>
      <c r="BY17" s="12">
        <v>70.3</v>
      </c>
      <c r="BZ17" s="12">
        <v>72.2</v>
      </c>
      <c r="CA17" s="13">
        <v>74.099999999999994</v>
      </c>
      <c r="CB17" s="11">
        <v>35</v>
      </c>
      <c r="CC17" s="12">
        <v>41</v>
      </c>
      <c r="CD17" s="12">
        <v>53</v>
      </c>
      <c r="CE17" s="12">
        <v>65</v>
      </c>
      <c r="CF17" s="13">
        <v>70</v>
      </c>
      <c r="CG17" s="11">
        <v>55</v>
      </c>
      <c r="CH17" s="12">
        <v>55</v>
      </c>
      <c r="CI17" s="13">
        <v>55</v>
      </c>
      <c r="CJ17" s="11">
        <v>128.76</v>
      </c>
      <c r="CK17" s="12">
        <v>129.91999999999999</v>
      </c>
      <c r="CL17" s="13">
        <v>127.6</v>
      </c>
      <c r="CM17" s="11"/>
      <c r="CN17" s="12"/>
      <c r="CO17" s="13"/>
      <c r="CP17" s="32">
        <v>1.01</v>
      </c>
      <c r="CQ17" s="33">
        <v>1.01</v>
      </c>
      <c r="CR17" s="34">
        <v>1.01</v>
      </c>
      <c r="CS17" s="32">
        <v>4.6818749999999998</v>
      </c>
      <c r="CT17" s="34">
        <v>5.1074999999999999</v>
      </c>
      <c r="CU17" s="34">
        <v>5.5331250000000001</v>
      </c>
      <c r="CV17" s="545"/>
      <c r="CW17" s="534"/>
      <c r="CX17" s="884"/>
      <c r="CY17" s="885"/>
      <c r="CZ17" s="886"/>
      <c r="DA17" s="884">
        <v>1650</v>
      </c>
      <c r="DB17" s="885">
        <v>1650</v>
      </c>
      <c r="DC17" s="886">
        <v>1650</v>
      </c>
      <c r="DD17" s="884"/>
      <c r="DE17" s="885"/>
      <c r="DF17" s="886"/>
      <c r="DG17" s="884"/>
      <c r="DH17" s="885"/>
      <c r="DI17" s="886"/>
      <c r="DJ17" s="884"/>
      <c r="DK17" s="885"/>
      <c r="DL17" s="849" t="s">
        <v>465</v>
      </c>
      <c r="DM17" s="847">
        <f>4*DM15</f>
        <v>69.92</v>
      </c>
      <c r="DN17" s="848">
        <f t="shared" ref="DN17:DO17" si="15">4*DN15</f>
        <v>69.92</v>
      </c>
      <c r="DO17" s="849">
        <f t="shared" si="15"/>
        <v>69.92</v>
      </c>
      <c r="DP17" s="847">
        <v>64.400000000000006</v>
      </c>
      <c r="DQ17" s="848">
        <v>64.400000000000006</v>
      </c>
      <c r="DR17" s="849">
        <v>64.400000000000006</v>
      </c>
      <c r="DS17" s="238"/>
      <c r="DT17" s="238"/>
      <c r="DU17" s="581"/>
      <c r="DV17" s="157"/>
      <c r="DW17" s="144"/>
      <c r="DX17" s="132"/>
      <c r="DY17" s="132"/>
      <c r="DZ17" s="132"/>
      <c r="EA17" s="145"/>
      <c r="EB17" s="132"/>
      <c r="EC17" s="132"/>
      <c r="ED17" s="132"/>
      <c r="EE17" s="132"/>
      <c r="EF17" s="145"/>
      <c r="EG17" s="565"/>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row>
    <row r="18" spans="1:169" s="45" customFormat="1" ht="21" x14ac:dyDescent="0.25">
      <c r="A18" s="238"/>
      <c r="B18" s="464" t="s">
        <v>466</v>
      </c>
      <c r="C18" s="7" t="s">
        <v>467</v>
      </c>
      <c r="D18" s="11"/>
      <c r="E18" s="12"/>
      <c r="F18" s="12"/>
      <c r="G18" s="12"/>
      <c r="H18" s="13"/>
      <c r="I18" s="32">
        <v>0.85</v>
      </c>
      <c r="J18" s="33">
        <v>0.85</v>
      </c>
      <c r="K18" s="33">
        <v>0.87</v>
      </c>
      <c r="L18" s="33">
        <v>0.89</v>
      </c>
      <c r="M18" s="34">
        <v>0.85</v>
      </c>
      <c r="N18" s="11"/>
      <c r="O18" s="12"/>
      <c r="P18" s="12"/>
      <c r="Q18" s="12"/>
      <c r="R18" s="13"/>
      <c r="S18" s="11"/>
      <c r="T18" s="12"/>
      <c r="U18" s="12"/>
      <c r="V18" s="12"/>
      <c r="W18" s="13"/>
      <c r="X18" s="32">
        <v>0.82</v>
      </c>
      <c r="Y18" s="33">
        <v>0.83</v>
      </c>
      <c r="Z18" s="33">
        <v>0.85</v>
      </c>
      <c r="AA18" s="33">
        <v>0.87</v>
      </c>
      <c r="AB18" s="34">
        <v>0.88</v>
      </c>
      <c r="AC18" s="11"/>
      <c r="AD18" s="12"/>
      <c r="AE18" s="12"/>
      <c r="AF18" s="12"/>
      <c r="AG18" s="13"/>
      <c r="AH18" s="32">
        <v>0.82</v>
      </c>
      <c r="AI18" s="33">
        <v>0.84</v>
      </c>
      <c r="AJ18" s="33">
        <v>0.86</v>
      </c>
      <c r="AK18" s="33">
        <v>0.88</v>
      </c>
      <c r="AL18" s="34">
        <v>0.9</v>
      </c>
      <c r="AM18" s="32">
        <v>0.8</v>
      </c>
      <c r="AN18" s="33">
        <v>0.82</v>
      </c>
      <c r="AO18" s="33">
        <v>0.84</v>
      </c>
      <c r="AP18" s="33">
        <v>0.86</v>
      </c>
      <c r="AQ18" s="34">
        <v>0.88</v>
      </c>
      <c r="AR18" s="32"/>
      <c r="AS18" s="12"/>
      <c r="AT18" s="12"/>
      <c r="AU18" s="12"/>
      <c r="AV18" s="13"/>
      <c r="AW18" s="11"/>
      <c r="AX18" s="12"/>
      <c r="AY18" s="12"/>
      <c r="AZ18" s="12"/>
      <c r="BA18" s="13"/>
      <c r="BB18" s="32">
        <v>0.84</v>
      </c>
      <c r="BC18" s="33">
        <v>0.86</v>
      </c>
      <c r="BD18" s="34">
        <v>0.88</v>
      </c>
      <c r="BE18" s="11"/>
      <c r="BF18" s="12"/>
      <c r="BG18" s="13"/>
      <c r="BH18" s="11"/>
      <c r="BI18" s="12"/>
      <c r="BJ18" s="12"/>
      <c r="BK18" s="12"/>
      <c r="BL18" s="13"/>
      <c r="BM18" s="32">
        <v>1.35</v>
      </c>
      <c r="BN18" s="33">
        <v>1.47</v>
      </c>
      <c r="BO18" s="33">
        <v>1.66</v>
      </c>
      <c r="BP18" s="33">
        <v>1.84</v>
      </c>
      <c r="BQ18" s="34">
        <v>1.95</v>
      </c>
      <c r="BR18" s="11"/>
      <c r="BS18" s="12"/>
      <c r="BT18" s="12"/>
      <c r="BU18" s="12"/>
      <c r="BV18" s="13"/>
      <c r="BW18" s="32">
        <v>1.2</v>
      </c>
      <c r="BX18" s="33">
        <v>1.38</v>
      </c>
      <c r="BY18" s="33">
        <v>1.63</v>
      </c>
      <c r="BZ18" s="33">
        <v>1.79</v>
      </c>
      <c r="CA18" s="34">
        <v>1.85</v>
      </c>
      <c r="CB18" s="32">
        <v>0.9</v>
      </c>
      <c r="CC18" s="33">
        <v>0.96</v>
      </c>
      <c r="CD18" s="33">
        <v>1.1299999999999999</v>
      </c>
      <c r="CE18" s="33">
        <v>1.28</v>
      </c>
      <c r="CF18" s="34">
        <v>1.35</v>
      </c>
      <c r="CG18" s="11">
        <v>21.94</v>
      </c>
      <c r="CH18" s="12">
        <v>24.29</v>
      </c>
      <c r="CI18" s="13">
        <v>26.54</v>
      </c>
      <c r="CJ18" s="11"/>
      <c r="CK18" s="12"/>
      <c r="CL18" s="13"/>
      <c r="CM18" s="11"/>
      <c r="CN18" s="12"/>
      <c r="CO18" s="13"/>
      <c r="CP18" s="32">
        <v>23.5</v>
      </c>
      <c r="CQ18" s="33">
        <v>25</v>
      </c>
      <c r="CR18" s="34">
        <v>26.66</v>
      </c>
      <c r="CS18" s="11"/>
      <c r="CT18" s="13"/>
      <c r="CU18" s="13"/>
      <c r="CV18" s="545"/>
      <c r="CW18" s="534"/>
      <c r="CX18" s="847"/>
      <c r="CY18" s="848"/>
      <c r="CZ18" s="849"/>
      <c r="DA18" s="847"/>
      <c r="DB18" s="848"/>
      <c r="DC18" s="849"/>
      <c r="DD18" s="847"/>
      <c r="DE18" s="848"/>
      <c r="DF18" s="849"/>
      <c r="DG18" s="847"/>
      <c r="DH18" s="848"/>
      <c r="DI18" s="849"/>
      <c r="DJ18" s="847"/>
      <c r="DK18" s="848"/>
      <c r="DL18" s="849" t="s">
        <v>468</v>
      </c>
      <c r="DM18" s="905">
        <v>50</v>
      </c>
      <c r="DN18" s="906">
        <v>50</v>
      </c>
      <c r="DO18" s="907">
        <v>50</v>
      </c>
      <c r="DP18" s="905">
        <v>50</v>
      </c>
      <c r="DQ18" s="906">
        <v>50</v>
      </c>
      <c r="DR18" s="907">
        <v>50</v>
      </c>
      <c r="DS18" s="238"/>
      <c r="DT18" s="238"/>
      <c r="DU18" s="580"/>
      <c r="DV18" s="156"/>
      <c r="DW18" s="146"/>
      <c r="DX18" s="133"/>
      <c r="DY18" s="133"/>
      <c r="DZ18" s="133"/>
      <c r="EA18" s="147"/>
      <c r="EB18" s="133"/>
      <c r="EC18" s="133"/>
      <c r="ED18" s="133"/>
      <c r="EE18" s="133"/>
      <c r="EF18" s="147"/>
      <c r="EG18" s="560"/>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row>
    <row r="19" spans="1:169" s="45" customFormat="1" x14ac:dyDescent="0.25">
      <c r="A19" s="238"/>
      <c r="B19" s="464" t="s">
        <v>469</v>
      </c>
      <c r="C19" s="49" t="s">
        <v>449</v>
      </c>
      <c r="D19" s="50">
        <v>0.04</v>
      </c>
      <c r="E19" s="51">
        <v>0.03</v>
      </c>
      <c r="F19" s="51">
        <v>0.03</v>
      </c>
      <c r="G19" s="51">
        <v>0.03</v>
      </c>
      <c r="H19" s="52">
        <v>0.03</v>
      </c>
      <c r="I19" s="50"/>
      <c r="J19" s="51"/>
      <c r="K19" s="51"/>
      <c r="L19" s="51"/>
      <c r="M19" s="52"/>
      <c r="N19" s="50">
        <v>0.03</v>
      </c>
      <c r="O19" s="51">
        <v>0.03</v>
      </c>
      <c r="P19" s="51">
        <v>0.02</v>
      </c>
      <c r="Q19" s="51">
        <v>0.02</v>
      </c>
      <c r="R19" s="52">
        <v>0.02</v>
      </c>
      <c r="S19" s="53"/>
      <c r="T19" s="54"/>
      <c r="U19" s="54"/>
      <c r="V19" s="54"/>
      <c r="W19" s="55"/>
      <c r="X19" s="50"/>
      <c r="Y19" s="51"/>
      <c r="Z19" s="51"/>
      <c r="AA19" s="51"/>
      <c r="AB19" s="52"/>
      <c r="AC19" s="50"/>
      <c r="AD19" s="51"/>
      <c r="AE19" s="51"/>
      <c r="AF19" s="51"/>
      <c r="AG19" s="52"/>
      <c r="AH19" s="50"/>
      <c r="AI19" s="51"/>
      <c r="AJ19" s="51"/>
      <c r="AK19" s="51"/>
      <c r="AL19" s="52"/>
      <c r="AM19" s="50"/>
      <c r="AN19" s="51"/>
      <c r="AO19" s="51"/>
      <c r="AP19" s="51"/>
      <c r="AQ19" s="52"/>
      <c r="AR19" s="50"/>
      <c r="AS19" s="51"/>
      <c r="AT19" s="54"/>
      <c r="AU19" s="54"/>
      <c r="AV19" s="55"/>
      <c r="AW19" s="53"/>
      <c r="AX19" s="54"/>
      <c r="AY19" s="54"/>
      <c r="AZ19" s="51"/>
      <c r="BA19" s="52"/>
      <c r="BB19" s="50">
        <v>0.03</v>
      </c>
      <c r="BC19" s="51">
        <v>0.03</v>
      </c>
      <c r="BD19" s="52">
        <v>0.03</v>
      </c>
      <c r="BE19" s="50"/>
      <c r="BF19" s="51"/>
      <c r="BG19" s="52"/>
      <c r="BH19" s="50"/>
      <c r="BI19" s="51"/>
      <c r="BJ19" s="51"/>
      <c r="BK19" s="51"/>
      <c r="BL19" s="52"/>
      <c r="BM19" s="50">
        <v>0.05</v>
      </c>
      <c r="BN19" s="51">
        <v>0.05</v>
      </c>
      <c r="BO19" s="51">
        <v>0.05</v>
      </c>
      <c r="BP19" s="51">
        <v>0.05</v>
      </c>
      <c r="BQ19" s="52">
        <v>0.05</v>
      </c>
      <c r="BR19" s="50"/>
      <c r="BS19" s="51"/>
      <c r="BT19" s="51"/>
      <c r="BU19" s="51"/>
      <c r="BV19" s="52"/>
      <c r="BW19" s="50"/>
      <c r="BX19" s="51"/>
      <c r="BY19" s="51"/>
      <c r="BZ19" s="51"/>
      <c r="CA19" s="52"/>
      <c r="CB19" s="50">
        <v>0.08</v>
      </c>
      <c r="CC19" s="51">
        <v>0.08</v>
      </c>
      <c r="CD19" s="51">
        <v>0.08</v>
      </c>
      <c r="CE19" s="51">
        <v>0.08</v>
      </c>
      <c r="CF19" s="52">
        <v>0.08</v>
      </c>
      <c r="CG19" s="56">
        <v>0.06</v>
      </c>
      <c r="CH19" s="57">
        <v>5.1999999999999998E-2</v>
      </c>
      <c r="CI19" s="58">
        <v>4.7E-2</v>
      </c>
      <c r="CJ19" s="50"/>
      <c r="CK19" s="51"/>
      <c r="CL19" s="52"/>
      <c r="CM19" s="50"/>
      <c r="CN19" s="51"/>
      <c r="CO19" s="52"/>
      <c r="CP19" s="50">
        <v>0.06</v>
      </c>
      <c r="CQ19" s="57">
        <v>5.5E-2</v>
      </c>
      <c r="CR19" s="52">
        <v>0.04</v>
      </c>
      <c r="CS19" s="50">
        <v>0.1</v>
      </c>
      <c r="CT19" s="52">
        <v>0.1</v>
      </c>
      <c r="CU19" s="52">
        <v>0.1</v>
      </c>
      <c r="CV19" s="545"/>
      <c r="CW19" s="534"/>
      <c r="CX19" s="847"/>
      <c r="CY19" s="848"/>
      <c r="CZ19" s="849"/>
      <c r="DA19" s="847"/>
      <c r="DB19" s="848"/>
      <c r="DC19" s="849"/>
      <c r="DD19" s="847"/>
      <c r="DE19" s="848"/>
      <c r="DF19" s="849"/>
      <c r="DG19" s="847"/>
      <c r="DH19" s="848"/>
      <c r="DI19" s="849"/>
      <c r="DJ19" s="847"/>
      <c r="DK19" s="848"/>
      <c r="DL19" s="849" t="s">
        <v>470</v>
      </c>
      <c r="DM19" s="905">
        <v>60</v>
      </c>
      <c r="DN19" s="906">
        <v>60</v>
      </c>
      <c r="DO19" s="907">
        <v>60</v>
      </c>
      <c r="DP19" s="905">
        <v>30</v>
      </c>
      <c r="DQ19" s="906">
        <v>30</v>
      </c>
      <c r="DR19" s="907">
        <v>30</v>
      </c>
      <c r="DS19" s="238"/>
      <c r="DT19" s="238"/>
      <c r="DU19" s="583" t="s">
        <v>471</v>
      </c>
      <c r="DV19" s="147" t="s">
        <v>472</v>
      </c>
      <c r="DW19" s="144">
        <v>2062.5</v>
      </c>
      <c r="DX19" s="132">
        <v>2200</v>
      </c>
      <c r="DY19" s="132">
        <v>2240</v>
      </c>
      <c r="DZ19" s="132">
        <v>2280</v>
      </c>
      <c r="EA19" s="145">
        <v>2465</v>
      </c>
      <c r="EB19" s="132">
        <v>1890</v>
      </c>
      <c r="EC19" s="132">
        <v>1934.75</v>
      </c>
      <c r="ED19" s="132">
        <v>1962</v>
      </c>
      <c r="EE19" s="132">
        <v>1989.25</v>
      </c>
      <c r="EF19" s="145">
        <v>2035</v>
      </c>
      <c r="EG19" s="560"/>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row>
    <row r="20" spans="1:169" s="45" customFormat="1" x14ac:dyDescent="0.25">
      <c r="A20" s="238"/>
      <c r="B20" s="464" t="s">
        <v>473</v>
      </c>
      <c r="C20" s="49" t="s">
        <v>464</v>
      </c>
      <c r="D20" s="59">
        <v>300</v>
      </c>
      <c r="E20" s="60">
        <v>300</v>
      </c>
      <c r="F20" s="60">
        <v>300</v>
      </c>
      <c r="G20" s="60">
        <v>300</v>
      </c>
      <c r="H20" s="61">
        <v>300</v>
      </c>
      <c r="I20" s="59"/>
      <c r="J20" s="60"/>
      <c r="K20" s="60"/>
      <c r="L20" s="60"/>
      <c r="M20" s="61"/>
      <c r="N20" s="59"/>
      <c r="O20" s="60"/>
      <c r="P20" s="60"/>
      <c r="Q20" s="60"/>
      <c r="R20" s="61"/>
      <c r="S20" s="62"/>
      <c r="T20" s="63"/>
      <c r="U20" s="63"/>
      <c r="V20" s="63"/>
      <c r="W20" s="64"/>
      <c r="X20" s="59"/>
      <c r="Y20" s="60"/>
      <c r="Z20" s="60"/>
      <c r="AA20" s="60"/>
      <c r="AB20" s="61"/>
      <c r="AC20" s="59"/>
      <c r="AD20" s="60"/>
      <c r="AE20" s="60"/>
      <c r="AF20" s="60"/>
      <c r="AG20" s="61"/>
      <c r="AH20" s="59"/>
      <c r="AI20" s="60"/>
      <c r="AJ20" s="60"/>
      <c r="AK20" s="60"/>
      <c r="AL20" s="61"/>
      <c r="AM20" s="59"/>
      <c r="AN20" s="60"/>
      <c r="AO20" s="60"/>
      <c r="AP20" s="60"/>
      <c r="AQ20" s="61"/>
      <c r="AR20" s="59"/>
      <c r="AS20" s="60"/>
      <c r="AT20" s="63"/>
      <c r="AU20" s="63"/>
      <c r="AV20" s="64"/>
      <c r="AW20" s="62"/>
      <c r="AX20" s="63"/>
      <c r="AY20" s="63"/>
      <c r="AZ20" s="60"/>
      <c r="BA20" s="61"/>
      <c r="BB20" s="59"/>
      <c r="BC20" s="60"/>
      <c r="BD20" s="61"/>
      <c r="BE20" s="59"/>
      <c r="BF20" s="60"/>
      <c r="BG20" s="61"/>
      <c r="BH20" s="59">
        <v>75</v>
      </c>
      <c r="BI20" s="60">
        <v>78</v>
      </c>
      <c r="BJ20" s="60">
        <v>78</v>
      </c>
      <c r="BK20" s="60">
        <v>78</v>
      </c>
      <c r="BL20" s="61">
        <v>80</v>
      </c>
      <c r="BM20" s="59"/>
      <c r="BN20" s="60"/>
      <c r="BO20" s="60"/>
      <c r="BP20" s="60"/>
      <c r="BQ20" s="61"/>
      <c r="BR20" s="59"/>
      <c r="BS20" s="60"/>
      <c r="BT20" s="60"/>
      <c r="BU20" s="60"/>
      <c r="BV20" s="61"/>
      <c r="BW20" s="59"/>
      <c r="BX20" s="60"/>
      <c r="BY20" s="60"/>
      <c r="BZ20" s="60"/>
      <c r="CA20" s="61"/>
      <c r="CB20" s="59"/>
      <c r="CC20" s="60"/>
      <c r="CD20" s="60"/>
      <c r="CE20" s="60"/>
      <c r="CF20" s="61"/>
      <c r="CG20" s="59"/>
      <c r="CH20" s="60"/>
      <c r="CI20" s="61"/>
      <c r="CJ20" s="59"/>
      <c r="CK20" s="60"/>
      <c r="CL20" s="61"/>
      <c r="CM20" s="59"/>
      <c r="CN20" s="60"/>
      <c r="CO20" s="61"/>
      <c r="CP20" s="59"/>
      <c r="CQ20" s="60"/>
      <c r="CR20" s="61"/>
      <c r="CS20" s="59"/>
      <c r="CT20" s="61"/>
      <c r="CU20" s="61"/>
      <c r="CV20" s="545"/>
      <c r="CW20" s="534"/>
      <c r="CX20" s="847"/>
      <c r="CY20" s="848"/>
      <c r="CZ20" s="849"/>
      <c r="DA20" s="847"/>
      <c r="DB20" s="848"/>
      <c r="DC20" s="849"/>
      <c r="DD20" s="847"/>
      <c r="DE20" s="848"/>
      <c r="DF20" s="849"/>
      <c r="DG20" s="847"/>
      <c r="DH20" s="848"/>
      <c r="DI20" s="849"/>
      <c r="DJ20" s="847"/>
      <c r="DK20" s="848"/>
      <c r="DL20" s="849"/>
      <c r="DM20" s="847"/>
      <c r="DN20" s="848"/>
      <c r="DO20" s="849"/>
      <c r="DP20" s="847"/>
      <c r="DQ20" s="848"/>
      <c r="DR20" s="849"/>
      <c r="DS20" s="238"/>
      <c r="DT20" s="238"/>
      <c r="DU20" s="583" t="s">
        <v>474</v>
      </c>
      <c r="DV20" s="147" t="s">
        <v>472</v>
      </c>
      <c r="DW20" s="144">
        <v>113.8452380952381</v>
      </c>
      <c r="DX20" s="132">
        <v>116.6219512195122</v>
      </c>
      <c r="DY20" s="132">
        <v>120.45</v>
      </c>
      <c r="DZ20" s="132">
        <v>127.03896103896103</v>
      </c>
      <c r="EA20" s="145">
        <v>130.42666666666668</v>
      </c>
      <c r="EB20" s="132">
        <v>66.768292682926827</v>
      </c>
      <c r="EC20" s="132">
        <v>68.4375</v>
      </c>
      <c r="ED20" s="132">
        <v>72.05194805194806</v>
      </c>
      <c r="EE20" s="132">
        <v>75.959459459459467</v>
      </c>
      <c r="EF20" s="145">
        <v>77</v>
      </c>
      <c r="EG20" s="566"/>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row>
    <row r="21" spans="1:169" s="45" customFormat="1" x14ac:dyDescent="0.25">
      <c r="A21" s="238"/>
      <c r="B21" s="46" t="s">
        <v>475</v>
      </c>
      <c r="C21" s="19" t="s">
        <v>476</v>
      </c>
      <c r="D21" s="29"/>
      <c r="E21" s="18"/>
      <c r="F21" s="18"/>
      <c r="G21" s="18"/>
      <c r="H21" s="19"/>
      <c r="I21" s="29"/>
      <c r="J21" s="18"/>
      <c r="K21" s="18"/>
      <c r="L21" s="18"/>
      <c r="M21" s="19"/>
      <c r="N21" s="29"/>
      <c r="O21" s="18"/>
      <c r="P21" s="18"/>
      <c r="Q21" s="18"/>
      <c r="R21" s="19"/>
      <c r="S21" s="29">
        <v>400</v>
      </c>
      <c r="T21" s="18">
        <v>400</v>
      </c>
      <c r="U21" s="18">
        <v>400</v>
      </c>
      <c r="V21" s="18">
        <v>400</v>
      </c>
      <c r="W21" s="19">
        <v>400</v>
      </c>
      <c r="X21" s="29"/>
      <c r="Y21" s="18"/>
      <c r="Z21" s="18"/>
      <c r="AA21" s="18"/>
      <c r="AB21" s="19"/>
      <c r="AC21" s="29"/>
      <c r="AD21" s="18"/>
      <c r="AE21" s="18"/>
      <c r="AF21" s="18"/>
      <c r="AG21" s="19"/>
      <c r="AH21" s="29"/>
      <c r="AI21" s="18"/>
      <c r="AJ21" s="18"/>
      <c r="AK21" s="18"/>
      <c r="AL21" s="19"/>
      <c r="AM21" s="29"/>
      <c r="AN21" s="18"/>
      <c r="AO21" s="18"/>
      <c r="AP21" s="18"/>
      <c r="AQ21" s="19"/>
      <c r="AR21" s="29">
        <v>345</v>
      </c>
      <c r="AS21" s="18">
        <v>345</v>
      </c>
      <c r="AT21" s="27">
        <v>345</v>
      </c>
      <c r="AU21" s="18">
        <v>345</v>
      </c>
      <c r="AV21" s="19">
        <v>345</v>
      </c>
      <c r="AW21" s="29">
        <v>355</v>
      </c>
      <c r="AX21" s="18">
        <v>355</v>
      </c>
      <c r="AY21" s="27">
        <v>355</v>
      </c>
      <c r="AZ21" s="18">
        <v>355</v>
      </c>
      <c r="BA21" s="19">
        <v>355</v>
      </c>
      <c r="BB21" s="29"/>
      <c r="BC21" s="18"/>
      <c r="BD21" s="19"/>
      <c r="BE21" s="29">
        <v>260</v>
      </c>
      <c r="BF21" s="18">
        <v>260</v>
      </c>
      <c r="BG21" s="19">
        <v>260</v>
      </c>
      <c r="BH21" s="29"/>
      <c r="BI21" s="18"/>
      <c r="BJ21" s="18"/>
      <c r="BK21" s="18"/>
      <c r="BL21" s="19"/>
      <c r="BM21" s="29"/>
      <c r="BN21" s="18"/>
      <c r="BO21" s="18"/>
      <c r="BP21" s="18"/>
      <c r="BQ21" s="19"/>
      <c r="BR21" s="29"/>
      <c r="BS21" s="18"/>
      <c r="BT21" s="18"/>
      <c r="BU21" s="18"/>
      <c r="BV21" s="19"/>
      <c r="BW21" s="29"/>
      <c r="BX21" s="18"/>
      <c r="BY21" s="18"/>
      <c r="BZ21" s="18"/>
      <c r="CA21" s="19"/>
      <c r="CB21" s="29"/>
      <c r="CC21" s="18"/>
      <c r="CD21" s="18"/>
      <c r="CE21" s="18"/>
      <c r="CF21" s="19"/>
      <c r="CG21" s="29"/>
      <c r="CH21" s="18"/>
      <c r="CI21" s="19"/>
      <c r="CJ21" s="29">
        <v>35</v>
      </c>
      <c r="CK21" s="18">
        <v>35</v>
      </c>
      <c r="CL21" s="19">
        <v>35</v>
      </c>
      <c r="CM21" s="29"/>
      <c r="CN21" s="18"/>
      <c r="CO21" s="19"/>
      <c r="CP21" s="29"/>
      <c r="CQ21" s="18"/>
      <c r="CR21" s="19"/>
      <c r="CS21" s="29"/>
      <c r="CT21" s="19"/>
      <c r="CU21" s="19"/>
      <c r="CV21" s="545"/>
      <c r="CW21" s="534"/>
      <c r="CX21" s="847"/>
      <c r="CY21" s="848"/>
      <c r="CZ21" s="849"/>
      <c r="DA21" s="847"/>
      <c r="DB21" s="848"/>
      <c r="DC21" s="849"/>
      <c r="DD21" s="847"/>
      <c r="DE21" s="848"/>
      <c r="DF21" s="849"/>
      <c r="DG21" s="847"/>
      <c r="DH21" s="848"/>
      <c r="DI21" s="849"/>
      <c r="DJ21" s="847"/>
      <c r="DK21" s="848"/>
      <c r="DL21" s="859" t="s">
        <v>477</v>
      </c>
      <c r="DM21" s="847"/>
      <c r="DN21" s="848"/>
      <c r="DO21" s="849"/>
      <c r="DP21" s="847"/>
      <c r="DQ21" s="848"/>
      <c r="DR21" s="849"/>
      <c r="DS21" s="238"/>
      <c r="DT21" s="238"/>
      <c r="DU21" s="583" t="s">
        <v>473</v>
      </c>
      <c r="DV21" s="147" t="s">
        <v>472</v>
      </c>
      <c r="DW21" s="148">
        <v>195.51999999999998</v>
      </c>
      <c r="DX21" s="134">
        <v>185.25</v>
      </c>
      <c r="DY21" s="134">
        <v>156</v>
      </c>
      <c r="DZ21" s="134">
        <v>126.1</v>
      </c>
      <c r="EA21" s="149">
        <v>126.1</v>
      </c>
      <c r="EB21" s="134">
        <v>114</v>
      </c>
      <c r="EC21" s="134">
        <v>108</v>
      </c>
      <c r="ED21" s="134">
        <v>90.9375</v>
      </c>
      <c r="EE21" s="134">
        <v>73.875</v>
      </c>
      <c r="EF21" s="149">
        <v>73.5</v>
      </c>
      <c r="EG21" s="566"/>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row>
    <row r="22" spans="1:169" s="45" customFormat="1" ht="11" thickBot="1" x14ac:dyDescent="0.3">
      <c r="A22" s="238"/>
      <c r="B22" s="46" t="s">
        <v>478</v>
      </c>
      <c r="C22" s="19" t="s">
        <v>458</v>
      </c>
      <c r="D22" s="29">
        <v>170</v>
      </c>
      <c r="E22" s="18">
        <v>170</v>
      </c>
      <c r="F22" s="18">
        <v>170</v>
      </c>
      <c r="G22" s="18">
        <v>170</v>
      </c>
      <c r="H22" s="19">
        <v>170</v>
      </c>
      <c r="I22" s="29">
        <v>170</v>
      </c>
      <c r="J22" s="18">
        <v>170</v>
      </c>
      <c r="K22" s="18">
        <v>170</v>
      </c>
      <c r="L22" s="18">
        <v>170</v>
      </c>
      <c r="M22" s="19">
        <v>170</v>
      </c>
      <c r="N22" s="29">
        <v>756</v>
      </c>
      <c r="O22" s="18">
        <v>756</v>
      </c>
      <c r="P22" s="18">
        <v>756</v>
      </c>
      <c r="Q22" s="18">
        <v>756</v>
      </c>
      <c r="R22" s="19">
        <v>756</v>
      </c>
      <c r="S22" s="29">
        <v>760</v>
      </c>
      <c r="T22" s="18">
        <v>760</v>
      </c>
      <c r="U22" s="18">
        <v>760</v>
      </c>
      <c r="V22" s="18">
        <v>760</v>
      </c>
      <c r="W22" s="19">
        <v>760</v>
      </c>
      <c r="X22" s="29">
        <v>170</v>
      </c>
      <c r="Y22" s="18">
        <v>170</v>
      </c>
      <c r="Z22" s="18">
        <v>170</v>
      </c>
      <c r="AA22" s="18">
        <v>170</v>
      </c>
      <c r="AB22" s="19">
        <v>170</v>
      </c>
      <c r="AC22" s="29">
        <v>741</v>
      </c>
      <c r="AD22" s="18">
        <v>741</v>
      </c>
      <c r="AE22" s="18">
        <v>741</v>
      </c>
      <c r="AF22" s="18">
        <v>741</v>
      </c>
      <c r="AG22" s="19">
        <v>741</v>
      </c>
      <c r="AH22" s="29">
        <v>170</v>
      </c>
      <c r="AI22" s="18">
        <v>170</v>
      </c>
      <c r="AJ22" s="18">
        <v>170</v>
      </c>
      <c r="AK22" s="18">
        <v>170</v>
      </c>
      <c r="AL22" s="19">
        <v>170</v>
      </c>
      <c r="AM22" s="29">
        <v>170</v>
      </c>
      <c r="AN22" s="18">
        <v>170</v>
      </c>
      <c r="AO22" s="18">
        <v>170</v>
      </c>
      <c r="AP22" s="18">
        <v>170</v>
      </c>
      <c r="AQ22" s="19">
        <v>170</v>
      </c>
      <c r="AR22" s="20">
        <v>668.61</v>
      </c>
      <c r="AS22" s="21">
        <v>665.33249999999998</v>
      </c>
      <c r="AT22" s="21">
        <v>662.05499999999995</v>
      </c>
      <c r="AU22" s="21">
        <v>662.05499999999995</v>
      </c>
      <c r="AV22" s="22">
        <v>662.05499999999995</v>
      </c>
      <c r="AW22" s="20">
        <v>687.99</v>
      </c>
      <c r="AX22" s="21">
        <v>684.61749999999995</v>
      </c>
      <c r="AY22" s="21">
        <v>681.245</v>
      </c>
      <c r="AZ22" s="21">
        <v>681.245</v>
      </c>
      <c r="BA22" s="22">
        <v>681.245</v>
      </c>
      <c r="BB22" s="29"/>
      <c r="BC22" s="18"/>
      <c r="BD22" s="19"/>
      <c r="BE22" s="29">
        <v>494</v>
      </c>
      <c r="BF22" s="21">
        <v>494</v>
      </c>
      <c r="BG22" s="19">
        <v>494</v>
      </c>
      <c r="BH22" s="29">
        <v>82</v>
      </c>
      <c r="BI22" s="18">
        <v>86.1</v>
      </c>
      <c r="BJ22" s="18">
        <v>86.1</v>
      </c>
      <c r="BK22" s="18">
        <v>86.1</v>
      </c>
      <c r="BL22" s="19">
        <v>92</v>
      </c>
      <c r="BM22" s="29"/>
      <c r="BN22" s="18"/>
      <c r="BO22" s="18"/>
      <c r="BP22" s="18"/>
      <c r="BQ22" s="19"/>
      <c r="BR22" s="29">
        <v>55</v>
      </c>
      <c r="BS22" s="18">
        <v>55</v>
      </c>
      <c r="BT22" s="18">
        <v>55</v>
      </c>
      <c r="BU22" s="18">
        <v>55</v>
      </c>
      <c r="BV22" s="19">
        <v>55</v>
      </c>
      <c r="BW22" s="29"/>
      <c r="BX22" s="18"/>
      <c r="BY22" s="18"/>
      <c r="BZ22" s="18"/>
      <c r="CA22" s="19"/>
      <c r="CB22" s="29"/>
      <c r="CC22" s="18"/>
      <c r="CD22" s="18"/>
      <c r="CE22" s="18"/>
      <c r="CF22" s="19"/>
      <c r="CG22" s="29"/>
      <c r="CH22" s="18"/>
      <c r="CI22" s="19"/>
      <c r="CJ22" s="20">
        <v>55</v>
      </c>
      <c r="CK22" s="21">
        <v>55</v>
      </c>
      <c r="CL22" s="22">
        <v>55</v>
      </c>
      <c r="CM22" s="29"/>
      <c r="CN22" s="18"/>
      <c r="CO22" s="19"/>
      <c r="CP22" s="29"/>
      <c r="CQ22" s="18"/>
      <c r="CR22" s="19"/>
      <c r="CS22" s="29">
        <v>0.7</v>
      </c>
      <c r="CT22" s="19">
        <v>0.7</v>
      </c>
      <c r="CU22" s="19">
        <v>0.7</v>
      </c>
      <c r="CV22" s="545"/>
      <c r="CW22" s="534"/>
      <c r="CX22" s="881">
        <v>1500</v>
      </c>
      <c r="CY22" s="882">
        <v>1500</v>
      </c>
      <c r="CZ22" s="883">
        <v>1500</v>
      </c>
      <c r="DA22" s="884">
        <v>250</v>
      </c>
      <c r="DB22" s="885">
        <v>250</v>
      </c>
      <c r="DC22" s="886">
        <v>250</v>
      </c>
      <c r="DD22" s="884"/>
      <c r="DE22" s="885"/>
      <c r="DF22" s="886"/>
      <c r="DG22" s="884"/>
      <c r="DH22" s="885"/>
      <c r="DI22" s="886"/>
      <c r="DJ22" s="884">
        <v>579</v>
      </c>
      <c r="DK22" s="885">
        <v>579</v>
      </c>
      <c r="DL22" s="849" t="s">
        <v>465</v>
      </c>
      <c r="DM22" s="884">
        <v>1.1000000000000001</v>
      </c>
      <c r="DN22" s="885">
        <v>1.18</v>
      </c>
      <c r="DO22" s="886">
        <v>1.25</v>
      </c>
      <c r="DP22" s="884">
        <v>0.8</v>
      </c>
      <c r="DQ22" s="885">
        <v>0.82</v>
      </c>
      <c r="DR22" s="886">
        <v>0.85</v>
      </c>
      <c r="DS22" s="238"/>
      <c r="DT22" s="238"/>
      <c r="DU22" s="584" t="s">
        <v>479</v>
      </c>
      <c r="DV22" s="147" t="s">
        <v>472</v>
      </c>
      <c r="DW22" s="148">
        <v>-485.3</v>
      </c>
      <c r="DX22" s="134">
        <v>-455.25</v>
      </c>
      <c r="DY22" s="134">
        <v>-379.62222222222221</v>
      </c>
      <c r="DZ22" s="134">
        <v>-304.38297872340428</v>
      </c>
      <c r="EA22" s="149">
        <v>-304.38297872340428</v>
      </c>
      <c r="EB22" s="134">
        <v>-373.25</v>
      </c>
      <c r="EC22" s="134">
        <v>-350.2</v>
      </c>
      <c r="ED22" s="134">
        <v>-292.07777777777778</v>
      </c>
      <c r="EE22" s="134">
        <v>-234.31914893617022</v>
      </c>
      <c r="EF22" s="149">
        <v>-234.34042553191489</v>
      </c>
      <c r="EG22" s="534"/>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row>
    <row r="23" spans="1:169" s="45" customFormat="1" x14ac:dyDescent="0.25">
      <c r="A23" s="238"/>
      <c r="B23" s="46" t="s">
        <v>480</v>
      </c>
      <c r="C23" s="19" t="s">
        <v>449</v>
      </c>
      <c r="D23" s="65">
        <v>0.05</v>
      </c>
      <c r="E23" s="66">
        <v>0.05</v>
      </c>
      <c r="F23" s="66">
        <v>0.05</v>
      </c>
      <c r="G23" s="66">
        <v>0.05</v>
      </c>
      <c r="H23" s="67">
        <v>0.05</v>
      </c>
      <c r="I23" s="65">
        <v>0.03</v>
      </c>
      <c r="J23" s="66">
        <v>0.03</v>
      </c>
      <c r="K23" s="66">
        <v>0.03</v>
      </c>
      <c r="L23" s="66">
        <v>0.03</v>
      </c>
      <c r="M23" s="67">
        <v>0.03</v>
      </c>
      <c r="N23" s="65">
        <v>0.03</v>
      </c>
      <c r="O23" s="66">
        <v>0.03</v>
      </c>
      <c r="P23" s="66">
        <v>0.02</v>
      </c>
      <c r="Q23" s="66">
        <v>0.01</v>
      </c>
      <c r="R23" s="67">
        <v>0.01</v>
      </c>
      <c r="S23" s="65">
        <v>0.03</v>
      </c>
      <c r="T23" s="66">
        <v>2.5000000000000001E-2</v>
      </c>
      <c r="U23" s="66">
        <v>0.02</v>
      </c>
      <c r="V23" s="66">
        <v>1.4999999999999999E-2</v>
      </c>
      <c r="W23" s="67">
        <v>0.01</v>
      </c>
      <c r="X23" s="65">
        <v>0.04</v>
      </c>
      <c r="Y23" s="66">
        <v>0.04</v>
      </c>
      <c r="Z23" s="66">
        <v>0.04</v>
      </c>
      <c r="AA23" s="66">
        <v>0.04</v>
      </c>
      <c r="AB23" s="67">
        <v>0.04</v>
      </c>
      <c r="AC23" s="65">
        <v>0.03</v>
      </c>
      <c r="AD23" s="66">
        <v>0.03</v>
      </c>
      <c r="AE23" s="66">
        <v>0.02</v>
      </c>
      <c r="AF23" s="66">
        <v>0.01</v>
      </c>
      <c r="AG23" s="67">
        <v>0.01</v>
      </c>
      <c r="AH23" s="65">
        <v>0.03</v>
      </c>
      <c r="AI23" s="66">
        <v>0.03</v>
      </c>
      <c r="AJ23" s="66">
        <v>0.03</v>
      </c>
      <c r="AK23" s="66">
        <v>0.03</v>
      </c>
      <c r="AL23" s="67">
        <v>0.03</v>
      </c>
      <c r="AM23" s="65">
        <v>0.04</v>
      </c>
      <c r="AN23" s="66">
        <v>0.04</v>
      </c>
      <c r="AO23" s="66">
        <v>0.04</v>
      </c>
      <c r="AP23" s="66">
        <v>0.04</v>
      </c>
      <c r="AQ23" s="67">
        <v>0.04</v>
      </c>
      <c r="AR23" s="65">
        <v>0.02</v>
      </c>
      <c r="AS23" s="66">
        <v>1.4999999999999999E-2</v>
      </c>
      <c r="AT23" s="66">
        <v>0.01</v>
      </c>
      <c r="AU23" s="66">
        <v>0.01</v>
      </c>
      <c r="AV23" s="67">
        <v>0.01</v>
      </c>
      <c r="AW23" s="65">
        <v>0.02</v>
      </c>
      <c r="AX23" s="66">
        <v>1.4999999999999999E-2</v>
      </c>
      <c r="AY23" s="66">
        <v>0.01</v>
      </c>
      <c r="AZ23" s="66">
        <v>0.01</v>
      </c>
      <c r="BA23" s="67">
        <v>0.01</v>
      </c>
      <c r="BB23" s="65"/>
      <c r="BC23" s="66"/>
      <c r="BD23" s="67"/>
      <c r="BE23" s="68">
        <v>0.03</v>
      </c>
      <c r="BF23" s="66">
        <v>0.02</v>
      </c>
      <c r="BG23" s="31">
        <v>0.02</v>
      </c>
      <c r="BH23" s="68">
        <v>0.04</v>
      </c>
      <c r="BI23" s="66">
        <v>0.04</v>
      </c>
      <c r="BJ23" s="66">
        <v>0.04</v>
      </c>
      <c r="BK23" s="66">
        <v>0.04</v>
      </c>
      <c r="BL23" s="67">
        <v>0.04</v>
      </c>
      <c r="BM23" s="65">
        <v>0.14000000000000001</v>
      </c>
      <c r="BN23" s="66">
        <v>0.13</v>
      </c>
      <c r="BO23" s="66">
        <v>0.1</v>
      </c>
      <c r="BP23" s="66">
        <v>0.09</v>
      </c>
      <c r="BQ23" s="67">
        <v>0.08</v>
      </c>
      <c r="BR23" s="65">
        <v>0.04</v>
      </c>
      <c r="BS23" s="66">
        <v>0.04</v>
      </c>
      <c r="BT23" s="66">
        <v>0.04</v>
      </c>
      <c r="BU23" s="66">
        <v>0.04</v>
      </c>
      <c r="BV23" s="67">
        <v>0.04</v>
      </c>
      <c r="BW23" s="65">
        <v>0.13</v>
      </c>
      <c r="BX23" s="66">
        <v>0.13</v>
      </c>
      <c r="BY23" s="66">
        <v>0.11</v>
      </c>
      <c r="BZ23" s="66">
        <v>0.12</v>
      </c>
      <c r="CA23" s="67">
        <v>0.11</v>
      </c>
      <c r="CB23" s="65">
        <v>7.0000000000000007E-2</v>
      </c>
      <c r="CC23" s="66">
        <v>7.0000000000000007E-2</v>
      </c>
      <c r="CD23" s="66">
        <v>7.0000000000000007E-2</v>
      </c>
      <c r="CE23" s="66">
        <v>7.0000000000000007E-2</v>
      </c>
      <c r="CF23" s="67">
        <v>7.0000000000000007E-2</v>
      </c>
      <c r="CG23" s="65"/>
      <c r="CH23" s="66"/>
      <c r="CI23" s="67"/>
      <c r="CJ23" s="69">
        <v>3.2000000000000001E-2</v>
      </c>
      <c r="CK23" s="70">
        <v>0.03</v>
      </c>
      <c r="CL23" s="71">
        <v>2.8000000000000001E-2</v>
      </c>
      <c r="CM23" s="65"/>
      <c r="CN23" s="66"/>
      <c r="CO23" s="67"/>
      <c r="CP23" s="65"/>
      <c r="CQ23" s="66"/>
      <c r="CR23" s="67"/>
      <c r="CS23" s="65"/>
      <c r="CT23" s="67"/>
      <c r="CU23" s="67"/>
      <c r="CV23" s="545"/>
      <c r="CW23" s="534"/>
      <c r="CX23" s="884"/>
      <c r="CY23" s="885"/>
      <c r="CZ23" s="886"/>
      <c r="DA23" s="887">
        <v>0.05</v>
      </c>
      <c r="DB23" s="626">
        <v>0.05</v>
      </c>
      <c r="DC23" s="888">
        <v>0.05</v>
      </c>
      <c r="DD23" s="884"/>
      <c r="DE23" s="885"/>
      <c r="DF23" s="886"/>
      <c r="DG23" s="884"/>
      <c r="DH23" s="885"/>
      <c r="DI23" s="886"/>
      <c r="DJ23" s="884"/>
      <c r="DK23" s="885"/>
      <c r="DL23" s="849" t="s">
        <v>468</v>
      </c>
      <c r="DM23" s="887">
        <v>0.05</v>
      </c>
      <c r="DN23" s="626">
        <v>0.06</v>
      </c>
      <c r="DO23" s="888">
        <v>7.0000000000000007E-2</v>
      </c>
      <c r="DP23" s="887">
        <v>0.13</v>
      </c>
      <c r="DQ23" s="626">
        <v>0.14000000000000001</v>
      </c>
      <c r="DR23" s="888">
        <v>0.15</v>
      </c>
      <c r="DS23" s="238"/>
      <c r="DT23" s="238"/>
      <c r="DU23" s="610" t="s">
        <v>481</v>
      </c>
      <c r="DV23" s="506" t="s">
        <v>472</v>
      </c>
      <c r="DW23" s="507">
        <v>1886.5652380952381</v>
      </c>
      <c r="DX23" s="508">
        <v>2046.6219512195121</v>
      </c>
      <c r="DY23" s="508">
        <v>2136.8277777777776</v>
      </c>
      <c r="DZ23" s="508">
        <v>2228.7559823155566</v>
      </c>
      <c r="EA23" s="509">
        <v>2417.1436879432622</v>
      </c>
      <c r="EB23" s="508">
        <v>1697.5182926829268</v>
      </c>
      <c r="EC23" s="508">
        <v>1760.9875</v>
      </c>
      <c r="ED23" s="508">
        <v>1832.9116702741703</v>
      </c>
      <c r="EE23" s="508">
        <v>1904.7653105232894</v>
      </c>
      <c r="EF23" s="509">
        <v>1951.1595744680851</v>
      </c>
      <c r="EG23" s="560"/>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row>
    <row r="24" spans="1:169" s="45" customFormat="1" ht="11" thickBot="1" x14ac:dyDescent="0.3">
      <c r="A24" s="238"/>
      <c r="B24" s="465" t="s">
        <v>482</v>
      </c>
      <c r="C24" s="34" t="s">
        <v>458</v>
      </c>
      <c r="D24" s="32"/>
      <c r="E24" s="12"/>
      <c r="F24" s="12"/>
      <c r="G24" s="12"/>
      <c r="H24" s="13"/>
      <c r="I24" s="11">
        <v>1500</v>
      </c>
      <c r="J24" s="12">
        <v>1500</v>
      </c>
      <c r="K24" s="12">
        <v>1500</v>
      </c>
      <c r="L24" s="12">
        <v>1500</v>
      </c>
      <c r="M24" s="13">
        <v>1500</v>
      </c>
      <c r="N24" s="11"/>
      <c r="O24" s="12"/>
      <c r="P24" s="12"/>
      <c r="Q24" s="12"/>
      <c r="R24" s="13"/>
      <c r="S24" s="11"/>
      <c r="T24" s="12"/>
      <c r="U24" s="12"/>
      <c r="V24" s="12"/>
      <c r="W24" s="13"/>
      <c r="X24" s="11">
        <v>1500</v>
      </c>
      <c r="Y24" s="12">
        <v>1500</v>
      </c>
      <c r="Z24" s="12">
        <v>1500</v>
      </c>
      <c r="AA24" s="12">
        <v>1500</v>
      </c>
      <c r="AB24" s="13">
        <v>1500</v>
      </c>
      <c r="AC24" s="11"/>
      <c r="AD24" s="12"/>
      <c r="AE24" s="12"/>
      <c r="AF24" s="12"/>
      <c r="AG24" s="13"/>
      <c r="AH24" s="11">
        <v>1500</v>
      </c>
      <c r="AI24" s="12">
        <v>1500</v>
      </c>
      <c r="AJ24" s="12">
        <v>1500</v>
      </c>
      <c r="AK24" s="12">
        <v>1500</v>
      </c>
      <c r="AL24" s="13">
        <v>1500</v>
      </c>
      <c r="AM24" s="11">
        <v>1500</v>
      </c>
      <c r="AN24" s="12">
        <v>1500</v>
      </c>
      <c r="AO24" s="12">
        <v>1500</v>
      </c>
      <c r="AP24" s="12">
        <v>1500</v>
      </c>
      <c r="AQ24" s="13">
        <v>1500</v>
      </c>
      <c r="AR24" s="11"/>
      <c r="AS24" s="12"/>
      <c r="AT24" s="12"/>
      <c r="AU24" s="12"/>
      <c r="AV24" s="13"/>
      <c r="AW24" s="11"/>
      <c r="AX24" s="12"/>
      <c r="AY24" s="12"/>
      <c r="AZ24" s="12"/>
      <c r="BA24" s="13"/>
      <c r="BB24" s="11">
        <v>1350</v>
      </c>
      <c r="BC24" s="12">
        <v>1350</v>
      </c>
      <c r="BD24" s="13">
        <v>1350</v>
      </c>
      <c r="BE24" s="11"/>
      <c r="BF24" s="12"/>
      <c r="BG24" s="13"/>
      <c r="BH24" s="11"/>
      <c r="BI24" s="12"/>
      <c r="BJ24" s="12"/>
      <c r="BK24" s="12"/>
      <c r="BL24" s="13"/>
      <c r="BM24" s="11">
        <v>145</v>
      </c>
      <c r="BN24" s="12">
        <v>145</v>
      </c>
      <c r="BO24" s="12">
        <v>145</v>
      </c>
      <c r="BP24" s="12">
        <v>145</v>
      </c>
      <c r="BQ24" s="13">
        <v>145</v>
      </c>
      <c r="BR24" s="11"/>
      <c r="BS24" s="12"/>
      <c r="BT24" s="12"/>
      <c r="BU24" s="12"/>
      <c r="BV24" s="13"/>
      <c r="BW24" s="11">
        <v>135</v>
      </c>
      <c r="BX24" s="12">
        <v>135</v>
      </c>
      <c r="BY24" s="12">
        <v>135</v>
      </c>
      <c r="BZ24" s="12">
        <v>135</v>
      </c>
      <c r="CA24" s="13">
        <v>135</v>
      </c>
      <c r="CB24" s="11">
        <v>0</v>
      </c>
      <c r="CC24" s="12">
        <v>0.25</v>
      </c>
      <c r="CD24" s="12">
        <v>0.25</v>
      </c>
      <c r="CE24" s="12">
        <v>0.25</v>
      </c>
      <c r="CF24" s="13">
        <v>0</v>
      </c>
      <c r="CG24" s="11">
        <v>250</v>
      </c>
      <c r="CH24" s="12">
        <v>250</v>
      </c>
      <c r="CI24" s="13">
        <v>250</v>
      </c>
      <c r="CJ24" s="11"/>
      <c r="CK24" s="12"/>
      <c r="CL24" s="13"/>
      <c r="CM24" s="11"/>
      <c r="CN24" s="12"/>
      <c r="CO24" s="13"/>
      <c r="CP24" s="32">
        <v>4.0999999999999996</v>
      </c>
      <c r="CQ24" s="33">
        <v>4.0999999999999996</v>
      </c>
      <c r="CR24" s="34">
        <v>4.0999999999999996</v>
      </c>
      <c r="CS24" s="11"/>
      <c r="CT24" s="13"/>
      <c r="CU24" s="13"/>
      <c r="CV24" s="545"/>
      <c r="CW24" s="534"/>
      <c r="CX24" s="884"/>
      <c r="CY24" s="885"/>
      <c r="CZ24" s="886"/>
      <c r="DA24" s="884"/>
      <c r="DB24" s="885"/>
      <c r="DC24" s="886"/>
      <c r="DD24" s="884">
        <v>1620</v>
      </c>
      <c r="DE24" s="885">
        <v>1620</v>
      </c>
      <c r="DF24" s="886">
        <v>1620</v>
      </c>
      <c r="DG24" s="884">
        <v>1620</v>
      </c>
      <c r="DH24" s="885">
        <v>1620</v>
      </c>
      <c r="DI24" s="886">
        <v>1620</v>
      </c>
      <c r="DJ24" s="884"/>
      <c r="DK24" s="885"/>
      <c r="DL24" s="849" t="s">
        <v>470</v>
      </c>
      <c r="DM24" s="884">
        <v>0.21</v>
      </c>
      <c r="DN24" s="885">
        <v>0.21</v>
      </c>
      <c r="DO24" s="886">
        <v>0.21</v>
      </c>
      <c r="DP24" s="884">
        <v>0.26</v>
      </c>
      <c r="DQ24" s="885">
        <v>0.26</v>
      </c>
      <c r="DR24" s="886">
        <v>0.26</v>
      </c>
      <c r="DS24" s="238"/>
      <c r="DT24" s="238"/>
      <c r="DU24" s="589"/>
      <c r="DV24" s="594" t="s">
        <v>425</v>
      </c>
      <c r="DW24" s="595">
        <f t="shared" ref="DW24:EF24" si="16">DW23*DW43</f>
        <v>3584.4739523809521</v>
      </c>
      <c r="DX24" s="511">
        <f t="shared" si="16"/>
        <v>4093.2439024390242</v>
      </c>
      <c r="DY24" s="511">
        <f t="shared" si="16"/>
        <v>4487.3383333333331</v>
      </c>
      <c r="DZ24" s="511">
        <f t="shared" si="16"/>
        <v>4903.2631610942253</v>
      </c>
      <c r="EA24" s="558">
        <f t="shared" si="16"/>
        <v>5317.7161134751768</v>
      </c>
      <c r="EB24" s="511">
        <f t="shared" si="16"/>
        <v>3904.2920731707313</v>
      </c>
      <c r="EC24" s="511">
        <f t="shared" si="16"/>
        <v>4226.37</v>
      </c>
      <c r="ED24" s="511">
        <f t="shared" si="16"/>
        <v>4582.2791756854258</v>
      </c>
      <c r="EE24" s="511">
        <f t="shared" si="16"/>
        <v>4952.3898073605524</v>
      </c>
      <c r="EF24" s="558">
        <f t="shared" si="16"/>
        <v>5268.1308510638301</v>
      </c>
      <c r="EG24" s="567"/>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row>
    <row r="25" spans="1:169" s="45" customFormat="1" x14ac:dyDescent="0.25">
      <c r="A25" s="238"/>
      <c r="B25" s="465" t="s">
        <v>483</v>
      </c>
      <c r="C25" s="34" t="s">
        <v>458</v>
      </c>
      <c r="D25" s="32"/>
      <c r="E25" s="12"/>
      <c r="F25" s="12"/>
      <c r="G25" s="12"/>
      <c r="H25" s="13"/>
      <c r="I25" s="11">
        <v>500</v>
      </c>
      <c r="J25" s="12">
        <v>500</v>
      </c>
      <c r="K25" s="12">
        <v>500</v>
      </c>
      <c r="L25" s="12">
        <v>500</v>
      </c>
      <c r="M25" s="13">
        <v>500</v>
      </c>
      <c r="N25" s="11"/>
      <c r="O25" s="12"/>
      <c r="P25" s="12"/>
      <c r="Q25" s="12"/>
      <c r="R25" s="13"/>
      <c r="S25" s="11"/>
      <c r="T25" s="12"/>
      <c r="U25" s="12"/>
      <c r="V25" s="12"/>
      <c r="W25" s="13"/>
      <c r="X25" s="11">
        <v>500</v>
      </c>
      <c r="Y25" s="12">
        <v>500</v>
      </c>
      <c r="Z25" s="12">
        <v>500</v>
      </c>
      <c r="AA25" s="12">
        <v>500</v>
      </c>
      <c r="AB25" s="13">
        <v>500</v>
      </c>
      <c r="AC25" s="11"/>
      <c r="AD25" s="12"/>
      <c r="AE25" s="12"/>
      <c r="AF25" s="12"/>
      <c r="AG25" s="13"/>
      <c r="AH25" s="11">
        <v>500</v>
      </c>
      <c r="AI25" s="12">
        <v>500</v>
      </c>
      <c r="AJ25" s="12">
        <v>500</v>
      </c>
      <c r="AK25" s="12">
        <v>500</v>
      </c>
      <c r="AL25" s="13">
        <v>500</v>
      </c>
      <c r="AM25" s="11">
        <v>500</v>
      </c>
      <c r="AN25" s="12">
        <v>500</v>
      </c>
      <c r="AO25" s="12">
        <v>500</v>
      </c>
      <c r="AP25" s="12">
        <v>500</v>
      </c>
      <c r="AQ25" s="13">
        <v>500</v>
      </c>
      <c r="AR25" s="11"/>
      <c r="AS25" s="12"/>
      <c r="AT25" s="12"/>
      <c r="AU25" s="12"/>
      <c r="AV25" s="13"/>
      <c r="AW25" s="11"/>
      <c r="AX25" s="12"/>
      <c r="AY25" s="12"/>
      <c r="AZ25" s="12"/>
      <c r="BA25" s="13"/>
      <c r="BB25" s="11">
        <v>500</v>
      </c>
      <c r="BC25" s="12">
        <v>500</v>
      </c>
      <c r="BD25" s="13">
        <v>500</v>
      </c>
      <c r="BE25" s="11"/>
      <c r="BF25" s="12"/>
      <c r="BG25" s="13"/>
      <c r="BH25" s="11"/>
      <c r="BI25" s="12"/>
      <c r="BJ25" s="12"/>
      <c r="BK25" s="12"/>
      <c r="BL25" s="13"/>
      <c r="BM25" s="11">
        <v>65</v>
      </c>
      <c r="BN25" s="12">
        <v>65</v>
      </c>
      <c r="BO25" s="12">
        <v>65</v>
      </c>
      <c r="BP25" s="12">
        <v>65</v>
      </c>
      <c r="BQ25" s="13">
        <v>65</v>
      </c>
      <c r="BR25" s="11"/>
      <c r="BS25" s="12"/>
      <c r="BT25" s="12"/>
      <c r="BU25" s="12"/>
      <c r="BV25" s="13"/>
      <c r="BW25" s="11">
        <v>37.5</v>
      </c>
      <c r="BX25" s="12">
        <v>37.5</v>
      </c>
      <c r="BY25" s="12">
        <v>37.5</v>
      </c>
      <c r="BZ25" s="12">
        <v>37.5</v>
      </c>
      <c r="CA25" s="13">
        <v>37.5</v>
      </c>
      <c r="CB25" s="11">
        <v>42</v>
      </c>
      <c r="CC25" s="12">
        <v>42</v>
      </c>
      <c r="CD25" s="12">
        <v>42</v>
      </c>
      <c r="CE25" s="12">
        <v>42</v>
      </c>
      <c r="CF25" s="13">
        <v>42</v>
      </c>
      <c r="CG25" s="11">
        <v>86.4</v>
      </c>
      <c r="CH25" s="12">
        <v>86.4</v>
      </c>
      <c r="CI25" s="13">
        <v>86.4</v>
      </c>
      <c r="CJ25" s="11"/>
      <c r="CK25" s="12"/>
      <c r="CL25" s="13"/>
      <c r="CM25" s="11"/>
      <c r="CN25" s="12"/>
      <c r="CO25" s="13"/>
      <c r="CP25" s="32">
        <v>0.1</v>
      </c>
      <c r="CQ25" s="33">
        <v>0.1</v>
      </c>
      <c r="CR25" s="34">
        <v>0.1</v>
      </c>
      <c r="CS25" s="11"/>
      <c r="CT25" s="13"/>
      <c r="CU25" s="13"/>
      <c r="CV25" s="545"/>
      <c r="CW25" s="534"/>
      <c r="CX25" s="884">
        <v>650</v>
      </c>
      <c r="CY25" s="885">
        <v>650</v>
      </c>
      <c r="CZ25" s="886">
        <v>650</v>
      </c>
      <c r="DA25" s="884"/>
      <c r="DB25" s="885"/>
      <c r="DC25" s="886"/>
      <c r="DD25" s="884"/>
      <c r="DE25" s="885"/>
      <c r="DF25" s="886"/>
      <c r="DG25" s="884"/>
      <c r="DH25" s="885"/>
      <c r="DI25" s="886"/>
      <c r="DJ25" s="884"/>
      <c r="DK25" s="885"/>
      <c r="DL25" s="849"/>
      <c r="DM25" s="847"/>
      <c r="DN25" s="848"/>
      <c r="DO25" s="849"/>
      <c r="DP25" s="847"/>
      <c r="DQ25" s="848"/>
      <c r="DR25" s="849"/>
      <c r="DS25" s="238"/>
      <c r="DT25" s="238"/>
      <c r="DU25" s="585"/>
      <c r="DV25" s="555"/>
      <c r="DW25" s="554"/>
      <c r="EA25" s="555"/>
      <c r="EF25" s="555"/>
      <c r="EG25" s="560"/>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row>
    <row r="26" spans="1:169" s="45" customFormat="1" x14ac:dyDescent="0.25">
      <c r="A26" s="238"/>
      <c r="B26" s="464" t="s">
        <v>484</v>
      </c>
      <c r="C26" s="13" t="s">
        <v>485</v>
      </c>
      <c r="D26" s="11"/>
      <c r="E26" s="12"/>
      <c r="F26" s="12"/>
      <c r="G26" s="12"/>
      <c r="H26" s="13"/>
      <c r="I26" s="73">
        <v>7.5</v>
      </c>
      <c r="J26" s="12">
        <v>8</v>
      </c>
      <c r="K26" s="12">
        <v>8</v>
      </c>
      <c r="L26" s="12">
        <v>8</v>
      </c>
      <c r="M26" s="74">
        <v>8.5</v>
      </c>
      <c r="N26" s="11"/>
      <c r="O26" s="12"/>
      <c r="P26" s="12"/>
      <c r="Q26" s="12"/>
      <c r="R26" s="13"/>
      <c r="S26" s="11"/>
      <c r="T26" s="12"/>
      <c r="U26" s="12"/>
      <c r="V26" s="12"/>
      <c r="W26" s="13"/>
      <c r="X26" s="11">
        <v>7</v>
      </c>
      <c r="Y26" s="12">
        <v>7</v>
      </c>
      <c r="Z26" s="12">
        <v>7</v>
      </c>
      <c r="AA26" s="12">
        <v>7</v>
      </c>
      <c r="AB26" s="13">
        <v>7</v>
      </c>
      <c r="AC26" s="11"/>
      <c r="AD26" s="12"/>
      <c r="AE26" s="12"/>
      <c r="AF26" s="12"/>
      <c r="AG26" s="13"/>
      <c r="AH26" s="11">
        <v>8</v>
      </c>
      <c r="AI26" s="12">
        <v>8</v>
      </c>
      <c r="AJ26" s="12">
        <v>8</v>
      </c>
      <c r="AK26" s="12">
        <v>8</v>
      </c>
      <c r="AL26" s="13">
        <v>8</v>
      </c>
      <c r="AM26" s="11">
        <v>7</v>
      </c>
      <c r="AN26" s="12">
        <v>7</v>
      </c>
      <c r="AO26" s="12">
        <v>7</v>
      </c>
      <c r="AP26" s="12">
        <v>7</v>
      </c>
      <c r="AQ26" s="13">
        <v>7</v>
      </c>
      <c r="AR26" s="11"/>
      <c r="AS26" s="12"/>
      <c r="AT26" s="12"/>
      <c r="AU26" s="12"/>
      <c r="AV26" s="13"/>
      <c r="AW26" s="11"/>
      <c r="AX26" s="12"/>
      <c r="AY26" s="12"/>
      <c r="AZ26" s="12"/>
      <c r="BA26" s="13"/>
      <c r="BB26" s="11">
        <v>8</v>
      </c>
      <c r="BC26" s="12">
        <v>8</v>
      </c>
      <c r="BD26" s="13">
        <v>8</v>
      </c>
      <c r="BE26" s="11"/>
      <c r="BF26" s="12"/>
      <c r="BG26" s="13"/>
      <c r="BH26" s="11"/>
      <c r="BI26" s="12"/>
      <c r="BJ26" s="12"/>
      <c r="BK26" s="12"/>
      <c r="BL26" s="13"/>
      <c r="BM26" s="11">
        <v>5</v>
      </c>
      <c r="BN26" s="12">
        <v>5</v>
      </c>
      <c r="BO26" s="12">
        <v>5</v>
      </c>
      <c r="BP26" s="12">
        <v>5</v>
      </c>
      <c r="BQ26" s="13">
        <v>5</v>
      </c>
      <c r="BR26" s="11"/>
      <c r="BS26" s="12"/>
      <c r="BT26" s="12"/>
      <c r="BU26" s="12"/>
      <c r="BV26" s="13"/>
      <c r="BW26" s="11">
        <v>4</v>
      </c>
      <c r="BX26" s="12">
        <v>4</v>
      </c>
      <c r="BY26" s="12">
        <v>4</v>
      </c>
      <c r="BZ26" s="12">
        <v>4</v>
      </c>
      <c r="CA26" s="13">
        <v>4</v>
      </c>
      <c r="CB26" s="11">
        <v>4</v>
      </c>
      <c r="CC26" s="12">
        <v>4</v>
      </c>
      <c r="CD26" s="12">
        <v>4</v>
      </c>
      <c r="CE26" s="12">
        <v>4</v>
      </c>
      <c r="CF26" s="13">
        <v>4</v>
      </c>
      <c r="CG26" s="50">
        <v>0.49</v>
      </c>
      <c r="CH26" s="51">
        <v>0.49</v>
      </c>
      <c r="CI26" s="52">
        <v>0.49</v>
      </c>
      <c r="CJ26" s="11"/>
      <c r="CK26" s="12"/>
      <c r="CL26" s="13"/>
      <c r="CM26" s="11"/>
      <c r="CN26" s="12"/>
      <c r="CO26" s="13"/>
      <c r="CP26" s="11"/>
      <c r="CQ26" s="12"/>
      <c r="CR26" s="13"/>
      <c r="CS26" s="11"/>
      <c r="CT26" s="13"/>
      <c r="CU26" s="13"/>
      <c r="CV26" s="545"/>
      <c r="CW26" s="534"/>
      <c r="CX26" s="884"/>
      <c r="CY26" s="885"/>
      <c r="CZ26" s="886"/>
      <c r="DA26" s="884"/>
      <c r="DB26" s="885"/>
      <c r="DC26" s="886"/>
      <c r="DD26" s="884"/>
      <c r="DE26" s="885"/>
      <c r="DF26" s="886"/>
      <c r="DG26" s="884"/>
      <c r="DH26" s="885"/>
      <c r="DI26" s="886"/>
      <c r="DJ26" s="884"/>
      <c r="DK26" s="885"/>
      <c r="DL26" s="859" t="s">
        <v>486</v>
      </c>
      <c r="DM26" s="847"/>
      <c r="DN26" s="848"/>
      <c r="DO26" s="849"/>
      <c r="DP26" s="847"/>
      <c r="DQ26" s="848"/>
      <c r="DR26" s="849"/>
      <c r="DS26" s="238"/>
      <c r="DT26" s="238"/>
      <c r="DU26" s="583" t="s">
        <v>487</v>
      </c>
      <c r="DV26" s="154"/>
      <c r="DW26" s="144"/>
      <c r="DX26" s="132"/>
      <c r="DY26" s="132"/>
      <c r="DZ26" s="132"/>
      <c r="EA26" s="145"/>
      <c r="EB26" s="132"/>
      <c r="EC26" s="132"/>
      <c r="ED26" s="132"/>
      <c r="EE26" s="132"/>
      <c r="EF26" s="145"/>
      <c r="EG26" s="56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row>
    <row r="27" spans="1:169" s="45" customFormat="1" x14ac:dyDescent="0.25">
      <c r="A27" s="238"/>
      <c r="B27" s="466" t="s">
        <v>488</v>
      </c>
      <c r="C27" s="30" t="s">
        <v>489</v>
      </c>
      <c r="D27" s="35"/>
      <c r="E27" s="17"/>
      <c r="F27" s="17"/>
      <c r="G27" s="17"/>
      <c r="H27" s="30"/>
      <c r="I27" s="35">
        <v>23</v>
      </c>
      <c r="J27" s="17">
        <v>23</v>
      </c>
      <c r="K27" s="17">
        <v>23</v>
      </c>
      <c r="L27" s="17">
        <v>23</v>
      </c>
      <c r="M27" s="30">
        <v>23</v>
      </c>
      <c r="N27" s="35"/>
      <c r="O27" s="17"/>
      <c r="P27" s="17"/>
      <c r="Q27" s="17"/>
      <c r="R27" s="30"/>
      <c r="S27" s="35"/>
      <c r="T27" s="17"/>
      <c r="U27" s="17"/>
      <c r="V27" s="17"/>
      <c r="W27" s="30"/>
      <c r="X27" s="35">
        <v>22.666666666666668</v>
      </c>
      <c r="Y27" s="17">
        <v>22.666666666666668</v>
      </c>
      <c r="Z27" s="17">
        <v>22.666666666666668</v>
      </c>
      <c r="AA27" s="17">
        <v>22.666666666666668</v>
      </c>
      <c r="AB27" s="30">
        <v>22.666666666666668</v>
      </c>
      <c r="AC27" s="35"/>
      <c r="AD27" s="17"/>
      <c r="AE27" s="17"/>
      <c r="AF27" s="17"/>
      <c r="AG27" s="30"/>
      <c r="AH27" s="35">
        <v>30</v>
      </c>
      <c r="AI27" s="17">
        <v>30</v>
      </c>
      <c r="AJ27" s="17">
        <v>30</v>
      </c>
      <c r="AK27" s="17">
        <v>30</v>
      </c>
      <c r="AL27" s="30">
        <v>30</v>
      </c>
      <c r="AM27" s="35">
        <v>30</v>
      </c>
      <c r="AN27" s="17">
        <v>30</v>
      </c>
      <c r="AO27" s="17">
        <v>30</v>
      </c>
      <c r="AP27" s="17">
        <v>30</v>
      </c>
      <c r="AQ27" s="30">
        <v>30</v>
      </c>
      <c r="AR27" s="35"/>
      <c r="AS27" s="17"/>
      <c r="AT27" s="17"/>
      <c r="AU27" s="17"/>
      <c r="AV27" s="30"/>
      <c r="AW27" s="35"/>
      <c r="AX27" s="17"/>
      <c r="AY27" s="17"/>
      <c r="AZ27" s="17"/>
      <c r="BA27" s="30"/>
      <c r="BB27" s="29">
        <v>24</v>
      </c>
      <c r="BC27" s="18">
        <v>24</v>
      </c>
      <c r="BD27" s="19">
        <v>24</v>
      </c>
      <c r="BE27" s="35"/>
      <c r="BF27" s="17"/>
      <c r="BG27" s="30"/>
      <c r="BH27" s="35"/>
      <c r="BI27" s="17"/>
      <c r="BJ27" s="17"/>
      <c r="BK27" s="17"/>
      <c r="BL27" s="30"/>
      <c r="BM27" s="35">
        <v>2.8</v>
      </c>
      <c r="BN27" s="17">
        <v>2.79</v>
      </c>
      <c r="BO27" s="17">
        <v>2.79</v>
      </c>
      <c r="BP27" s="17">
        <v>2.79</v>
      </c>
      <c r="BQ27" s="30">
        <v>2.8</v>
      </c>
      <c r="BR27" s="35"/>
      <c r="BS27" s="17"/>
      <c r="BT27" s="17"/>
      <c r="BU27" s="17"/>
      <c r="BV27" s="30"/>
      <c r="BW27" s="11">
        <v>5</v>
      </c>
      <c r="BX27" s="12">
        <v>5</v>
      </c>
      <c r="BY27" s="17">
        <v>5</v>
      </c>
      <c r="BZ27" s="12">
        <v>5</v>
      </c>
      <c r="CA27" s="13">
        <v>5</v>
      </c>
      <c r="CB27" s="35">
        <v>5.7</v>
      </c>
      <c r="CC27" s="17">
        <v>5.71</v>
      </c>
      <c r="CD27" s="17">
        <v>5.71</v>
      </c>
      <c r="CE27" s="17">
        <v>5.71</v>
      </c>
      <c r="CF27" s="30">
        <v>5.7</v>
      </c>
      <c r="CG27" s="29">
        <v>19.579999999999998</v>
      </c>
      <c r="CH27" s="18">
        <v>19.579999999999998</v>
      </c>
      <c r="CI27" s="19">
        <v>19.579999999999998</v>
      </c>
      <c r="CJ27" s="35"/>
      <c r="CK27" s="17"/>
      <c r="CL27" s="30"/>
      <c r="CM27" s="35"/>
      <c r="CN27" s="17"/>
      <c r="CO27" s="30"/>
      <c r="CP27" s="35"/>
      <c r="CQ27" s="17"/>
      <c r="CR27" s="30"/>
      <c r="CS27" s="35"/>
      <c r="CT27" s="30"/>
      <c r="CU27" s="30"/>
      <c r="CV27" s="545"/>
      <c r="CW27" s="534"/>
      <c r="CX27" s="884"/>
      <c r="CY27" s="885"/>
      <c r="CZ27" s="886"/>
      <c r="DA27" s="884"/>
      <c r="DB27" s="885"/>
      <c r="DC27" s="886"/>
      <c r="DD27" s="884"/>
      <c r="DE27" s="885"/>
      <c r="DF27" s="886"/>
      <c r="DG27" s="884"/>
      <c r="DH27" s="885"/>
      <c r="DI27" s="886"/>
      <c r="DJ27" s="884"/>
      <c r="DK27" s="885"/>
      <c r="DL27" s="849" t="s">
        <v>465</v>
      </c>
      <c r="DM27" s="860">
        <f>DM17*DM22</f>
        <v>76.912000000000006</v>
      </c>
      <c r="DN27" s="628">
        <f t="shared" ref="DN27:DO27" si="17">DN17*DN22</f>
        <v>82.505600000000001</v>
      </c>
      <c r="DO27" s="861">
        <f t="shared" si="17"/>
        <v>87.4</v>
      </c>
      <c r="DP27" s="860">
        <f t="shared" ref="DP27:DR27" si="18">DP17*DP22</f>
        <v>51.52000000000001</v>
      </c>
      <c r="DQ27" s="628">
        <f t="shared" si="18"/>
        <v>52.808</v>
      </c>
      <c r="DR27" s="861">
        <f t="shared" si="18"/>
        <v>54.74</v>
      </c>
      <c r="DS27" s="238"/>
      <c r="DT27" s="238"/>
      <c r="DU27" s="583" t="s">
        <v>490</v>
      </c>
      <c r="DV27" s="154" t="s">
        <v>491</v>
      </c>
      <c r="DW27" s="169">
        <v>0.35499999999999998</v>
      </c>
      <c r="DX27" s="170">
        <v>0.34</v>
      </c>
      <c r="DY27" s="170">
        <v>0.32500000000000001</v>
      </c>
      <c r="DZ27" s="170">
        <v>0.31</v>
      </c>
      <c r="EA27" s="171">
        <v>0.3</v>
      </c>
      <c r="EB27" s="170">
        <v>0.35499999999999998</v>
      </c>
      <c r="EC27" s="170">
        <v>0.34</v>
      </c>
      <c r="ED27" s="170">
        <v>0.32</v>
      </c>
      <c r="EE27" s="170">
        <v>0.31</v>
      </c>
      <c r="EF27" s="171">
        <v>0.3</v>
      </c>
      <c r="EG27" s="560"/>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row>
    <row r="28" spans="1:169" s="45" customFormat="1" x14ac:dyDescent="0.25">
      <c r="A28" s="238"/>
      <c r="B28" s="466" t="s">
        <v>492</v>
      </c>
      <c r="C28" s="19"/>
      <c r="D28" s="29"/>
      <c r="E28" s="18"/>
      <c r="F28" s="18"/>
      <c r="G28" s="18"/>
      <c r="H28" s="19"/>
      <c r="I28" s="29">
        <v>187</v>
      </c>
      <c r="J28" s="18">
        <v>187</v>
      </c>
      <c r="K28" s="18">
        <v>187</v>
      </c>
      <c r="L28" s="18">
        <v>187</v>
      </c>
      <c r="M28" s="19">
        <v>187</v>
      </c>
      <c r="N28" s="29"/>
      <c r="O28" s="18"/>
      <c r="P28" s="18"/>
      <c r="Q28" s="18"/>
      <c r="R28" s="19"/>
      <c r="S28" s="29"/>
      <c r="T28" s="18"/>
      <c r="U28" s="18"/>
      <c r="V28" s="18"/>
      <c r="W28" s="19"/>
      <c r="X28" s="29">
        <v>187</v>
      </c>
      <c r="Y28" s="18">
        <v>187</v>
      </c>
      <c r="Z28" s="18">
        <v>187</v>
      </c>
      <c r="AA28" s="18">
        <v>187</v>
      </c>
      <c r="AB28" s="19">
        <v>187</v>
      </c>
      <c r="AC28" s="29"/>
      <c r="AD28" s="18"/>
      <c r="AE28" s="18"/>
      <c r="AF28" s="18"/>
      <c r="AG28" s="19"/>
      <c r="AH28" s="29">
        <v>194</v>
      </c>
      <c r="AI28" s="18">
        <v>194</v>
      </c>
      <c r="AJ28" s="18">
        <v>194</v>
      </c>
      <c r="AK28" s="18">
        <v>194</v>
      </c>
      <c r="AL28" s="19">
        <v>194</v>
      </c>
      <c r="AM28" s="29">
        <v>194</v>
      </c>
      <c r="AN28" s="18">
        <v>194</v>
      </c>
      <c r="AO28" s="18">
        <v>194</v>
      </c>
      <c r="AP28" s="18">
        <v>194</v>
      </c>
      <c r="AQ28" s="19">
        <v>194</v>
      </c>
      <c r="AR28" s="29"/>
      <c r="AS28" s="18"/>
      <c r="AT28" s="18"/>
      <c r="AU28" s="18"/>
      <c r="AV28" s="19"/>
      <c r="AW28" s="29"/>
      <c r="AX28" s="18"/>
      <c r="AY28" s="18"/>
      <c r="AZ28" s="18"/>
      <c r="BA28" s="19"/>
      <c r="BB28" s="42">
        <v>154</v>
      </c>
      <c r="BC28" s="43">
        <v>154</v>
      </c>
      <c r="BD28" s="36">
        <v>154</v>
      </c>
      <c r="BE28" s="29"/>
      <c r="BF28" s="18"/>
      <c r="BG28" s="19"/>
      <c r="BH28" s="29"/>
      <c r="BI28" s="18"/>
      <c r="BJ28" s="18"/>
      <c r="BK28" s="18"/>
      <c r="BL28" s="19"/>
      <c r="BM28" s="29"/>
      <c r="BN28" s="18"/>
      <c r="BO28" s="18"/>
      <c r="BP28" s="18"/>
      <c r="BQ28" s="19"/>
      <c r="BR28" s="29"/>
      <c r="BS28" s="18"/>
      <c r="BT28" s="18"/>
      <c r="BU28" s="18"/>
      <c r="BV28" s="19"/>
      <c r="BW28" s="29"/>
      <c r="BX28" s="18"/>
      <c r="BY28" s="18"/>
      <c r="BZ28" s="18"/>
      <c r="CA28" s="19"/>
      <c r="CB28" s="29"/>
      <c r="CC28" s="18"/>
      <c r="CD28" s="18"/>
      <c r="CE28" s="18"/>
      <c r="CF28" s="19"/>
      <c r="CG28" s="29"/>
      <c r="CH28" s="40"/>
      <c r="CI28" s="19"/>
      <c r="CJ28" s="29"/>
      <c r="CK28" s="18"/>
      <c r="CL28" s="19"/>
      <c r="CM28" s="29"/>
      <c r="CN28" s="18"/>
      <c r="CO28" s="19"/>
      <c r="CP28" s="29"/>
      <c r="CQ28" s="18"/>
      <c r="CR28" s="19"/>
      <c r="CS28" s="29"/>
      <c r="CT28" s="19"/>
      <c r="CU28" s="19"/>
      <c r="CV28" s="545"/>
      <c r="CW28" s="534" t="s">
        <v>493</v>
      </c>
      <c r="CX28" s="884">
        <v>6000</v>
      </c>
      <c r="CY28" s="885">
        <v>6000</v>
      </c>
      <c r="CZ28" s="886">
        <v>5600</v>
      </c>
      <c r="DA28" s="884"/>
      <c r="DB28" s="885"/>
      <c r="DC28" s="886"/>
      <c r="DD28" s="884"/>
      <c r="DE28" s="885"/>
      <c r="DF28" s="886"/>
      <c r="DG28" s="884"/>
      <c r="DH28" s="885"/>
      <c r="DI28" s="886"/>
      <c r="DJ28" s="884"/>
      <c r="DK28" s="885"/>
      <c r="DL28" s="849" t="s">
        <v>468</v>
      </c>
      <c r="DM28" s="847">
        <f>DM18*DM23</f>
        <v>2.5</v>
      </c>
      <c r="DN28" s="848">
        <f t="shared" ref="DN28:DO28" si="19">DN18*DN23</f>
        <v>3</v>
      </c>
      <c r="DO28" s="849">
        <f t="shared" si="19"/>
        <v>3.5000000000000004</v>
      </c>
      <c r="DP28" s="847">
        <f t="shared" ref="DP28:DR28" si="20">DP18*DP23</f>
        <v>6.5</v>
      </c>
      <c r="DQ28" s="848">
        <f t="shared" si="20"/>
        <v>7.0000000000000009</v>
      </c>
      <c r="DR28" s="849">
        <f t="shared" si="20"/>
        <v>7.5</v>
      </c>
      <c r="DS28" s="238"/>
      <c r="DT28" s="238"/>
      <c r="DU28" s="583" t="s">
        <v>494</v>
      </c>
      <c r="DV28" s="154" t="s">
        <v>495</v>
      </c>
      <c r="DW28" s="144">
        <v>235</v>
      </c>
      <c r="DX28" s="132">
        <v>235</v>
      </c>
      <c r="DY28" s="132">
        <v>235</v>
      </c>
      <c r="DZ28" s="132">
        <v>235</v>
      </c>
      <c r="EA28" s="145">
        <v>235</v>
      </c>
      <c r="EB28" s="132">
        <v>240</v>
      </c>
      <c r="EC28" s="132">
        <v>240</v>
      </c>
      <c r="ED28" s="132">
        <v>240</v>
      </c>
      <c r="EE28" s="132">
        <v>240</v>
      </c>
      <c r="EF28" s="145">
        <v>240</v>
      </c>
      <c r="EG28" s="534"/>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row>
    <row r="29" spans="1:169" s="45" customFormat="1" x14ac:dyDescent="0.25">
      <c r="A29" s="238"/>
      <c r="B29" s="464" t="s">
        <v>496</v>
      </c>
      <c r="C29" s="13"/>
      <c r="D29" s="11"/>
      <c r="E29" s="12"/>
      <c r="F29" s="12"/>
      <c r="G29" s="12"/>
      <c r="H29" s="13"/>
      <c r="I29" s="11"/>
      <c r="J29" s="12"/>
      <c r="K29" s="12"/>
      <c r="L29" s="12"/>
      <c r="M29" s="13"/>
      <c r="N29" s="11"/>
      <c r="O29" s="12"/>
      <c r="P29" s="12"/>
      <c r="Q29" s="12"/>
      <c r="R29" s="13"/>
      <c r="S29" s="11"/>
      <c r="T29" s="12"/>
      <c r="U29" s="12"/>
      <c r="V29" s="12"/>
      <c r="W29" s="13"/>
      <c r="X29" s="11"/>
      <c r="Y29" s="12"/>
      <c r="Z29" s="12"/>
      <c r="AA29" s="12"/>
      <c r="AB29" s="13"/>
      <c r="AC29" s="11"/>
      <c r="AD29" s="12"/>
      <c r="AE29" s="12"/>
      <c r="AF29" s="12"/>
      <c r="AG29" s="13"/>
      <c r="AH29" s="11"/>
      <c r="AI29" s="12"/>
      <c r="AJ29" s="12"/>
      <c r="AK29" s="12"/>
      <c r="AL29" s="13"/>
      <c r="AM29" s="11"/>
      <c r="AN29" s="12"/>
      <c r="AO29" s="12"/>
      <c r="AP29" s="12"/>
      <c r="AQ29" s="13"/>
      <c r="AR29" s="11"/>
      <c r="AS29" s="12"/>
      <c r="AT29" s="12"/>
      <c r="AU29" s="12"/>
      <c r="AV29" s="13"/>
      <c r="AW29" s="11"/>
      <c r="AX29" s="12"/>
      <c r="AY29" s="12"/>
      <c r="AZ29" s="12"/>
      <c r="BA29" s="13"/>
      <c r="BB29" s="11"/>
      <c r="BC29" s="12"/>
      <c r="BD29" s="13"/>
      <c r="BE29" s="11"/>
      <c r="BF29" s="12"/>
      <c r="BG29" s="13"/>
      <c r="BH29" s="11">
        <v>0</v>
      </c>
      <c r="BI29" s="12">
        <v>0.28000000000000003</v>
      </c>
      <c r="BJ29" s="12">
        <v>0.28000000000000003</v>
      </c>
      <c r="BK29" s="12">
        <v>0.28000000000000003</v>
      </c>
      <c r="BL29" s="13">
        <v>0</v>
      </c>
      <c r="BM29" s="11"/>
      <c r="BN29" s="12"/>
      <c r="BO29" s="12"/>
      <c r="BP29" s="12"/>
      <c r="BQ29" s="13"/>
      <c r="BR29" s="11"/>
      <c r="BS29" s="12"/>
      <c r="BT29" s="12"/>
      <c r="BU29" s="12"/>
      <c r="BV29" s="13"/>
      <c r="BW29" s="11">
        <v>1</v>
      </c>
      <c r="BX29" s="12">
        <v>1</v>
      </c>
      <c r="BY29" s="12">
        <v>1</v>
      </c>
      <c r="BZ29" s="12">
        <v>1</v>
      </c>
      <c r="CA29" s="13">
        <v>1</v>
      </c>
      <c r="CB29" s="73">
        <v>0.8</v>
      </c>
      <c r="CC29" s="75">
        <v>0.75</v>
      </c>
      <c r="CD29" s="75">
        <v>0.75</v>
      </c>
      <c r="CE29" s="75">
        <v>0.75</v>
      </c>
      <c r="CF29" s="74">
        <v>0.8</v>
      </c>
      <c r="CG29" s="11"/>
      <c r="CH29" s="12"/>
      <c r="CI29" s="13"/>
      <c r="CJ29" s="11"/>
      <c r="CK29" s="40"/>
      <c r="CL29" s="13"/>
      <c r="CM29" s="11"/>
      <c r="CN29" s="12"/>
      <c r="CO29" s="13"/>
      <c r="CP29" s="11"/>
      <c r="CQ29" s="12"/>
      <c r="CR29" s="13"/>
      <c r="CS29" s="11"/>
      <c r="CT29" s="13"/>
      <c r="CU29" s="13"/>
      <c r="CV29" s="545"/>
      <c r="CW29" s="534" t="s">
        <v>497</v>
      </c>
      <c r="CX29" s="884">
        <v>37.5</v>
      </c>
      <c r="CY29" s="885">
        <v>38</v>
      </c>
      <c r="CZ29" s="886">
        <v>39</v>
      </c>
      <c r="DA29" s="884"/>
      <c r="DB29" s="885"/>
      <c r="DC29" s="886"/>
      <c r="DD29" s="884"/>
      <c r="DE29" s="885"/>
      <c r="DF29" s="886"/>
      <c r="DG29" s="884"/>
      <c r="DH29" s="885"/>
      <c r="DI29" s="886"/>
      <c r="DJ29" s="884"/>
      <c r="DK29" s="885"/>
      <c r="DL29" s="849" t="s">
        <v>470</v>
      </c>
      <c r="DM29" s="847">
        <f>DM19*DM24</f>
        <v>12.6</v>
      </c>
      <c r="DN29" s="848">
        <f t="shared" ref="DN29:DO29" si="21">DN19*DN24</f>
        <v>12.6</v>
      </c>
      <c r="DO29" s="849">
        <f t="shared" si="21"/>
        <v>12.6</v>
      </c>
      <c r="DP29" s="847">
        <f t="shared" ref="DP29:DR29" si="22">DP19*DP24</f>
        <v>7.8000000000000007</v>
      </c>
      <c r="DQ29" s="848">
        <f t="shared" si="22"/>
        <v>7.8000000000000007</v>
      </c>
      <c r="DR29" s="849">
        <f t="shared" si="22"/>
        <v>7.8000000000000007</v>
      </c>
      <c r="DS29" s="238"/>
      <c r="DT29" s="238"/>
      <c r="DU29" s="583" t="s">
        <v>498</v>
      </c>
      <c r="DV29" s="147" t="s">
        <v>472</v>
      </c>
      <c r="DW29" s="139">
        <v>2.6625000000000001</v>
      </c>
      <c r="DX29" s="131">
        <v>2.72</v>
      </c>
      <c r="DY29" s="131">
        <v>2.6</v>
      </c>
      <c r="DZ29" s="131">
        <v>2.48</v>
      </c>
      <c r="EA29" s="140">
        <v>2.5499999999999998</v>
      </c>
      <c r="EB29" s="131">
        <v>1.917</v>
      </c>
      <c r="EC29" s="131">
        <v>1.8530000000000002</v>
      </c>
      <c r="ED29" s="131">
        <v>1.744</v>
      </c>
      <c r="EE29" s="131">
        <v>1.6895</v>
      </c>
      <c r="EF29" s="140">
        <v>1.65</v>
      </c>
      <c r="EG29" s="560"/>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row>
    <row r="30" spans="1:169" s="45" customFormat="1" x14ac:dyDescent="0.25">
      <c r="A30" s="238"/>
      <c r="B30" s="464" t="s">
        <v>499</v>
      </c>
      <c r="C30" s="13" t="s">
        <v>456</v>
      </c>
      <c r="D30" s="11">
        <v>1076.04</v>
      </c>
      <c r="E30" s="12">
        <v>1024.8</v>
      </c>
      <c r="F30" s="12">
        <v>976</v>
      </c>
      <c r="G30" s="12">
        <v>927.19999999999993</v>
      </c>
      <c r="H30" s="13">
        <v>880.83999999999992</v>
      </c>
      <c r="I30" s="11">
        <v>215</v>
      </c>
      <c r="J30" s="12">
        <v>200</v>
      </c>
      <c r="K30" s="12">
        <v>180</v>
      </c>
      <c r="L30" s="12">
        <v>150</v>
      </c>
      <c r="M30" s="13">
        <v>135</v>
      </c>
      <c r="N30" s="11">
        <v>350</v>
      </c>
      <c r="O30" s="12">
        <v>336</v>
      </c>
      <c r="P30" s="12">
        <v>315</v>
      </c>
      <c r="Q30" s="12">
        <v>294</v>
      </c>
      <c r="R30" s="13">
        <v>280</v>
      </c>
      <c r="S30" s="11">
        <v>75</v>
      </c>
      <c r="T30" s="12">
        <v>75</v>
      </c>
      <c r="U30" s="12">
        <v>75</v>
      </c>
      <c r="V30" s="12">
        <v>75</v>
      </c>
      <c r="W30" s="13">
        <v>75</v>
      </c>
      <c r="X30" s="11">
        <v>360</v>
      </c>
      <c r="Y30" s="12">
        <v>340</v>
      </c>
      <c r="Z30" s="12">
        <v>310</v>
      </c>
      <c r="AA30" s="12">
        <v>280</v>
      </c>
      <c r="AB30" s="13">
        <v>260</v>
      </c>
      <c r="AC30" s="11">
        <v>670</v>
      </c>
      <c r="AD30" s="12">
        <v>650</v>
      </c>
      <c r="AE30" s="12">
        <v>630</v>
      </c>
      <c r="AF30" s="12">
        <v>540</v>
      </c>
      <c r="AG30" s="13">
        <v>520</v>
      </c>
      <c r="AH30" s="11">
        <v>225</v>
      </c>
      <c r="AI30" s="12">
        <v>210</v>
      </c>
      <c r="AJ30" s="12">
        <v>190</v>
      </c>
      <c r="AK30" s="12">
        <v>160</v>
      </c>
      <c r="AL30" s="13">
        <v>140</v>
      </c>
      <c r="AM30" s="11">
        <v>360</v>
      </c>
      <c r="AN30" s="12">
        <v>345</v>
      </c>
      <c r="AO30" s="12">
        <v>315</v>
      </c>
      <c r="AP30" s="12">
        <v>285</v>
      </c>
      <c r="AQ30" s="13">
        <v>275</v>
      </c>
      <c r="AR30" s="11">
        <v>160</v>
      </c>
      <c r="AS30" s="12">
        <v>160</v>
      </c>
      <c r="AT30" s="12">
        <v>160</v>
      </c>
      <c r="AU30" s="12">
        <v>160</v>
      </c>
      <c r="AV30" s="13">
        <v>160</v>
      </c>
      <c r="AW30" s="11">
        <v>750</v>
      </c>
      <c r="AX30" s="12">
        <v>750</v>
      </c>
      <c r="AY30" s="12">
        <v>750</v>
      </c>
      <c r="AZ30" s="12">
        <v>750</v>
      </c>
      <c r="BA30" s="13">
        <v>750</v>
      </c>
      <c r="BB30" s="11">
        <v>165</v>
      </c>
      <c r="BC30" s="12">
        <v>160</v>
      </c>
      <c r="BD30" s="13">
        <v>160</v>
      </c>
      <c r="BE30" s="11">
        <v>360</v>
      </c>
      <c r="BF30" s="12">
        <v>360</v>
      </c>
      <c r="BG30" s="13">
        <v>360</v>
      </c>
      <c r="BH30" s="11">
        <v>15</v>
      </c>
      <c r="BI30" s="12">
        <v>13.3</v>
      </c>
      <c r="BJ30" s="12">
        <v>14</v>
      </c>
      <c r="BK30" s="12">
        <v>13.4</v>
      </c>
      <c r="BL30" s="13">
        <v>12</v>
      </c>
      <c r="BM30" s="11">
        <v>70</v>
      </c>
      <c r="BN30" s="12">
        <v>67.77</v>
      </c>
      <c r="BO30" s="12">
        <v>64.5</v>
      </c>
      <c r="BP30" s="12">
        <v>61.9</v>
      </c>
      <c r="BQ30" s="13">
        <v>60</v>
      </c>
      <c r="BR30" s="11">
        <v>16</v>
      </c>
      <c r="BS30" s="12">
        <v>14.700000000000001</v>
      </c>
      <c r="BT30" s="12">
        <v>14</v>
      </c>
      <c r="BU30" s="12">
        <v>13.299999999999999</v>
      </c>
      <c r="BV30" s="13">
        <v>12</v>
      </c>
      <c r="BW30" s="11">
        <v>45</v>
      </c>
      <c r="BX30" s="12">
        <v>45</v>
      </c>
      <c r="BY30" s="12">
        <v>45</v>
      </c>
      <c r="BZ30" s="12">
        <v>45</v>
      </c>
      <c r="CA30" s="13">
        <v>45</v>
      </c>
      <c r="CB30" s="11">
        <v>20</v>
      </c>
      <c r="CC30" s="12">
        <v>20</v>
      </c>
      <c r="CD30" s="12">
        <v>20</v>
      </c>
      <c r="CE30" s="12">
        <v>20</v>
      </c>
      <c r="CF30" s="13">
        <v>20</v>
      </c>
      <c r="CG30" s="11">
        <v>2730</v>
      </c>
      <c r="CH30" s="12">
        <v>2680</v>
      </c>
      <c r="CI30" s="13">
        <v>2492</v>
      </c>
      <c r="CJ30" s="11">
        <v>212.79999999999998</v>
      </c>
      <c r="CK30" s="12">
        <v>215.6</v>
      </c>
      <c r="CL30" s="13">
        <v>174</v>
      </c>
      <c r="CM30" s="11"/>
      <c r="CN30" s="12"/>
      <c r="CO30" s="13"/>
      <c r="CP30" s="11">
        <v>52.9</v>
      </c>
      <c r="CQ30" s="75">
        <v>52.9</v>
      </c>
      <c r="CR30" s="74">
        <v>52.9</v>
      </c>
      <c r="CS30" s="32">
        <v>7.95</v>
      </c>
      <c r="CT30" s="34">
        <v>6.81</v>
      </c>
      <c r="CU30" s="13">
        <v>5.68</v>
      </c>
      <c r="CV30" s="545"/>
      <c r="CW30" s="534"/>
      <c r="CX30" s="884">
        <v>1620</v>
      </c>
      <c r="CY30" s="885">
        <v>1500</v>
      </c>
      <c r="CZ30" s="886">
        <v>1232</v>
      </c>
      <c r="DA30" s="884">
        <v>365</v>
      </c>
      <c r="DB30" s="885">
        <v>350</v>
      </c>
      <c r="DC30" s="886">
        <v>340</v>
      </c>
      <c r="DD30" s="884"/>
      <c r="DE30" s="885"/>
      <c r="DF30" s="886"/>
      <c r="DG30" s="884"/>
      <c r="DH30" s="885"/>
      <c r="DI30" s="886"/>
      <c r="DJ30" s="884"/>
      <c r="DK30" s="885"/>
      <c r="DL30" s="849" t="s">
        <v>500</v>
      </c>
      <c r="DM30" s="884">
        <v>-3.5</v>
      </c>
      <c r="DN30" s="885">
        <v>-3.3</v>
      </c>
      <c r="DO30" s="886">
        <v>-3</v>
      </c>
      <c r="DP30" s="884">
        <v>-3.5</v>
      </c>
      <c r="DQ30" s="885">
        <v>-3.3</v>
      </c>
      <c r="DR30" s="886">
        <v>-3</v>
      </c>
      <c r="DS30" s="238"/>
      <c r="DT30" s="238"/>
      <c r="DU30" s="583"/>
      <c r="DV30" s="154"/>
      <c r="DW30" s="144"/>
      <c r="DX30" s="132"/>
      <c r="DY30" s="132"/>
      <c r="DZ30" s="132"/>
      <c r="EA30" s="145"/>
      <c r="EB30" s="132"/>
      <c r="EC30" s="132"/>
      <c r="ED30" s="132"/>
      <c r="EE30" s="132"/>
      <c r="EF30" s="145"/>
      <c r="EG30" s="560"/>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row>
    <row r="31" spans="1:169" s="45" customFormat="1" ht="11" thickBot="1" x14ac:dyDescent="0.3">
      <c r="A31" s="238"/>
      <c r="B31" s="464" t="s">
        <v>501</v>
      </c>
      <c r="C31" s="13" t="s">
        <v>502</v>
      </c>
      <c r="D31" s="11">
        <v>315.57</v>
      </c>
      <c r="E31" s="12">
        <v>315.57</v>
      </c>
      <c r="F31" s="12">
        <v>315.57</v>
      </c>
      <c r="G31" s="12">
        <v>315.57</v>
      </c>
      <c r="H31" s="13">
        <v>315.57</v>
      </c>
      <c r="I31" s="11">
        <v>222</v>
      </c>
      <c r="J31" s="12">
        <v>222</v>
      </c>
      <c r="K31" s="12">
        <v>222</v>
      </c>
      <c r="L31" s="12">
        <v>221.67</v>
      </c>
      <c r="M31" s="13">
        <v>222</v>
      </c>
      <c r="N31" s="11">
        <v>210</v>
      </c>
      <c r="O31" s="12">
        <v>210</v>
      </c>
      <c r="P31" s="12">
        <v>210</v>
      </c>
      <c r="Q31" s="12">
        <v>210</v>
      </c>
      <c r="R31" s="13">
        <v>210</v>
      </c>
      <c r="S31" s="11">
        <v>215</v>
      </c>
      <c r="T31" s="12">
        <v>215</v>
      </c>
      <c r="U31" s="12">
        <v>210</v>
      </c>
      <c r="V31" s="12">
        <v>200</v>
      </c>
      <c r="W31" s="13">
        <v>200</v>
      </c>
      <c r="X31" s="11">
        <v>224</v>
      </c>
      <c r="Y31" s="12">
        <v>223.5</v>
      </c>
      <c r="Z31" s="12">
        <v>223.5</v>
      </c>
      <c r="AA31" s="12">
        <v>224.4</v>
      </c>
      <c r="AB31" s="13">
        <v>224</v>
      </c>
      <c r="AC31" s="11">
        <v>215</v>
      </c>
      <c r="AD31" s="12">
        <v>215</v>
      </c>
      <c r="AE31" s="12">
        <v>210</v>
      </c>
      <c r="AF31" s="12">
        <v>200</v>
      </c>
      <c r="AG31" s="13">
        <v>200</v>
      </c>
      <c r="AH31" s="11">
        <v>225</v>
      </c>
      <c r="AI31" s="12">
        <v>221</v>
      </c>
      <c r="AJ31" s="12">
        <v>221</v>
      </c>
      <c r="AK31" s="12">
        <v>221</v>
      </c>
      <c r="AL31" s="13">
        <v>220</v>
      </c>
      <c r="AM31" s="11">
        <v>225</v>
      </c>
      <c r="AN31" s="12">
        <v>223.33</v>
      </c>
      <c r="AO31" s="12">
        <v>223.33</v>
      </c>
      <c r="AP31" s="12">
        <v>224.12</v>
      </c>
      <c r="AQ31" s="13">
        <v>222</v>
      </c>
      <c r="AR31" s="11">
        <v>210</v>
      </c>
      <c r="AS31" s="12">
        <v>210</v>
      </c>
      <c r="AT31" s="12">
        <v>210</v>
      </c>
      <c r="AU31" s="12">
        <v>210</v>
      </c>
      <c r="AV31" s="13">
        <v>210</v>
      </c>
      <c r="AW31" s="11">
        <v>215</v>
      </c>
      <c r="AX31" s="12">
        <v>215</v>
      </c>
      <c r="AY31" s="12">
        <v>210</v>
      </c>
      <c r="AZ31" s="12">
        <v>205</v>
      </c>
      <c r="BA31" s="13">
        <v>200</v>
      </c>
      <c r="BB31" s="11">
        <v>225</v>
      </c>
      <c r="BC31" s="12">
        <v>221</v>
      </c>
      <c r="BD31" s="13">
        <v>221</v>
      </c>
      <c r="BE31" s="11">
        <v>215</v>
      </c>
      <c r="BF31" s="12">
        <v>210</v>
      </c>
      <c r="BG31" s="13">
        <v>210</v>
      </c>
      <c r="BH31" s="11">
        <v>210</v>
      </c>
      <c r="BI31" s="12">
        <v>210</v>
      </c>
      <c r="BJ31" s="12">
        <v>210</v>
      </c>
      <c r="BK31" s="12">
        <v>210</v>
      </c>
      <c r="BL31" s="13">
        <v>210</v>
      </c>
      <c r="BM31" s="11">
        <v>207.7</v>
      </c>
      <c r="BN31" s="12">
        <v>207.7</v>
      </c>
      <c r="BO31" s="12">
        <v>207.7</v>
      </c>
      <c r="BP31" s="12">
        <v>207.7</v>
      </c>
      <c r="BQ31" s="13">
        <v>207.7</v>
      </c>
      <c r="BR31" s="11">
        <v>210</v>
      </c>
      <c r="BS31" s="12">
        <v>210</v>
      </c>
      <c r="BT31" s="12">
        <v>210</v>
      </c>
      <c r="BU31" s="12">
        <v>210</v>
      </c>
      <c r="BV31" s="13">
        <v>210</v>
      </c>
      <c r="BW31" s="11">
        <v>250</v>
      </c>
      <c r="BX31" s="12">
        <v>250</v>
      </c>
      <c r="BY31" s="12">
        <v>250</v>
      </c>
      <c r="BZ31" s="12">
        <v>250</v>
      </c>
      <c r="CA31" s="13">
        <v>250</v>
      </c>
      <c r="CB31" s="11">
        <v>270</v>
      </c>
      <c r="CC31" s="12">
        <v>270</v>
      </c>
      <c r="CD31" s="12">
        <v>270</v>
      </c>
      <c r="CE31" s="12">
        <v>270</v>
      </c>
      <c r="CF31" s="13">
        <v>270</v>
      </c>
      <c r="CG31" s="11">
        <v>290</v>
      </c>
      <c r="CH31" s="12">
        <v>285</v>
      </c>
      <c r="CI31" s="13">
        <v>283</v>
      </c>
      <c r="CJ31" s="11">
        <v>285</v>
      </c>
      <c r="CK31" s="12">
        <v>280</v>
      </c>
      <c r="CL31" s="13">
        <v>280</v>
      </c>
      <c r="CM31" s="11"/>
      <c r="CN31" s="12"/>
      <c r="CO31" s="13"/>
      <c r="CP31" s="11">
        <v>250</v>
      </c>
      <c r="CQ31" s="75">
        <v>250</v>
      </c>
      <c r="CR31" s="74">
        <v>250</v>
      </c>
      <c r="CS31" s="11">
        <v>310</v>
      </c>
      <c r="CT31" s="13">
        <v>300</v>
      </c>
      <c r="CU31" s="13">
        <v>290</v>
      </c>
      <c r="CV31" s="548"/>
      <c r="CW31" s="534"/>
      <c r="CX31" s="884">
        <v>400</v>
      </c>
      <c r="CY31" s="885">
        <v>400</v>
      </c>
      <c r="CZ31" s="1165" t="e">
        <f>'Cropping allocation - baseline'!O70/'Cropping allocation - baseline'!S70</f>
        <v>#DIV/0!</v>
      </c>
      <c r="DA31" s="884">
        <v>400</v>
      </c>
      <c r="DB31" s="885">
        <v>400</v>
      </c>
      <c r="DC31" s="1165" t="e">
        <f>'Cropping allocation - baseline'!O70/'Cropping allocation - baseline'!S70</f>
        <v>#DIV/0!</v>
      </c>
      <c r="DD31" s="884"/>
      <c r="DE31" s="885"/>
      <c r="DF31" s="886"/>
      <c r="DG31" s="884"/>
      <c r="DH31" s="885"/>
      <c r="DI31" s="886"/>
      <c r="DJ31" s="884"/>
      <c r="DK31" s="885"/>
      <c r="DL31" s="849" t="s">
        <v>503</v>
      </c>
      <c r="DM31" s="908">
        <v>1</v>
      </c>
      <c r="DN31" s="909">
        <v>1</v>
      </c>
      <c r="DO31" s="910">
        <v>1</v>
      </c>
      <c r="DP31" s="908">
        <v>1</v>
      </c>
      <c r="DQ31" s="909">
        <v>1</v>
      </c>
      <c r="DR31" s="910">
        <v>1</v>
      </c>
      <c r="DS31" s="238"/>
      <c r="DT31" s="238"/>
      <c r="DU31" s="584" t="s">
        <v>494</v>
      </c>
      <c r="DV31" s="147" t="s">
        <v>472</v>
      </c>
      <c r="DW31" s="144">
        <v>625.6875</v>
      </c>
      <c r="DX31" s="132">
        <v>639.20000000000005</v>
      </c>
      <c r="DY31" s="132">
        <v>611</v>
      </c>
      <c r="DZ31" s="132">
        <v>582.79999999999995</v>
      </c>
      <c r="EA31" s="145">
        <v>599.25</v>
      </c>
      <c r="EB31" s="132">
        <v>460.08</v>
      </c>
      <c r="EC31" s="132">
        <v>444.72</v>
      </c>
      <c r="ED31" s="132">
        <v>418.56</v>
      </c>
      <c r="EE31" s="132">
        <v>405.48</v>
      </c>
      <c r="EF31" s="145">
        <v>396</v>
      </c>
      <c r="EG31" s="560"/>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row>
    <row r="32" spans="1:169" s="477" customFormat="1" ht="11" thickBot="1" x14ac:dyDescent="0.3">
      <c r="A32" s="238"/>
      <c r="B32" s="471"/>
      <c r="C32" s="472"/>
      <c r="D32" s="473"/>
      <c r="E32" s="474"/>
      <c r="F32" s="474"/>
      <c r="G32" s="474"/>
      <c r="H32" s="472"/>
      <c r="I32" s="473"/>
      <c r="J32" s="474"/>
      <c r="K32" s="474"/>
      <c r="L32" s="474"/>
      <c r="M32" s="472"/>
      <c r="N32" s="473"/>
      <c r="O32" s="474"/>
      <c r="P32" s="474"/>
      <c r="Q32" s="474"/>
      <c r="R32" s="472"/>
      <c r="S32" s="473"/>
      <c r="T32" s="474"/>
      <c r="U32" s="474"/>
      <c r="V32" s="474"/>
      <c r="W32" s="472"/>
      <c r="X32" s="473"/>
      <c r="Y32" s="474"/>
      <c r="Z32" s="474"/>
      <c r="AA32" s="474"/>
      <c r="AB32" s="472"/>
      <c r="AC32" s="473"/>
      <c r="AD32" s="474"/>
      <c r="AE32" s="474"/>
      <c r="AF32" s="474"/>
      <c r="AG32" s="472"/>
      <c r="AH32" s="473"/>
      <c r="AI32" s="474"/>
      <c r="AJ32" s="474"/>
      <c r="AK32" s="474"/>
      <c r="AL32" s="472"/>
      <c r="AM32" s="473"/>
      <c r="AN32" s="474"/>
      <c r="AO32" s="474"/>
      <c r="AP32" s="474"/>
      <c r="AQ32" s="472"/>
      <c r="AR32" s="473"/>
      <c r="AS32" s="474"/>
      <c r="AT32" s="474"/>
      <c r="AU32" s="474"/>
      <c r="AV32" s="472"/>
      <c r="AW32" s="473"/>
      <c r="AX32" s="474"/>
      <c r="AY32" s="474"/>
      <c r="AZ32" s="474"/>
      <c r="BA32" s="472"/>
      <c r="BB32" s="473"/>
      <c r="BC32" s="474"/>
      <c r="BD32" s="472"/>
      <c r="BE32" s="473"/>
      <c r="BF32" s="474"/>
      <c r="BG32" s="472"/>
      <c r="BH32" s="473"/>
      <c r="BI32" s="474"/>
      <c r="BJ32" s="474"/>
      <c r="BK32" s="474"/>
      <c r="BL32" s="472"/>
      <c r="BM32" s="473"/>
      <c r="BN32" s="474"/>
      <c r="BO32" s="474"/>
      <c r="BP32" s="474"/>
      <c r="BQ32" s="472"/>
      <c r="BR32" s="473"/>
      <c r="BS32" s="474"/>
      <c r="BT32" s="474"/>
      <c r="BU32" s="474"/>
      <c r="BV32" s="472"/>
      <c r="BW32" s="473"/>
      <c r="BX32" s="474"/>
      <c r="BY32" s="474"/>
      <c r="BZ32" s="474"/>
      <c r="CA32" s="472"/>
      <c r="CB32" s="473"/>
      <c r="CC32" s="474"/>
      <c r="CD32" s="474"/>
      <c r="CE32" s="474"/>
      <c r="CF32" s="472"/>
      <c r="CG32" s="473"/>
      <c r="CH32" s="474"/>
      <c r="CI32" s="472"/>
      <c r="CJ32" s="473"/>
      <c r="CK32" s="474"/>
      <c r="CL32" s="472"/>
      <c r="CM32" s="473"/>
      <c r="CN32" s="474"/>
      <c r="CO32" s="472"/>
      <c r="CP32" s="473"/>
      <c r="CQ32" s="475"/>
      <c r="CR32" s="476"/>
      <c r="CS32" s="473"/>
      <c r="CT32" s="472"/>
      <c r="CU32" s="472"/>
      <c r="CV32" s="545"/>
      <c r="CW32" s="549"/>
      <c r="CX32" s="862"/>
      <c r="CY32" s="863"/>
      <c r="CZ32" s="864"/>
      <c r="DA32" s="862"/>
      <c r="DB32" s="863"/>
      <c r="DC32" s="864"/>
      <c r="DD32" s="862"/>
      <c r="DE32" s="863"/>
      <c r="DF32" s="864"/>
      <c r="DG32" s="862"/>
      <c r="DH32" s="863"/>
      <c r="DI32" s="864"/>
      <c r="DJ32" s="862"/>
      <c r="DK32" s="863"/>
      <c r="DL32" s="864"/>
      <c r="DM32" s="862"/>
      <c r="DN32" s="863"/>
      <c r="DO32" s="864"/>
      <c r="DP32" s="862"/>
      <c r="DQ32" s="863"/>
      <c r="DR32" s="864"/>
      <c r="DS32" s="238"/>
      <c r="DT32" s="238"/>
      <c r="DU32" s="586"/>
      <c r="DV32" s="478"/>
      <c r="DW32" s="479"/>
      <c r="DX32" s="480"/>
      <c r="DY32" s="480"/>
      <c r="DZ32" s="480"/>
      <c r="EA32" s="481"/>
      <c r="EB32" s="480"/>
      <c r="EC32" s="480"/>
      <c r="ED32" s="480"/>
      <c r="EE32" s="480"/>
      <c r="EF32" s="481"/>
      <c r="EG32" s="560"/>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row>
    <row r="33" spans="1:169" s="45" customFormat="1" x14ac:dyDescent="0.25">
      <c r="A33" s="238"/>
      <c r="B33" s="76" t="s">
        <v>504</v>
      </c>
      <c r="C33" s="22"/>
      <c r="D33" s="20"/>
      <c r="E33" s="21"/>
      <c r="F33" s="21"/>
      <c r="G33" s="21"/>
      <c r="H33" s="22"/>
      <c r="I33" s="20"/>
      <c r="J33" s="21"/>
      <c r="K33" s="21"/>
      <c r="L33" s="21"/>
      <c r="M33" s="22"/>
      <c r="N33" s="20"/>
      <c r="O33" s="21"/>
      <c r="P33" s="21"/>
      <c r="Q33" s="21"/>
      <c r="R33" s="22"/>
      <c r="S33" s="20"/>
      <c r="T33" s="21"/>
      <c r="U33" s="21"/>
      <c r="V33" s="21"/>
      <c r="W33" s="22"/>
      <c r="X33" s="20"/>
      <c r="Y33" s="21"/>
      <c r="Z33" s="21"/>
      <c r="AA33" s="21"/>
      <c r="AB33" s="22"/>
      <c r="AC33" s="20"/>
      <c r="AD33" s="21"/>
      <c r="AE33" s="21"/>
      <c r="AF33" s="21"/>
      <c r="AG33" s="22"/>
      <c r="AH33" s="20"/>
      <c r="AI33" s="21"/>
      <c r="AJ33" s="21"/>
      <c r="AK33" s="21"/>
      <c r="AL33" s="22"/>
      <c r="AM33" s="20"/>
      <c r="AN33" s="21"/>
      <c r="AO33" s="21"/>
      <c r="AP33" s="21"/>
      <c r="AQ33" s="22"/>
      <c r="AR33" s="20"/>
      <c r="AS33" s="21"/>
      <c r="AT33" s="21"/>
      <c r="AU33" s="21"/>
      <c r="AV33" s="22"/>
      <c r="AW33" s="20"/>
      <c r="AX33" s="21"/>
      <c r="AY33" s="21"/>
      <c r="AZ33" s="21"/>
      <c r="BA33" s="22"/>
      <c r="BB33" s="20"/>
      <c r="BC33" s="21"/>
      <c r="BD33" s="22"/>
      <c r="BE33" s="20"/>
      <c r="BF33" s="21"/>
      <c r="BG33" s="22"/>
      <c r="BH33" s="20"/>
      <c r="BI33" s="21"/>
      <c r="BJ33" s="21"/>
      <c r="BK33" s="21"/>
      <c r="BL33" s="22"/>
      <c r="BM33" s="20"/>
      <c r="BN33" s="21"/>
      <c r="BO33" s="21"/>
      <c r="BP33" s="21"/>
      <c r="BQ33" s="22"/>
      <c r="BR33" s="20"/>
      <c r="BS33" s="21"/>
      <c r="BT33" s="21"/>
      <c r="BU33" s="21"/>
      <c r="BV33" s="22"/>
      <c r="BW33" s="20"/>
      <c r="BX33" s="21"/>
      <c r="BY33" s="21"/>
      <c r="BZ33" s="21"/>
      <c r="CA33" s="22"/>
      <c r="CB33" s="20"/>
      <c r="CC33" s="21"/>
      <c r="CD33" s="21"/>
      <c r="CE33" s="21"/>
      <c r="CF33" s="22"/>
      <c r="CG33" s="20"/>
      <c r="CH33" s="21"/>
      <c r="CI33" s="22"/>
      <c r="CJ33" s="20"/>
      <c r="CK33" s="21"/>
      <c r="CL33" s="22"/>
      <c r="CM33" s="20"/>
      <c r="CN33" s="21"/>
      <c r="CO33" s="22"/>
      <c r="CP33" s="20"/>
      <c r="CQ33" s="17"/>
      <c r="CR33" s="22"/>
      <c r="CS33" s="20"/>
      <c r="CT33" s="22"/>
      <c r="CU33" s="22"/>
      <c r="CV33" s="548"/>
      <c r="CW33" s="549"/>
      <c r="CX33" s="847"/>
      <c r="CY33" s="848"/>
      <c r="CZ33" s="849"/>
      <c r="DA33" s="847"/>
      <c r="DB33" s="848"/>
      <c r="DC33" s="849"/>
      <c r="DD33" s="847"/>
      <c r="DE33" s="848"/>
      <c r="DF33" s="849"/>
      <c r="DG33" s="847"/>
      <c r="DH33" s="848"/>
      <c r="DI33" s="849"/>
      <c r="DJ33" s="847"/>
      <c r="DK33" s="848"/>
      <c r="DL33" s="849"/>
      <c r="DM33" s="847"/>
      <c r="DN33" s="848"/>
      <c r="DO33" s="849"/>
      <c r="DP33" s="847"/>
      <c r="DQ33" s="848"/>
      <c r="DR33" s="849"/>
      <c r="DS33" s="238"/>
      <c r="DT33" s="238"/>
      <c r="DU33" s="583" t="s">
        <v>505</v>
      </c>
      <c r="DV33" s="147" t="s">
        <v>472</v>
      </c>
      <c r="DW33" s="144">
        <v>85</v>
      </c>
      <c r="DX33" s="132">
        <v>82</v>
      </c>
      <c r="DY33" s="132">
        <v>80</v>
      </c>
      <c r="DZ33" s="132">
        <v>78</v>
      </c>
      <c r="EA33" s="145">
        <v>75</v>
      </c>
      <c r="EB33" s="132">
        <v>45</v>
      </c>
      <c r="EC33" s="132">
        <v>43</v>
      </c>
      <c r="ED33" s="132">
        <v>42</v>
      </c>
      <c r="EE33" s="132">
        <v>41</v>
      </c>
      <c r="EF33" s="145">
        <v>40</v>
      </c>
      <c r="EG33" s="560"/>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row>
    <row r="34" spans="1:169" s="45" customFormat="1" x14ac:dyDescent="0.25">
      <c r="A34" s="238"/>
      <c r="B34" s="463" t="s">
        <v>506</v>
      </c>
      <c r="C34" s="22" t="s">
        <v>507</v>
      </c>
      <c r="D34" s="20"/>
      <c r="E34" s="21"/>
      <c r="F34" s="21"/>
      <c r="G34" s="21"/>
      <c r="H34" s="22"/>
      <c r="I34" s="20">
        <v>459</v>
      </c>
      <c r="J34" s="21">
        <v>465.8</v>
      </c>
      <c r="K34" s="21">
        <v>487.2</v>
      </c>
      <c r="L34" s="21">
        <v>550.02</v>
      </c>
      <c r="M34" s="22">
        <v>578</v>
      </c>
      <c r="N34" s="20">
        <v>1073</v>
      </c>
      <c r="O34" s="21">
        <v>1093.72</v>
      </c>
      <c r="P34" s="21">
        <v>1105.375</v>
      </c>
      <c r="Q34" s="21">
        <v>1117.03</v>
      </c>
      <c r="R34" s="22">
        <v>1137.75</v>
      </c>
      <c r="S34" s="20">
        <v>1045</v>
      </c>
      <c r="T34" s="21">
        <v>1045</v>
      </c>
      <c r="U34" s="21">
        <v>1045</v>
      </c>
      <c r="V34" s="21">
        <v>1045</v>
      </c>
      <c r="W34" s="22">
        <v>1045</v>
      </c>
      <c r="X34" s="20">
        <v>567.64499999999998</v>
      </c>
      <c r="Y34" s="21">
        <v>602.57999999999993</v>
      </c>
      <c r="Z34" s="21">
        <v>630.69999999999993</v>
      </c>
      <c r="AA34" s="21">
        <v>686.64749999999992</v>
      </c>
      <c r="AB34" s="22">
        <v>712.57999999999993</v>
      </c>
      <c r="AC34" s="20">
        <v>978.5</v>
      </c>
      <c r="AD34" s="21">
        <v>1022.1999999999999</v>
      </c>
      <c r="AE34" s="21">
        <v>1064</v>
      </c>
      <c r="AF34" s="21">
        <v>1103.8999999999999</v>
      </c>
      <c r="AG34" s="22">
        <v>1140</v>
      </c>
      <c r="AH34" s="20">
        <v>415.73999999999995</v>
      </c>
      <c r="AI34" s="21">
        <v>448.56</v>
      </c>
      <c r="AJ34" s="21">
        <v>469.56</v>
      </c>
      <c r="AK34" s="21">
        <v>505.12</v>
      </c>
      <c r="AL34" s="22">
        <v>548.1</v>
      </c>
      <c r="AM34" s="20">
        <v>538.20000000000005</v>
      </c>
      <c r="AN34" s="21">
        <v>583.83999999999992</v>
      </c>
      <c r="AO34" s="21">
        <v>611.52</v>
      </c>
      <c r="AP34" s="21">
        <v>652.30999999999995</v>
      </c>
      <c r="AQ34" s="22">
        <v>702.24</v>
      </c>
      <c r="AR34" s="20">
        <v>921.5</v>
      </c>
      <c r="AS34" s="21">
        <v>931</v>
      </c>
      <c r="AT34" s="21">
        <v>940.5</v>
      </c>
      <c r="AU34" s="21">
        <v>950</v>
      </c>
      <c r="AV34" s="22">
        <v>959.5</v>
      </c>
      <c r="AW34" s="20">
        <v>1037.3999999999999</v>
      </c>
      <c r="AX34" s="21">
        <v>1046.8999999999999</v>
      </c>
      <c r="AY34" s="21">
        <v>1056.3999999999999</v>
      </c>
      <c r="AZ34" s="21">
        <v>1065.8999999999999</v>
      </c>
      <c r="BA34" s="22">
        <v>1075.3999999999999</v>
      </c>
      <c r="BB34" s="20">
        <v>408.57599999999996</v>
      </c>
      <c r="BC34" s="21">
        <v>424.84</v>
      </c>
      <c r="BD34" s="22">
        <v>459.88800000000003</v>
      </c>
      <c r="BE34" s="20">
        <v>927</v>
      </c>
      <c r="BF34" s="21">
        <v>980.5</v>
      </c>
      <c r="BG34" s="22">
        <v>1075.3999999999999</v>
      </c>
      <c r="BH34" s="20">
        <v>131</v>
      </c>
      <c r="BI34" s="21">
        <v>138</v>
      </c>
      <c r="BJ34" s="21">
        <v>145</v>
      </c>
      <c r="BK34" s="21">
        <v>152</v>
      </c>
      <c r="BL34" s="22">
        <v>160</v>
      </c>
      <c r="BM34" s="20">
        <v>83.591999999999999</v>
      </c>
      <c r="BN34" s="21">
        <v>99.626309999999989</v>
      </c>
      <c r="BO34" s="21">
        <v>122.50800000000001</v>
      </c>
      <c r="BP34" s="21">
        <v>144.16584</v>
      </c>
      <c r="BQ34" s="22">
        <v>165.048</v>
      </c>
      <c r="BR34" s="20">
        <v>90</v>
      </c>
      <c r="BS34" s="21">
        <v>92.25</v>
      </c>
      <c r="BT34" s="21">
        <v>96.75</v>
      </c>
      <c r="BU34" s="21">
        <v>101.25</v>
      </c>
      <c r="BV34" s="22">
        <v>103.5</v>
      </c>
      <c r="BW34" s="20">
        <v>69.426000000000002</v>
      </c>
      <c r="BX34" s="21">
        <v>82.121039999999979</v>
      </c>
      <c r="BY34" s="21">
        <v>101.98420999999999</v>
      </c>
      <c r="BZ34" s="21">
        <v>113.72944</v>
      </c>
      <c r="CA34" s="22">
        <v>122.00565</v>
      </c>
      <c r="CB34" s="20">
        <v>25</v>
      </c>
      <c r="CC34" s="21">
        <v>26.65</v>
      </c>
      <c r="CD34" s="21">
        <v>42.4</v>
      </c>
      <c r="CE34" s="21">
        <v>61.75</v>
      </c>
      <c r="CF34" s="22">
        <v>65</v>
      </c>
      <c r="CG34" s="20">
        <v>1206.7</v>
      </c>
      <c r="CH34" s="21">
        <v>1335.95</v>
      </c>
      <c r="CI34" s="22">
        <v>1459.7</v>
      </c>
      <c r="CJ34" s="20">
        <v>128.76</v>
      </c>
      <c r="CK34" s="21">
        <v>129.91999999999999</v>
      </c>
      <c r="CL34" s="22">
        <v>127.6</v>
      </c>
      <c r="CM34" s="20">
        <v>128.76</v>
      </c>
      <c r="CN34" s="21">
        <v>129.91999999999999</v>
      </c>
      <c r="CO34" s="22">
        <v>127.6</v>
      </c>
      <c r="CP34" s="35">
        <v>23.734999999999999</v>
      </c>
      <c r="CQ34" s="17">
        <v>25.25</v>
      </c>
      <c r="CR34" s="30">
        <v>26.926600000000001</v>
      </c>
      <c r="CS34" s="24">
        <v>4.6818749999999998</v>
      </c>
      <c r="CT34" s="25">
        <v>5.1074999999999999</v>
      </c>
      <c r="CU34" s="25">
        <v>5.5331250000000001</v>
      </c>
      <c r="CV34" s="545"/>
      <c r="CW34" s="533"/>
      <c r="CX34" s="847">
        <f>CX28*CX29/100</f>
        <v>2250</v>
      </c>
      <c r="CY34" s="848">
        <f>CY28*CY29/100</f>
        <v>2280</v>
      </c>
      <c r="CZ34" s="849">
        <f>CZ28*CZ29/100</f>
        <v>2184</v>
      </c>
      <c r="DA34" s="847">
        <v>1650</v>
      </c>
      <c r="DB34" s="848">
        <v>1650</v>
      </c>
      <c r="DC34" s="849">
        <v>1650</v>
      </c>
      <c r="DD34" s="847">
        <v>500</v>
      </c>
      <c r="DE34" s="848">
        <v>530</v>
      </c>
      <c r="DF34" s="849">
        <v>630</v>
      </c>
      <c r="DG34" s="847">
        <v>395</v>
      </c>
      <c r="DH34" s="848">
        <v>415</v>
      </c>
      <c r="DI34" s="849">
        <v>595</v>
      </c>
      <c r="DJ34" s="847">
        <v>500</v>
      </c>
      <c r="DK34" s="848">
        <v>610</v>
      </c>
      <c r="DL34" s="849">
        <v>1000</v>
      </c>
      <c r="DM34" s="114">
        <v>92.012</v>
      </c>
      <c r="DN34" s="100">
        <v>98.105599999999995</v>
      </c>
      <c r="DO34" s="118">
        <v>103.5</v>
      </c>
      <c r="DP34" s="114">
        <v>65.820000000000007</v>
      </c>
      <c r="DQ34" s="100">
        <v>67.608000000000004</v>
      </c>
      <c r="DR34" s="118">
        <v>70.040000000000006</v>
      </c>
      <c r="DS34" s="238"/>
      <c r="DT34" s="238"/>
      <c r="DU34" s="583" t="s">
        <v>508</v>
      </c>
      <c r="DV34" s="147" t="s">
        <v>472</v>
      </c>
      <c r="DW34" s="144">
        <v>68</v>
      </c>
      <c r="DX34" s="132">
        <v>66</v>
      </c>
      <c r="DY34" s="132">
        <v>64</v>
      </c>
      <c r="DZ34" s="132">
        <v>62</v>
      </c>
      <c r="EA34" s="145">
        <v>60</v>
      </c>
      <c r="EB34" s="132">
        <v>46</v>
      </c>
      <c r="EC34" s="132">
        <v>45</v>
      </c>
      <c r="ED34" s="132">
        <v>44</v>
      </c>
      <c r="EE34" s="132">
        <v>43</v>
      </c>
      <c r="EF34" s="145">
        <v>42</v>
      </c>
      <c r="EG34" s="560"/>
      <c r="EH34" s="238"/>
      <c r="EI34" s="238"/>
      <c r="EJ34" s="238"/>
      <c r="EK34" s="238"/>
      <c r="EL34" s="238"/>
      <c r="EM34" s="238"/>
      <c r="EN34" s="238"/>
      <c r="EO34" s="238"/>
      <c r="EP34" s="238"/>
      <c r="EQ34" s="238"/>
      <c r="ER34" s="238"/>
      <c r="ES34" s="238"/>
      <c r="ET34" s="238"/>
      <c r="EU34" s="238"/>
      <c r="EV34" s="238"/>
      <c r="EW34" s="238"/>
      <c r="EX34" s="238"/>
      <c r="EY34" s="238"/>
      <c r="EZ34" s="238"/>
      <c r="FA34" s="238"/>
      <c r="FB34" s="238"/>
      <c r="FC34" s="238"/>
      <c r="FD34" s="238"/>
      <c r="FE34" s="238"/>
      <c r="FF34" s="238"/>
      <c r="FG34" s="238"/>
      <c r="FH34" s="238"/>
      <c r="FI34" s="238"/>
      <c r="FJ34" s="238"/>
      <c r="FK34" s="238"/>
      <c r="FL34" s="238"/>
      <c r="FM34" s="238"/>
    </row>
    <row r="35" spans="1:169" s="45" customFormat="1" x14ac:dyDescent="0.25">
      <c r="A35" s="238"/>
      <c r="B35" s="463" t="s">
        <v>509</v>
      </c>
      <c r="C35" s="22"/>
      <c r="D35" s="20">
        <v>1302.24</v>
      </c>
      <c r="E35" s="21">
        <v>1349.7825</v>
      </c>
      <c r="F35" s="21">
        <v>1420.35</v>
      </c>
      <c r="G35" s="21">
        <v>1490.9175</v>
      </c>
      <c r="H35" s="22">
        <v>1514.44</v>
      </c>
      <c r="I35" s="20">
        <v>-162.56666666666666</v>
      </c>
      <c r="J35" s="21">
        <v>-154.23333333333332</v>
      </c>
      <c r="K35" s="21">
        <v>-154.23333333333332</v>
      </c>
      <c r="L35" s="21">
        <v>-154.23333333333332</v>
      </c>
      <c r="M35" s="22">
        <v>-146.88039215686271</v>
      </c>
      <c r="N35" s="20"/>
      <c r="O35" s="21"/>
      <c r="P35" s="21"/>
      <c r="Q35" s="21"/>
      <c r="R35" s="22"/>
      <c r="S35" s="20"/>
      <c r="T35" s="21"/>
      <c r="U35" s="21"/>
      <c r="V35" s="21"/>
      <c r="W35" s="22"/>
      <c r="X35" s="20">
        <v>-171.75714285714284</v>
      </c>
      <c r="Y35" s="21">
        <v>-171.75714285714284</v>
      </c>
      <c r="Z35" s="21">
        <v>-171.75714285714284</v>
      </c>
      <c r="AA35" s="21">
        <v>-171.75714285714284</v>
      </c>
      <c r="AB35" s="22">
        <v>-171.75714285714284</v>
      </c>
      <c r="AC35" s="20"/>
      <c r="AD35" s="21"/>
      <c r="AE35" s="21"/>
      <c r="AF35" s="21"/>
      <c r="AG35" s="22"/>
      <c r="AH35" s="20">
        <v>-161.46666666666667</v>
      </c>
      <c r="AI35" s="21">
        <v>-161.46666666666667</v>
      </c>
      <c r="AJ35" s="21">
        <v>-161.46666666666667</v>
      </c>
      <c r="AK35" s="21">
        <v>-161.46666666666667</v>
      </c>
      <c r="AL35" s="22">
        <v>-161.46666666666667</v>
      </c>
      <c r="AM35" s="20">
        <v>-179.32380952380953</v>
      </c>
      <c r="AN35" s="21">
        <v>-179.32380952380953</v>
      </c>
      <c r="AO35" s="21">
        <v>-179.32380952380953</v>
      </c>
      <c r="AP35" s="21">
        <v>-179.32380952380953</v>
      </c>
      <c r="AQ35" s="22">
        <v>-179.32380952380953</v>
      </c>
      <c r="AR35" s="20"/>
      <c r="AS35" s="21"/>
      <c r="AT35" s="40"/>
      <c r="AU35" s="21"/>
      <c r="AV35" s="22"/>
      <c r="AW35" s="20"/>
      <c r="AX35" s="21"/>
      <c r="AY35" s="40"/>
      <c r="AZ35" s="21"/>
      <c r="BA35" s="22"/>
      <c r="BB35" s="20">
        <v>-135.38333333333333</v>
      </c>
      <c r="BC35" s="21">
        <v>-135.38333333333333</v>
      </c>
      <c r="BD35" s="22">
        <v>-135.38333333333333</v>
      </c>
      <c r="BE35" s="20"/>
      <c r="BF35" s="21"/>
      <c r="BG35" s="22"/>
      <c r="BH35" s="20"/>
      <c r="BI35" s="21"/>
      <c r="BJ35" s="21"/>
      <c r="BK35" s="21"/>
      <c r="BL35" s="22"/>
      <c r="BM35" s="20">
        <v>-20.25</v>
      </c>
      <c r="BN35" s="21">
        <v>-20.239999999999998</v>
      </c>
      <c r="BO35" s="21">
        <v>-20.239999999999998</v>
      </c>
      <c r="BP35" s="21">
        <v>-20.239999999999998</v>
      </c>
      <c r="BQ35" s="22">
        <v>-20.25</v>
      </c>
      <c r="BR35" s="20"/>
      <c r="BS35" s="21"/>
      <c r="BT35" s="21"/>
      <c r="BU35" s="21"/>
      <c r="BV35" s="22"/>
      <c r="BW35" s="20">
        <v>-29.375</v>
      </c>
      <c r="BX35" s="21">
        <v>-29.375</v>
      </c>
      <c r="BY35" s="21">
        <v>-29.375</v>
      </c>
      <c r="BZ35" s="21">
        <v>-29.375</v>
      </c>
      <c r="CA35" s="22">
        <v>-29.375</v>
      </c>
      <c r="CB35" s="20">
        <v>-6</v>
      </c>
      <c r="CC35" s="21">
        <v>-5.71</v>
      </c>
      <c r="CD35" s="21">
        <v>-5.71</v>
      </c>
      <c r="CE35" s="21">
        <v>-5.71</v>
      </c>
      <c r="CF35" s="22">
        <v>-6</v>
      </c>
      <c r="CG35" s="20">
        <v>-102.28</v>
      </c>
      <c r="CH35" s="21">
        <v>-101.94</v>
      </c>
      <c r="CI35" s="22">
        <v>-101.73</v>
      </c>
      <c r="CJ35" s="20"/>
      <c r="CK35" s="21"/>
      <c r="CL35" s="22"/>
      <c r="CM35" s="35">
        <v>-4.6618049225159526</v>
      </c>
      <c r="CN35" s="17">
        <v>-4.1967888019761217</v>
      </c>
      <c r="CO35" s="30">
        <v>-3.833082140165788</v>
      </c>
      <c r="CP35" s="24">
        <v>-4.2460000000000004</v>
      </c>
      <c r="CQ35" s="23">
        <v>-4.2254999999999994</v>
      </c>
      <c r="CR35" s="25">
        <v>-4.1639999999999997</v>
      </c>
      <c r="CS35" s="24">
        <v>-0.77</v>
      </c>
      <c r="CT35" s="25">
        <v>-0.77</v>
      </c>
      <c r="CU35" s="25">
        <v>-0.77</v>
      </c>
      <c r="CV35" s="545"/>
      <c r="CW35" s="550"/>
      <c r="CX35" s="884">
        <v>-300</v>
      </c>
      <c r="CY35" s="885">
        <v>-200</v>
      </c>
      <c r="CZ35" s="886">
        <v>-140</v>
      </c>
      <c r="DA35" s="847">
        <v>-262.5</v>
      </c>
      <c r="DB35" s="848">
        <v>-262.5</v>
      </c>
      <c r="DC35" s="849">
        <v>-262.5</v>
      </c>
      <c r="DD35" s="847">
        <v>-80</v>
      </c>
      <c r="DE35" s="848">
        <v>-70</v>
      </c>
      <c r="DF35" s="849">
        <v>-50</v>
      </c>
      <c r="DG35" s="847">
        <v>-100</v>
      </c>
      <c r="DH35" s="848">
        <v>-90</v>
      </c>
      <c r="DI35" s="849">
        <v>-70</v>
      </c>
      <c r="DJ35" s="847"/>
      <c r="DK35" s="848"/>
      <c r="DL35" s="849"/>
      <c r="DM35" s="102">
        <v>-3.5</v>
      </c>
      <c r="DN35" s="103">
        <v>-3.3</v>
      </c>
      <c r="DO35" s="243">
        <v>-3</v>
      </c>
      <c r="DP35" s="102">
        <v>-3.5</v>
      </c>
      <c r="DQ35" s="103">
        <v>-3.3</v>
      </c>
      <c r="DR35" s="243">
        <v>-3</v>
      </c>
      <c r="DS35" s="238"/>
      <c r="DT35" s="238"/>
      <c r="DU35" s="583" t="s">
        <v>255</v>
      </c>
      <c r="DV35" s="147" t="s">
        <v>472</v>
      </c>
      <c r="DW35" s="144">
        <v>62</v>
      </c>
      <c r="DX35" s="132">
        <v>62</v>
      </c>
      <c r="DY35" s="132">
        <v>60</v>
      </c>
      <c r="DZ35" s="132">
        <v>58</v>
      </c>
      <c r="EA35" s="145">
        <v>58</v>
      </c>
      <c r="EB35" s="132">
        <v>35</v>
      </c>
      <c r="EC35" s="132">
        <v>35</v>
      </c>
      <c r="ED35" s="132">
        <v>34</v>
      </c>
      <c r="EE35" s="132">
        <v>33</v>
      </c>
      <c r="EF35" s="145">
        <v>33</v>
      </c>
      <c r="EG35" s="289"/>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row>
    <row r="36" spans="1:169" s="45" customFormat="1" ht="11" thickBot="1" x14ac:dyDescent="0.3">
      <c r="A36" s="513"/>
      <c r="B36" s="463" t="s">
        <v>510</v>
      </c>
      <c r="C36" s="22"/>
      <c r="D36" s="20">
        <v>-178.5</v>
      </c>
      <c r="E36" s="21">
        <v>-178.5</v>
      </c>
      <c r="F36" s="21">
        <v>-178.5</v>
      </c>
      <c r="G36" s="21">
        <v>-178.5</v>
      </c>
      <c r="H36" s="22">
        <v>-178.5</v>
      </c>
      <c r="I36" s="20">
        <v>-5.0999999999999996</v>
      </c>
      <c r="J36" s="21">
        <v>-5.0999999999999996</v>
      </c>
      <c r="K36" s="21">
        <v>-5.0999999999999996</v>
      </c>
      <c r="L36" s="21">
        <v>-5.0999999999999996</v>
      </c>
      <c r="M36" s="22">
        <v>-5.0999999999999996</v>
      </c>
      <c r="N36" s="20">
        <v>-778.68000000000006</v>
      </c>
      <c r="O36" s="21">
        <v>-778.68000000000006</v>
      </c>
      <c r="P36" s="21">
        <v>-771.12</v>
      </c>
      <c r="Q36" s="21">
        <v>-763.56000000000006</v>
      </c>
      <c r="R36" s="22">
        <v>-763.56000000000006</v>
      </c>
      <c r="S36" s="20">
        <v>-782.80000000000007</v>
      </c>
      <c r="T36" s="21">
        <v>-778.99999999999989</v>
      </c>
      <c r="U36" s="21">
        <v>-775.2</v>
      </c>
      <c r="V36" s="21">
        <v>-771.4</v>
      </c>
      <c r="W36" s="22">
        <v>-767.6</v>
      </c>
      <c r="X36" s="20">
        <v>-6.8</v>
      </c>
      <c r="Y36" s="21">
        <v>-6.8</v>
      </c>
      <c r="Z36" s="21">
        <v>-6.8</v>
      </c>
      <c r="AA36" s="21">
        <v>-6.8</v>
      </c>
      <c r="AB36" s="22">
        <v>-6.8</v>
      </c>
      <c r="AC36" s="20">
        <v>-763.23</v>
      </c>
      <c r="AD36" s="21">
        <v>-763.23</v>
      </c>
      <c r="AE36" s="21">
        <v>-755.82</v>
      </c>
      <c r="AF36" s="21">
        <v>-748.41</v>
      </c>
      <c r="AG36" s="22">
        <v>-748.41</v>
      </c>
      <c r="AH36" s="20">
        <v>-5.0999999999999996</v>
      </c>
      <c r="AI36" s="21">
        <v>-5.0999999999999996</v>
      </c>
      <c r="AJ36" s="21">
        <v>-5.0999999999999996</v>
      </c>
      <c r="AK36" s="21">
        <v>-5.0999999999999996</v>
      </c>
      <c r="AL36" s="22">
        <v>-5.0999999999999996</v>
      </c>
      <c r="AM36" s="20">
        <v>-6.8</v>
      </c>
      <c r="AN36" s="21">
        <v>-6.8</v>
      </c>
      <c r="AO36" s="21">
        <v>-6.8</v>
      </c>
      <c r="AP36" s="21">
        <v>-6.8</v>
      </c>
      <c r="AQ36" s="22">
        <v>-6.8</v>
      </c>
      <c r="AR36" s="20">
        <v>-668.61</v>
      </c>
      <c r="AS36" s="21">
        <v>-665.33249999999998</v>
      </c>
      <c r="AT36" s="21">
        <v>-662.05499999999995</v>
      </c>
      <c r="AU36" s="21">
        <v>-662.05499999999995</v>
      </c>
      <c r="AV36" s="22">
        <v>-662.05499999999995</v>
      </c>
      <c r="AW36" s="20">
        <v>-687.99</v>
      </c>
      <c r="AX36" s="21">
        <v>-684.61749999999995</v>
      </c>
      <c r="AY36" s="21">
        <v>-681.245</v>
      </c>
      <c r="AZ36" s="21">
        <v>-681.245</v>
      </c>
      <c r="BA36" s="22">
        <v>-681.245</v>
      </c>
      <c r="BB36" s="20">
        <v>-5.0999999999999996</v>
      </c>
      <c r="BC36" s="21">
        <v>-5.0999999999999996</v>
      </c>
      <c r="BD36" s="22">
        <v>-5.0999999999999996</v>
      </c>
      <c r="BE36" s="20">
        <v>-508.82</v>
      </c>
      <c r="BF36" s="21">
        <v>-503.88</v>
      </c>
      <c r="BG36" s="22">
        <v>-503.88</v>
      </c>
      <c r="BH36" s="20">
        <v>-87.53</v>
      </c>
      <c r="BI36" s="21">
        <v>-91.603999999999999</v>
      </c>
      <c r="BJ36" s="21">
        <v>-91.603999999999999</v>
      </c>
      <c r="BK36" s="21">
        <v>-91.603999999999999</v>
      </c>
      <c r="BL36" s="22">
        <v>-98.080000000000013</v>
      </c>
      <c r="BM36" s="20">
        <v>0.4</v>
      </c>
      <c r="BN36" s="21">
        <v>0.4</v>
      </c>
      <c r="BO36" s="21">
        <v>0.4</v>
      </c>
      <c r="BP36" s="21">
        <v>0.4</v>
      </c>
      <c r="BQ36" s="22">
        <v>0.4</v>
      </c>
      <c r="BR36" s="20">
        <v>-57.2</v>
      </c>
      <c r="BS36" s="21">
        <v>-57.2</v>
      </c>
      <c r="BT36" s="21">
        <v>-57.2</v>
      </c>
      <c r="BU36" s="21">
        <v>-57.2</v>
      </c>
      <c r="BV36" s="22">
        <v>-57.2</v>
      </c>
      <c r="BW36" s="20">
        <v>1</v>
      </c>
      <c r="BX36" s="21">
        <v>1</v>
      </c>
      <c r="BY36" s="21">
        <v>1</v>
      </c>
      <c r="BZ36" s="21">
        <v>1</v>
      </c>
      <c r="CA36" s="22">
        <v>1</v>
      </c>
      <c r="CB36" s="20">
        <v>0.8</v>
      </c>
      <c r="CC36" s="21">
        <v>8.1</v>
      </c>
      <c r="CD36" s="21">
        <v>8.1</v>
      </c>
      <c r="CE36" s="21">
        <v>8.1</v>
      </c>
      <c r="CF36" s="22">
        <v>0.8</v>
      </c>
      <c r="CG36" s="20"/>
      <c r="CH36" s="21"/>
      <c r="CI36" s="22"/>
      <c r="CJ36" s="35">
        <v>-56.760000000000005</v>
      </c>
      <c r="CK36" s="17">
        <v>-56.65</v>
      </c>
      <c r="CL36" s="30">
        <v>-56.54</v>
      </c>
      <c r="CM36" s="35">
        <v>-1.76</v>
      </c>
      <c r="CN36" s="17">
        <v>-1.65</v>
      </c>
      <c r="CO36" s="30">
        <v>-1.54</v>
      </c>
      <c r="CP36" s="20"/>
      <c r="CQ36" s="17"/>
      <c r="CR36" s="22"/>
      <c r="CS36" s="20"/>
      <c r="CT36" s="25"/>
      <c r="CU36" s="22"/>
      <c r="CV36" s="548"/>
      <c r="CW36" s="550"/>
      <c r="CX36" s="884">
        <v>110</v>
      </c>
      <c r="CY36" s="885">
        <v>110</v>
      </c>
      <c r="CZ36" s="886">
        <v>95</v>
      </c>
      <c r="DA36" s="847"/>
      <c r="DB36" s="848"/>
      <c r="DC36" s="849"/>
      <c r="DD36" s="847"/>
      <c r="DE36" s="848"/>
      <c r="DF36" s="849"/>
      <c r="DG36" s="847"/>
      <c r="DH36" s="848"/>
      <c r="DI36" s="849"/>
      <c r="DJ36" s="847"/>
      <c r="DK36" s="848"/>
      <c r="DL36" s="849"/>
      <c r="DM36" s="114">
        <v>1</v>
      </c>
      <c r="DN36" s="100">
        <v>1</v>
      </c>
      <c r="DO36" s="118">
        <v>1</v>
      </c>
      <c r="DP36" s="114">
        <v>1</v>
      </c>
      <c r="DQ36" s="100">
        <v>1</v>
      </c>
      <c r="DR36" s="118">
        <v>1</v>
      </c>
      <c r="DS36" s="238"/>
      <c r="DT36" s="238"/>
      <c r="DU36" s="583" t="s">
        <v>511</v>
      </c>
      <c r="DV36" s="147" t="s">
        <v>472</v>
      </c>
      <c r="DW36" s="144">
        <v>84</v>
      </c>
      <c r="DX36" s="132">
        <v>82</v>
      </c>
      <c r="DY36" s="132">
        <v>80</v>
      </c>
      <c r="DZ36" s="132">
        <v>78</v>
      </c>
      <c r="EA36" s="145">
        <v>56</v>
      </c>
      <c r="EB36" s="132">
        <v>62</v>
      </c>
      <c r="EC36" s="132">
        <v>60</v>
      </c>
      <c r="ED36" s="132">
        <v>58</v>
      </c>
      <c r="EE36" s="132">
        <v>56</v>
      </c>
      <c r="EF36" s="145">
        <v>54</v>
      </c>
      <c r="EG36" s="289"/>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row>
    <row r="37" spans="1:169" s="494" customFormat="1" x14ac:dyDescent="0.25">
      <c r="A37" s="512"/>
      <c r="B37" s="1491" t="s">
        <v>504</v>
      </c>
      <c r="C37" s="491" t="s">
        <v>458</v>
      </c>
      <c r="D37" s="493">
        <v>1123.74</v>
      </c>
      <c r="E37" s="492">
        <v>1171.2825</v>
      </c>
      <c r="F37" s="492">
        <v>1241.8499999999999</v>
      </c>
      <c r="G37" s="492">
        <v>1312.4175</v>
      </c>
      <c r="H37" s="491">
        <v>1335.94</v>
      </c>
      <c r="I37" s="493">
        <v>291.33333333333331</v>
      </c>
      <c r="J37" s="492">
        <v>306.4666666666667</v>
      </c>
      <c r="K37" s="492">
        <v>327.86666666666667</v>
      </c>
      <c r="L37" s="492">
        <v>390.68666666666661</v>
      </c>
      <c r="M37" s="491">
        <v>426.01960784313724</v>
      </c>
      <c r="N37" s="493">
        <v>294.31999999999994</v>
      </c>
      <c r="O37" s="492">
        <v>315.03999999999996</v>
      </c>
      <c r="P37" s="492">
        <v>334.255</v>
      </c>
      <c r="Q37" s="492">
        <v>353.46999999999991</v>
      </c>
      <c r="R37" s="491">
        <v>374.18999999999994</v>
      </c>
      <c r="S37" s="493">
        <v>262.19999999999993</v>
      </c>
      <c r="T37" s="492">
        <v>266.00000000000011</v>
      </c>
      <c r="U37" s="492">
        <v>269.79999999999995</v>
      </c>
      <c r="V37" s="492">
        <v>273.60000000000002</v>
      </c>
      <c r="W37" s="491">
        <v>277.39999999999998</v>
      </c>
      <c r="X37" s="493">
        <v>389.0878571428571</v>
      </c>
      <c r="Y37" s="492">
        <v>424.02285714285705</v>
      </c>
      <c r="Z37" s="492">
        <v>452.14285714285705</v>
      </c>
      <c r="AA37" s="492">
        <v>508.09035714285704</v>
      </c>
      <c r="AB37" s="491">
        <v>534.02285714285711</v>
      </c>
      <c r="AC37" s="493">
        <v>215.26999999999998</v>
      </c>
      <c r="AD37" s="492">
        <v>258.96999999999991</v>
      </c>
      <c r="AE37" s="492">
        <v>308.17999999999995</v>
      </c>
      <c r="AF37" s="492">
        <v>355.4899999999999</v>
      </c>
      <c r="AG37" s="491">
        <v>391.59000000000003</v>
      </c>
      <c r="AH37" s="493">
        <v>249.17333333333329</v>
      </c>
      <c r="AI37" s="492">
        <v>281.99333333333334</v>
      </c>
      <c r="AJ37" s="492">
        <v>302.99333333333334</v>
      </c>
      <c r="AK37" s="492">
        <v>338.55333333333328</v>
      </c>
      <c r="AL37" s="491">
        <v>381.5333333333333</v>
      </c>
      <c r="AM37" s="493">
        <v>352.0761904761905</v>
      </c>
      <c r="AN37" s="492">
        <v>397.71619047619038</v>
      </c>
      <c r="AO37" s="492">
        <v>425.39619047619044</v>
      </c>
      <c r="AP37" s="492">
        <v>466.1861904761904</v>
      </c>
      <c r="AQ37" s="491">
        <v>516.11619047619047</v>
      </c>
      <c r="AR37" s="493">
        <v>252.89</v>
      </c>
      <c r="AS37" s="492">
        <v>265.66750000000002</v>
      </c>
      <c r="AT37" s="492">
        <v>278.44500000000005</v>
      </c>
      <c r="AU37" s="492">
        <v>287.94500000000005</v>
      </c>
      <c r="AV37" s="491">
        <v>297.44500000000005</v>
      </c>
      <c r="AW37" s="493">
        <v>349.40999999999985</v>
      </c>
      <c r="AX37" s="492">
        <v>362.28249999999991</v>
      </c>
      <c r="AY37" s="492">
        <v>375.15499999999986</v>
      </c>
      <c r="AZ37" s="492">
        <v>384.65499999999986</v>
      </c>
      <c r="BA37" s="491">
        <v>394.15499999999986</v>
      </c>
      <c r="BB37" s="493">
        <v>268.09266666666662</v>
      </c>
      <c r="BC37" s="492">
        <v>284.35666666666663</v>
      </c>
      <c r="BD37" s="491">
        <v>319.40466666666669</v>
      </c>
      <c r="BE37" s="493">
        <v>418.18</v>
      </c>
      <c r="BF37" s="492">
        <v>476.62</v>
      </c>
      <c r="BG37" s="491">
        <v>571.51999999999987</v>
      </c>
      <c r="BH37" s="493">
        <v>43.47</v>
      </c>
      <c r="BI37" s="492">
        <v>46.396000000000001</v>
      </c>
      <c r="BJ37" s="492">
        <v>53.396000000000001</v>
      </c>
      <c r="BK37" s="492">
        <v>60.396000000000001</v>
      </c>
      <c r="BL37" s="491">
        <v>61.919999999999987</v>
      </c>
      <c r="BM37" s="493">
        <v>63.741999999999997</v>
      </c>
      <c r="BN37" s="492">
        <v>79.78631</v>
      </c>
      <c r="BO37" s="492">
        <v>102.66800000000002</v>
      </c>
      <c r="BP37" s="492">
        <v>124.32584000000001</v>
      </c>
      <c r="BQ37" s="491">
        <v>145.19800000000001</v>
      </c>
      <c r="BR37" s="493">
        <v>32.799999999999997</v>
      </c>
      <c r="BS37" s="492">
        <v>35.049999999999997</v>
      </c>
      <c r="BT37" s="492">
        <v>39.549999999999997</v>
      </c>
      <c r="BU37" s="492">
        <v>44.05</v>
      </c>
      <c r="BV37" s="491">
        <v>46.3</v>
      </c>
      <c r="BW37" s="493">
        <v>41.051000000000002</v>
      </c>
      <c r="BX37" s="492">
        <v>53.746039999999979</v>
      </c>
      <c r="BY37" s="492">
        <v>73.60920999999999</v>
      </c>
      <c r="BZ37" s="492">
        <v>85.354439999999997</v>
      </c>
      <c r="CA37" s="491">
        <v>93.630650000000003</v>
      </c>
      <c r="CB37" s="493">
        <v>19.8</v>
      </c>
      <c r="CC37" s="492">
        <v>29.04</v>
      </c>
      <c r="CD37" s="492">
        <v>44.79</v>
      </c>
      <c r="CE37" s="492">
        <v>64.14</v>
      </c>
      <c r="CF37" s="491">
        <v>59.8</v>
      </c>
      <c r="CG37" s="493">
        <v>1104.42</v>
      </c>
      <c r="CH37" s="492">
        <v>1234.01</v>
      </c>
      <c r="CI37" s="491">
        <v>1357.97</v>
      </c>
      <c r="CJ37" s="493">
        <v>71.999999999999986</v>
      </c>
      <c r="CK37" s="501">
        <v>73.269999999999982</v>
      </c>
      <c r="CL37" s="502">
        <v>71.06</v>
      </c>
      <c r="CM37" s="493">
        <v>122.33819507748403</v>
      </c>
      <c r="CN37" s="492">
        <v>124.07321119802386</v>
      </c>
      <c r="CO37" s="491">
        <v>122.2269178598342</v>
      </c>
      <c r="CP37" s="503">
        <v>19.488999999999997</v>
      </c>
      <c r="CQ37" s="504">
        <v>21.0245</v>
      </c>
      <c r="CR37" s="505">
        <v>22.762599999999999</v>
      </c>
      <c r="CS37" s="503">
        <v>3.9118749999999998</v>
      </c>
      <c r="CT37" s="505">
        <v>4.3375000000000004</v>
      </c>
      <c r="CU37" s="505">
        <v>4.7631250000000005</v>
      </c>
      <c r="CV37" s="545"/>
      <c r="CW37" s="533"/>
      <c r="CX37" s="892">
        <f>SUM(CX34:CX36)</f>
        <v>2060</v>
      </c>
      <c r="CY37" s="893">
        <f>SUM(CY34:CY36)</f>
        <v>2190</v>
      </c>
      <c r="CZ37" s="894">
        <f>SUM(CZ34:CZ36)</f>
        <v>2139</v>
      </c>
      <c r="DA37" s="912">
        <f t="shared" ref="DA37:DC37" si="23">SUM(DA34:DA36)</f>
        <v>1387.5</v>
      </c>
      <c r="DB37" s="911">
        <f t="shared" si="23"/>
        <v>1387.5</v>
      </c>
      <c r="DC37" s="894">
        <f t="shared" si="23"/>
        <v>1387.5</v>
      </c>
      <c r="DD37" s="912">
        <f>SUM(DD34:DD36)</f>
        <v>420</v>
      </c>
      <c r="DE37" s="911">
        <f t="shared" ref="DE37" si="24">SUM(DE34:DE36)</f>
        <v>460</v>
      </c>
      <c r="DF37" s="894">
        <f t="shared" ref="DF37" si="25">SUM(DF34:DF36)</f>
        <v>580</v>
      </c>
      <c r="DG37" s="912">
        <f>SUM(DG34:DG36)</f>
        <v>295</v>
      </c>
      <c r="DH37" s="911">
        <f t="shared" ref="DH37" si="26">SUM(DH34:DH36)</f>
        <v>325</v>
      </c>
      <c r="DI37" s="894">
        <f t="shared" ref="DI37" si="27">SUM(DI34:DI36)</f>
        <v>525</v>
      </c>
      <c r="DJ37" s="912">
        <f>SUM(DJ34:DJ36)</f>
        <v>500</v>
      </c>
      <c r="DK37" s="911">
        <f t="shared" ref="DK37" si="28">SUM(DK34:DK36)</f>
        <v>610</v>
      </c>
      <c r="DL37" s="894">
        <f t="shared" ref="DL37" si="29">SUM(DL34:DL36)</f>
        <v>1000</v>
      </c>
      <c r="DM37" s="912">
        <f t="shared" ref="DM37" si="30">SUM(DM34:DM36)</f>
        <v>89.512</v>
      </c>
      <c r="DN37" s="911">
        <f>SUM(DN34:DN36)</f>
        <v>95.805599999999998</v>
      </c>
      <c r="DO37" s="894">
        <f t="shared" ref="DO37" si="31">SUM(DO34:DO36)</f>
        <v>101.5</v>
      </c>
      <c r="DP37" s="912">
        <f t="shared" ref="DP37" si="32">SUM(DP34:DP36)</f>
        <v>63.320000000000007</v>
      </c>
      <c r="DQ37" s="911">
        <f>SUM(DQ34:DQ36)</f>
        <v>65.308000000000007</v>
      </c>
      <c r="DR37" s="894">
        <f t="shared" ref="DR37" si="33">SUM(DR34:DR36)</f>
        <v>68.040000000000006</v>
      </c>
      <c r="DS37" s="238"/>
      <c r="DT37" s="238"/>
      <c r="DU37" s="587" t="s">
        <v>512</v>
      </c>
      <c r="DV37" s="506" t="s">
        <v>472</v>
      </c>
      <c r="DW37" s="507">
        <v>947.6875</v>
      </c>
      <c r="DX37" s="508">
        <v>954.2</v>
      </c>
      <c r="DY37" s="508">
        <v>917</v>
      </c>
      <c r="DZ37" s="508">
        <v>879.8</v>
      </c>
      <c r="EA37" s="509">
        <v>869.25</v>
      </c>
      <c r="EB37" s="508">
        <v>677.07999999999993</v>
      </c>
      <c r="EC37" s="508">
        <v>655.72</v>
      </c>
      <c r="ED37" s="508">
        <v>623.55999999999995</v>
      </c>
      <c r="EE37" s="508">
        <v>604.48</v>
      </c>
      <c r="EF37" s="509">
        <v>590</v>
      </c>
      <c r="EG37" s="289"/>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row>
    <row r="38" spans="1:169" s="510" customFormat="1" ht="12" customHeight="1" thickBot="1" x14ac:dyDescent="0.3">
      <c r="A38" s="512"/>
      <c r="B38" s="1492"/>
      <c r="C38" s="441" t="s">
        <v>425</v>
      </c>
      <c r="D38" s="440">
        <f t="shared" ref="D38:AI38" si="34">D37*D10</f>
        <v>1348.4880000000001</v>
      </c>
      <c r="E38" s="489">
        <f t="shared" si="34"/>
        <v>1522.6672500000002</v>
      </c>
      <c r="F38" s="489">
        <f t="shared" si="34"/>
        <v>1738.5899999999997</v>
      </c>
      <c r="G38" s="489">
        <f t="shared" si="34"/>
        <v>1968.62625</v>
      </c>
      <c r="H38" s="441">
        <f t="shared" si="34"/>
        <v>2137.5040000000004</v>
      </c>
      <c r="I38" s="440">
        <f t="shared" si="34"/>
        <v>437</v>
      </c>
      <c r="J38" s="489">
        <f t="shared" si="34"/>
        <v>505.67</v>
      </c>
      <c r="K38" s="489">
        <f t="shared" si="34"/>
        <v>590.16000000000008</v>
      </c>
      <c r="L38" s="489">
        <f t="shared" si="34"/>
        <v>859.51066666666657</v>
      </c>
      <c r="M38" s="441">
        <f t="shared" si="34"/>
        <v>979.8450980392156</v>
      </c>
      <c r="N38" s="440">
        <f t="shared" si="34"/>
        <v>735.79999999999984</v>
      </c>
      <c r="O38" s="489">
        <f t="shared" si="34"/>
        <v>866.3599999999999</v>
      </c>
      <c r="P38" s="489">
        <f t="shared" si="34"/>
        <v>1002.765</v>
      </c>
      <c r="Q38" s="489">
        <f t="shared" si="34"/>
        <v>1237.1449999999998</v>
      </c>
      <c r="R38" s="441">
        <f t="shared" si="34"/>
        <v>1496.7599999999998</v>
      </c>
      <c r="S38" s="440">
        <f t="shared" si="34"/>
        <v>655.49999999999977</v>
      </c>
      <c r="T38" s="489">
        <f t="shared" si="34"/>
        <v>771.40000000000032</v>
      </c>
      <c r="U38" s="489">
        <f t="shared" si="34"/>
        <v>809.39999999999986</v>
      </c>
      <c r="V38" s="489">
        <f t="shared" si="34"/>
        <v>834.48</v>
      </c>
      <c r="W38" s="441">
        <f t="shared" si="34"/>
        <v>859.93999999999994</v>
      </c>
      <c r="X38" s="440">
        <f t="shared" si="34"/>
        <v>544.72299999999996</v>
      </c>
      <c r="Y38" s="489">
        <f t="shared" si="34"/>
        <v>636.0342857142856</v>
      </c>
      <c r="Z38" s="489">
        <f t="shared" si="34"/>
        <v>746.03571428571411</v>
      </c>
      <c r="AA38" s="489">
        <f t="shared" si="34"/>
        <v>1016.1807142857141</v>
      </c>
      <c r="AB38" s="441">
        <f t="shared" si="34"/>
        <v>1121.4479999999999</v>
      </c>
      <c r="AC38" s="440">
        <f t="shared" si="34"/>
        <v>645.80999999999995</v>
      </c>
      <c r="AD38" s="489">
        <f t="shared" si="34"/>
        <v>893.97863013698588</v>
      </c>
      <c r="AE38" s="489">
        <f t="shared" si="34"/>
        <v>1251.5932312651084</v>
      </c>
      <c r="AF38" s="489">
        <f t="shared" si="34"/>
        <v>1636.2279452054793</v>
      </c>
      <c r="AG38" s="441">
        <f t="shared" si="34"/>
        <v>1860.0525000000002</v>
      </c>
      <c r="AH38" s="440">
        <f t="shared" si="34"/>
        <v>274.09066666666666</v>
      </c>
      <c r="AI38" s="489">
        <f t="shared" si="34"/>
        <v>366.59133333333335</v>
      </c>
      <c r="AJ38" s="489">
        <f t="shared" ref="AJ38:BO38" si="35">AJ37*AJ10</f>
        <v>484.78933333333339</v>
      </c>
      <c r="AK38" s="489">
        <f t="shared" si="35"/>
        <v>643.25133333333326</v>
      </c>
      <c r="AL38" s="441">
        <f t="shared" si="35"/>
        <v>839.37333333333333</v>
      </c>
      <c r="AM38" s="440">
        <f t="shared" si="35"/>
        <v>316.86857142857144</v>
      </c>
      <c r="AN38" s="489">
        <f t="shared" si="35"/>
        <v>397.71619047619038</v>
      </c>
      <c r="AO38" s="489">
        <f t="shared" si="35"/>
        <v>531.74523809523805</v>
      </c>
      <c r="AP38" s="489">
        <f t="shared" si="35"/>
        <v>699.27928571428561</v>
      </c>
      <c r="AQ38" s="441">
        <f t="shared" si="35"/>
        <v>825.78590476190482</v>
      </c>
      <c r="AR38" s="440">
        <f t="shared" si="35"/>
        <v>657.51400000000001</v>
      </c>
      <c r="AS38" s="489">
        <f t="shared" si="35"/>
        <v>730.58562500000005</v>
      </c>
      <c r="AT38" s="489">
        <f t="shared" si="35"/>
        <v>835.33500000000015</v>
      </c>
      <c r="AU38" s="489">
        <f t="shared" si="35"/>
        <v>935.82125000000019</v>
      </c>
      <c r="AV38" s="441">
        <f t="shared" si="35"/>
        <v>1011.3130000000001</v>
      </c>
      <c r="AW38" s="440">
        <f t="shared" si="35"/>
        <v>1048.2299999999996</v>
      </c>
      <c r="AX38" s="489">
        <f t="shared" si="35"/>
        <v>1250.61904109589</v>
      </c>
      <c r="AY38" s="489">
        <f t="shared" si="35"/>
        <v>1523.5948428686536</v>
      </c>
      <c r="AZ38" s="489">
        <f t="shared" si="35"/>
        <v>1770.466849315068</v>
      </c>
      <c r="BA38" s="441">
        <f t="shared" si="35"/>
        <v>1970.7749999999992</v>
      </c>
      <c r="BB38" s="440">
        <f t="shared" si="35"/>
        <v>241.28339999999997</v>
      </c>
      <c r="BC38" s="489">
        <f t="shared" si="35"/>
        <v>284.35666666666663</v>
      </c>
      <c r="BD38" s="441">
        <f t="shared" si="35"/>
        <v>351.34513333333337</v>
      </c>
      <c r="BE38" s="440">
        <f t="shared" si="35"/>
        <v>627.27</v>
      </c>
      <c r="BF38" s="489">
        <f t="shared" si="35"/>
        <v>595.77499999999998</v>
      </c>
      <c r="BG38" s="441">
        <f t="shared" si="35"/>
        <v>1428.7999999999997</v>
      </c>
      <c r="BH38" s="440">
        <f t="shared" si="35"/>
        <v>521.64</v>
      </c>
      <c r="BI38" s="489">
        <f t="shared" si="35"/>
        <v>695.94</v>
      </c>
      <c r="BJ38" s="489">
        <f t="shared" si="35"/>
        <v>800.94</v>
      </c>
      <c r="BK38" s="489">
        <f t="shared" si="35"/>
        <v>905.94</v>
      </c>
      <c r="BL38" s="441">
        <f t="shared" si="35"/>
        <v>1114.5599999999997</v>
      </c>
      <c r="BM38" s="440">
        <f t="shared" si="35"/>
        <v>446.19399999999996</v>
      </c>
      <c r="BN38" s="489">
        <f t="shared" si="35"/>
        <v>638.29048</v>
      </c>
      <c r="BO38" s="489">
        <f t="shared" si="35"/>
        <v>1026.6800000000003</v>
      </c>
      <c r="BP38" s="489">
        <f t="shared" ref="BP38:CU38" si="36">BP37*BP10</f>
        <v>1367.5842400000001</v>
      </c>
      <c r="BQ38" s="441">
        <f t="shared" si="36"/>
        <v>1887.5740000000001</v>
      </c>
      <c r="BR38" s="440">
        <f t="shared" si="36"/>
        <v>787.19999999999993</v>
      </c>
      <c r="BS38" s="489">
        <f t="shared" si="36"/>
        <v>911.3</v>
      </c>
      <c r="BT38" s="489">
        <f t="shared" si="36"/>
        <v>1107.3999999999999</v>
      </c>
      <c r="BU38" s="489">
        <f t="shared" si="36"/>
        <v>1321.5</v>
      </c>
      <c r="BV38" s="441">
        <f t="shared" si="36"/>
        <v>1481.6</v>
      </c>
      <c r="BW38" s="440">
        <f t="shared" si="36"/>
        <v>123.15300000000001</v>
      </c>
      <c r="BX38" s="489">
        <f t="shared" si="36"/>
        <v>376.22227999999984</v>
      </c>
      <c r="BY38" s="489">
        <f t="shared" si="36"/>
        <v>552.06907499999988</v>
      </c>
      <c r="BZ38" s="489">
        <f t="shared" si="36"/>
        <v>682.83551999999997</v>
      </c>
      <c r="CA38" s="441">
        <f t="shared" si="36"/>
        <v>842.67585000000008</v>
      </c>
      <c r="CB38" s="440">
        <f t="shared" si="36"/>
        <v>297</v>
      </c>
      <c r="CC38" s="489">
        <f t="shared" si="36"/>
        <v>435.59999999999997</v>
      </c>
      <c r="CD38" s="489">
        <f t="shared" si="36"/>
        <v>671.85</v>
      </c>
      <c r="CE38" s="489">
        <f t="shared" si="36"/>
        <v>962.1</v>
      </c>
      <c r="CF38" s="441">
        <f t="shared" si="36"/>
        <v>897</v>
      </c>
      <c r="CG38" s="440">
        <f t="shared" si="36"/>
        <v>22088.400000000001</v>
      </c>
      <c r="CH38" s="489">
        <f t="shared" si="36"/>
        <v>24680.2</v>
      </c>
      <c r="CI38" s="441">
        <f t="shared" si="36"/>
        <v>27159.4</v>
      </c>
      <c r="CJ38" s="440">
        <f t="shared" si="36"/>
        <v>2015.9999999999995</v>
      </c>
      <c r="CK38" s="489">
        <f t="shared" si="36"/>
        <v>2198.0999999999995</v>
      </c>
      <c r="CL38" s="441">
        <f t="shared" si="36"/>
        <v>2487.1</v>
      </c>
      <c r="CM38" s="440">
        <f t="shared" si="36"/>
        <v>2936.1166818596166</v>
      </c>
      <c r="CN38" s="489">
        <f t="shared" si="36"/>
        <v>3101.8302799505964</v>
      </c>
      <c r="CO38" s="441">
        <f t="shared" si="36"/>
        <v>3361.2402411454405</v>
      </c>
      <c r="CP38" s="440">
        <f t="shared" si="36"/>
        <v>19488.999999999996</v>
      </c>
      <c r="CQ38" s="489">
        <f t="shared" si="36"/>
        <v>21024.5</v>
      </c>
      <c r="CR38" s="441">
        <f t="shared" si="36"/>
        <v>22762.6</v>
      </c>
      <c r="CS38" s="440">
        <f t="shared" si="36"/>
        <v>3911.8749999999995</v>
      </c>
      <c r="CT38" s="441">
        <f t="shared" si="36"/>
        <v>4337.5</v>
      </c>
      <c r="CU38" s="441">
        <f t="shared" si="36"/>
        <v>4763.1250000000009</v>
      </c>
      <c r="CV38" s="551"/>
      <c r="CW38" s="552"/>
      <c r="CX38" s="895">
        <f t="shared" ref="CX38:CZ38" si="37">CX37*CX10</f>
        <v>2060</v>
      </c>
      <c r="CY38" s="896">
        <f t="shared" si="37"/>
        <v>2190</v>
      </c>
      <c r="CZ38" s="913">
        <f t="shared" si="37"/>
        <v>2139</v>
      </c>
      <c r="DA38" s="895">
        <f t="shared" ref="DA38" si="38">DA37*DA10</f>
        <v>1665</v>
      </c>
      <c r="DB38" s="896">
        <f t="shared" ref="DB38" si="39">DB37*DB10</f>
        <v>1803.75</v>
      </c>
      <c r="DC38" s="913">
        <f t="shared" ref="DC38" si="40">DC37*DC10</f>
        <v>1942.4999999999998</v>
      </c>
      <c r="DD38" s="895">
        <f t="shared" ref="DD38" si="41">DD37*DD10</f>
        <v>560</v>
      </c>
      <c r="DE38" s="896">
        <f t="shared" ref="DE38" si="42">DE37*DE10</f>
        <v>613.33333333333326</v>
      </c>
      <c r="DF38" s="913">
        <f t="shared" ref="DF38" si="43">DF37*DF10</f>
        <v>773.33333333333326</v>
      </c>
      <c r="DG38" s="895">
        <f t="shared" ref="DG38" si="44">DG37*DG10</f>
        <v>221.25</v>
      </c>
      <c r="DH38" s="896">
        <f t="shared" ref="DH38" si="45">DH37*DH10</f>
        <v>243.75</v>
      </c>
      <c r="DI38" s="913">
        <f t="shared" ref="DI38" si="46">DI37*DI10</f>
        <v>393.75</v>
      </c>
      <c r="DJ38" s="895">
        <f t="shared" ref="DJ38" si="47">DJ37*DJ10</f>
        <v>640</v>
      </c>
      <c r="DK38" s="896">
        <f t="shared" ref="DK38" si="48">DK37*DK10</f>
        <v>780.80000000000007</v>
      </c>
      <c r="DL38" s="913">
        <f t="shared" ref="DL38" si="49">DL37*DL10</f>
        <v>1280</v>
      </c>
      <c r="DM38" s="895">
        <f t="shared" ref="DM38" si="50">DM37*DM10</f>
        <v>411.75519999999995</v>
      </c>
      <c r="DN38" s="896">
        <f t="shared" ref="DN38" si="51">DN37*DN10</f>
        <v>450.28631999999999</v>
      </c>
      <c r="DO38" s="913">
        <f t="shared" ref="DO38" si="52">DO37*DO10</f>
        <v>487.2</v>
      </c>
      <c r="DP38" s="895">
        <f t="shared" ref="DP38" si="53">DP37*DP10</f>
        <v>411.58000000000004</v>
      </c>
      <c r="DQ38" s="896">
        <f t="shared" ref="DQ38" si="54">DQ37*DQ10</f>
        <v>437.56360000000006</v>
      </c>
      <c r="DR38" s="913">
        <f t="shared" ref="DR38" si="55">DR37*DR10</f>
        <v>340.20000000000005</v>
      </c>
      <c r="DS38" s="238"/>
      <c r="DT38" s="238"/>
      <c r="DU38" s="588"/>
      <c r="DV38" s="594" t="s">
        <v>425</v>
      </c>
      <c r="DW38" s="595">
        <f>DW37*DW43</f>
        <v>1800.6062499999998</v>
      </c>
      <c r="DX38" s="511">
        <f t="shared" ref="DX38:EF38" si="56">DX37*DX43</f>
        <v>1908.4</v>
      </c>
      <c r="DY38" s="511">
        <f t="shared" si="56"/>
        <v>1925.7</v>
      </c>
      <c r="DZ38" s="511">
        <f t="shared" si="56"/>
        <v>1935.56</v>
      </c>
      <c r="EA38" s="558">
        <f t="shared" si="56"/>
        <v>1912.3500000000001</v>
      </c>
      <c r="EB38" s="511">
        <f t="shared" si="56"/>
        <v>1557.2839999999997</v>
      </c>
      <c r="EC38" s="511">
        <f t="shared" si="56"/>
        <v>1573.7280000000001</v>
      </c>
      <c r="ED38" s="511">
        <f t="shared" si="56"/>
        <v>1558.8999999999999</v>
      </c>
      <c r="EE38" s="511">
        <f t="shared" si="56"/>
        <v>1571.6480000000001</v>
      </c>
      <c r="EF38" s="558">
        <f t="shared" si="56"/>
        <v>1593</v>
      </c>
      <c r="EG38" s="534"/>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row>
    <row r="39" spans="1:169" s="490" customFormat="1" ht="11" thickBot="1" x14ac:dyDescent="0.3">
      <c r="A39" s="513"/>
      <c r="B39" s="159"/>
      <c r="C39" s="497"/>
      <c r="D39" s="499"/>
      <c r="E39" s="498"/>
      <c r="F39" s="498"/>
      <c r="G39" s="498"/>
      <c r="H39" s="497"/>
      <c r="I39" s="499"/>
      <c r="J39" s="498"/>
      <c r="K39" s="498"/>
      <c r="L39" s="498"/>
      <c r="M39" s="497"/>
      <c r="N39" s="499"/>
      <c r="O39" s="498"/>
      <c r="P39" s="498"/>
      <c r="Q39" s="498"/>
      <c r="R39" s="497"/>
      <c r="S39" s="499"/>
      <c r="T39" s="498"/>
      <c r="U39" s="498"/>
      <c r="V39" s="498"/>
      <c r="W39" s="497"/>
      <c r="X39" s="499"/>
      <c r="Y39" s="498"/>
      <c r="Z39" s="498"/>
      <c r="AA39" s="498"/>
      <c r="AB39" s="497"/>
      <c r="AC39" s="499"/>
      <c r="AD39" s="498"/>
      <c r="AE39" s="498"/>
      <c r="AF39" s="498"/>
      <c r="AG39" s="497"/>
      <c r="AH39" s="499"/>
      <c r="AI39" s="498"/>
      <c r="AJ39" s="498"/>
      <c r="AK39" s="498"/>
      <c r="AL39" s="497"/>
      <c r="AM39" s="499"/>
      <c r="AN39" s="498"/>
      <c r="AO39" s="498"/>
      <c r="AP39" s="498"/>
      <c r="AQ39" s="497"/>
      <c r="AR39" s="499"/>
      <c r="AS39" s="498"/>
      <c r="AT39" s="498"/>
      <c r="AU39" s="498"/>
      <c r="AV39" s="497"/>
      <c r="AW39" s="499"/>
      <c r="AX39" s="498"/>
      <c r="AY39" s="498"/>
      <c r="AZ39" s="498"/>
      <c r="BA39" s="497"/>
      <c r="BB39" s="499"/>
      <c r="BC39" s="498"/>
      <c r="BD39" s="497"/>
      <c r="BE39" s="499"/>
      <c r="BF39" s="498"/>
      <c r="BG39" s="497"/>
      <c r="BH39" s="499"/>
      <c r="BI39" s="498"/>
      <c r="BJ39" s="498"/>
      <c r="BK39" s="498"/>
      <c r="BL39" s="497"/>
      <c r="BM39" s="499"/>
      <c r="BN39" s="498"/>
      <c r="BO39" s="498"/>
      <c r="BP39" s="498"/>
      <c r="BQ39" s="497"/>
      <c r="BR39" s="499"/>
      <c r="BS39" s="498"/>
      <c r="BT39" s="498"/>
      <c r="BU39" s="498"/>
      <c r="BV39" s="497"/>
      <c r="BW39" s="499"/>
      <c r="BX39" s="498"/>
      <c r="BY39" s="498"/>
      <c r="BZ39" s="498"/>
      <c r="CA39" s="497"/>
      <c r="CB39" s="499"/>
      <c r="CC39" s="498"/>
      <c r="CD39" s="498"/>
      <c r="CE39" s="498"/>
      <c r="CF39" s="497"/>
      <c r="CG39" s="499"/>
      <c r="CH39" s="498"/>
      <c r="CI39" s="497"/>
      <c r="CJ39" s="499"/>
      <c r="CK39" s="498"/>
      <c r="CL39" s="497"/>
      <c r="CM39" s="499"/>
      <c r="CN39" s="498"/>
      <c r="CO39" s="497"/>
      <c r="CP39" s="499"/>
      <c r="CQ39" s="500"/>
      <c r="CR39" s="497"/>
      <c r="CS39" s="499"/>
      <c r="CT39" s="450"/>
      <c r="CU39" s="497"/>
      <c r="CV39" s="548"/>
      <c r="CW39" s="549"/>
      <c r="CX39" s="868"/>
      <c r="CY39" s="869"/>
      <c r="CZ39" s="870"/>
      <c r="DA39" s="868"/>
      <c r="DB39" s="869"/>
      <c r="DC39" s="870"/>
      <c r="DD39" s="868"/>
      <c r="DE39" s="869"/>
      <c r="DF39" s="870"/>
      <c r="DG39" s="868"/>
      <c r="DH39" s="869"/>
      <c r="DI39" s="870"/>
      <c r="DJ39" s="868"/>
      <c r="DK39" s="869"/>
      <c r="DL39" s="870"/>
      <c r="DM39" s="868"/>
      <c r="DN39" s="869"/>
      <c r="DO39" s="870"/>
      <c r="DP39" s="868"/>
      <c r="DQ39" s="869"/>
      <c r="DR39" s="870"/>
      <c r="DS39" s="238"/>
      <c r="DT39" s="238"/>
      <c r="DU39" s="589"/>
      <c r="DV39" s="557"/>
      <c r="DW39" s="556"/>
      <c r="EA39" s="557"/>
      <c r="EF39" s="557"/>
      <c r="EG39" s="289"/>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row>
    <row r="40" spans="1:169" s="45" customFormat="1" x14ac:dyDescent="0.25">
      <c r="A40" s="238"/>
      <c r="B40" s="48" t="s">
        <v>513</v>
      </c>
      <c r="C40" s="19"/>
      <c r="D40" s="29"/>
      <c r="E40" s="18"/>
      <c r="F40" s="18"/>
      <c r="G40" s="18"/>
      <c r="H40" s="19"/>
      <c r="I40" s="29"/>
      <c r="J40" s="18"/>
      <c r="K40" s="18"/>
      <c r="L40" s="18"/>
      <c r="M40" s="19"/>
      <c r="N40" s="29"/>
      <c r="O40" s="18"/>
      <c r="P40" s="18"/>
      <c r="Q40" s="18"/>
      <c r="R40" s="19"/>
      <c r="S40" s="29"/>
      <c r="T40" s="18"/>
      <c r="U40" s="18"/>
      <c r="V40" s="18"/>
      <c r="W40" s="19"/>
      <c r="X40" s="29"/>
      <c r="Y40" s="18"/>
      <c r="Z40" s="18"/>
      <c r="AA40" s="18"/>
      <c r="AB40" s="19"/>
      <c r="AC40" s="29"/>
      <c r="AD40" s="18"/>
      <c r="AE40" s="18"/>
      <c r="AF40" s="18"/>
      <c r="AG40" s="19"/>
      <c r="AH40" s="29"/>
      <c r="AI40" s="18"/>
      <c r="AJ40" s="18"/>
      <c r="AK40" s="18"/>
      <c r="AL40" s="19"/>
      <c r="AM40" s="29"/>
      <c r="AN40" s="18"/>
      <c r="AO40" s="18"/>
      <c r="AP40" s="18"/>
      <c r="AQ40" s="19"/>
      <c r="AR40" s="29"/>
      <c r="AS40" s="18"/>
      <c r="AT40" s="18"/>
      <c r="AU40" s="18"/>
      <c r="AV40" s="19"/>
      <c r="AW40" s="29"/>
      <c r="AX40" s="18"/>
      <c r="AY40" s="18"/>
      <c r="AZ40" s="18"/>
      <c r="BA40" s="19"/>
      <c r="BB40" s="29"/>
      <c r="BC40" s="18"/>
      <c r="BD40" s="19"/>
      <c r="BE40" s="29"/>
      <c r="BF40" s="18"/>
      <c r="BG40" s="19"/>
      <c r="BH40" s="29"/>
      <c r="BI40" s="18"/>
      <c r="BJ40" s="21"/>
      <c r="BK40" s="18"/>
      <c r="BL40" s="19"/>
      <c r="BM40" s="29"/>
      <c r="BN40" s="18"/>
      <c r="BO40" s="18"/>
      <c r="BP40" s="18"/>
      <c r="BQ40" s="19"/>
      <c r="BR40" s="29"/>
      <c r="BS40" s="18"/>
      <c r="BT40" s="18"/>
      <c r="BU40" s="18"/>
      <c r="BV40" s="19"/>
      <c r="BW40" s="29"/>
      <c r="BX40" s="18"/>
      <c r="BY40" s="18"/>
      <c r="BZ40" s="18"/>
      <c r="CA40" s="19"/>
      <c r="CB40" s="29"/>
      <c r="CC40" s="18"/>
      <c r="CD40" s="18"/>
      <c r="CE40" s="18"/>
      <c r="CF40" s="19"/>
      <c r="CG40" s="29"/>
      <c r="CH40" s="18"/>
      <c r="CI40" s="19"/>
      <c r="CJ40" s="29"/>
      <c r="CK40" s="18"/>
      <c r="CL40" s="19"/>
      <c r="CM40" s="29"/>
      <c r="CN40" s="18"/>
      <c r="CO40" s="19"/>
      <c r="CP40" s="29"/>
      <c r="CQ40" s="17"/>
      <c r="CR40" s="19"/>
      <c r="CS40" s="29"/>
      <c r="CT40" s="25"/>
      <c r="CU40" s="19"/>
      <c r="CV40" s="545"/>
      <c r="CW40" s="549"/>
      <c r="CX40" s="847"/>
      <c r="CY40" s="848"/>
      <c r="CZ40" s="849"/>
      <c r="DA40" s="847"/>
      <c r="DB40" s="848"/>
      <c r="DC40" s="849"/>
      <c r="DD40" s="847"/>
      <c r="DE40" s="848"/>
      <c r="DF40" s="849"/>
      <c r="DG40" s="847"/>
      <c r="DH40" s="848"/>
      <c r="DI40" s="849"/>
      <c r="DJ40" s="847"/>
      <c r="DK40" s="848"/>
      <c r="DL40" s="849"/>
      <c r="DM40" s="847"/>
      <c r="DN40" s="848"/>
      <c r="DO40" s="849"/>
      <c r="DP40" s="847"/>
      <c r="DQ40" s="848"/>
      <c r="DR40" s="849"/>
      <c r="DS40" s="238"/>
      <c r="DT40" s="238"/>
      <c r="DU40" s="611" t="s">
        <v>514</v>
      </c>
      <c r="DV40" s="506" t="s">
        <v>472</v>
      </c>
      <c r="DW40" s="612">
        <v>938.8777380952381</v>
      </c>
      <c r="DX40" s="613">
        <v>1092.421951219512</v>
      </c>
      <c r="DY40" s="613">
        <v>1219.8277777777776</v>
      </c>
      <c r="DZ40" s="613">
        <v>1348.9559823155566</v>
      </c>
      <c r="EA40" s="614">
        <v>1547.8936879432622</v>
      </c>
      <c r="EB40" s="613">
        <v>1020.4382926829269</v>
      </c>
      <c r="EC40" s="613">
        <v>1105.2674999999999</v>
      </c>
      <c r="ED40" s="613">
        <v>1209.3516702741704</v>
      </c>
      <c r="EE40" s="613">
        <v>1300.2853105232894</v>
      </c>
      <c r="EF40" s="614">
        <v>1361.1595744680851</v>
      </c>
      <c r="EG40" s="534"/>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row>
    <row r="41" spans="1:169" s="45" customFormat="1" ht="11" thickBot="1" x14ac:dyDescent="0.3">
      <c r="A41" s="238"/>
      <c r="B41" s="463" t="s">
        <v>515</v>
      </c>
      <c r="C41" s="19" t="s">
        <v>458</v>
      </c>
      <c r="D41" s="20">
        <v>339.56594279999996</v>
      </c>
      <c r="E41" s="21">
        <v>323.39613600000001</v>
      </c>
      <c r="F41" s="21">
        <v>307.99632000000003</v>
      </c>
      <c r="G41" s="21">
        <v>292.59650399999998</v>
      </c>
      <c r="H41" s="22">
        <v>277.96667880000001</v>
      </c>
      <c r="I41" s="20">
        <v>47.73</v>
      </c>
      <c r="J41" s="21">
        <v>44.4</v>
      </c>
      <c r="K41" s="21">
        <v>39.96</v>
      </c>
      <c r="L41" s="21">
        <v>33.250500000000002</v>
      </c>
      <c r="M41" s="22">
        <v>29.97</v>
      </c>
      <c r="N41" s="20">
        <v>73.5</v>
      </c>
      <c r="O41" s="21">
        <v>70.56</v>
      </c>
      <c r="P41" s="21">
        <v>66.150000000000006</v>
      </c>
      <c r="Q41" s="21">
        <v>61.74</v>
      </c>
      <c r="R41" s="22">
        <v>58.8</v>
      </c>
      <c r="S41" s="20">
        <v>16.125</v>
      </c>
      <c r="T41" s="21">
        <v>16.125</v>
      </c>
      <c r="U41" s="21">
        <v>15.75</v>
      </c>
      <c r="V41" s="21">
        <v>15</v>
      </c>
      <c r="W41" s="22">
        <v>15</v>
      </c>
      <c r="X41" s="20">
        <v>80.64</v>
      </c>
      <c r="Y41" s="21">
        <v>75.989999999999995</v>
      </c>
      <c r="Z41" s="21">
        <v>69.284999999999997</v>
      </c>
      <c r="AA41" s="21">
        <v>62.832000000000001</v>
      </c>
      <c r="AB41" s="22">
        <v>58.24</v>
      </c>
      <c r="AC41" s="20">
        <v>144.05000000000001</v>
      </c>
      <c r="AD41" s="21">
        <v>139.75</v>
      </c>
      <c r="AE41" s="21">
        <v>132.30000000000001</v>
      </c>
      <c r="AF41" s="21">
        <v>108</v>
      </c>
      <c r="AG41" s="22">
        <v>104</v>
      </c>
      <c r="AH41" s="20">
        <v>50.625</v>
      </c>
      <c r="AI41" s="21">
        <v>46.41</v>
      </c>
      <c r="AJ41" s="21">
        <v>41.99</v>
      </c>
      <c r="AK41" s="21">
        <v>35.36</v>
      </c>
      <c r="AL41" s="22">
        <v>30.8</v>
      </c>
      <c r="AM41" s="20">
        <v>81</v>
      </c>
      <c r="AN41" s="21">
        <v>77.048850000000002</v>
      </c>
      <c r="AO41" s="21">
        <v>70.348950000000002</v>
      </c>
      <c r="AP41" s="21">
        <v>63.874200000000002</v>
      </c>
      <c r="AQ41" s="22">
        <v>61.05</v>
      </c>
      <c r="AR41" s="20">
        <v>33.6</v>
      </c>
      <c r="AS41" s="21">
        <v>33.6</v>
      </c>
      <c r="AT41" s="21">
        <v>33.6</v>
      </c>
      <c r="AU41" s="21">
        <v>33.6</v>
      </c>
      <c r="AV41" s="22">
        <v>33.6</v>
      </c>
      <c r="AW41" s="20">
        <v>161.25</v>
      </c>
      <c r="AX41" s="21">
        <v>161.25</v>
      </c>
      <c r="AY41" s="21">
        <v>157.5</v>
      </c>
      <c r="AZ41" s="21">
        <v>153.75</v>
      </c>
      <c r="BA41" s="22">
        <v>150</v>
      </c>
      <c r="BB41" s="20">
        <v>37.125</v>
      </c>
      <c r="BC41" s="21">
        <v>35.36</v>
      </c>
      <c r="BD41" s="22">
        <v>35.36</v>
      </c>
      <c r="BE41" s="20">
        <v>77.400000000000006</v>
      </c>
      <c r="BF41" s="21">
        <v>75.599999999999994</v>
      </c>
      <c r="BG41" s="22">
        <v>75.599999999999994</v>
      </c>
      <c r="BH41" s="20">
        <v>3.15</v>
      </c>
      <c r="BI41" s="21">
        <v>2.7930000000000001</v>
      </c>
      <c r="BJ41" s="21">
        <v>2.94</v>
      </c>
      <c r="BK41" s="21">
        <v>2.8140000000000001</v>
      </c>
      <c r="BL41" s="22">
        <v>2.52</v>
      </c>
      <c r="BM41" s="20">
        <v>14.539</v>
      </c>
      <c r="BN41" s="21">
        <v>14.075828999999997</v>
      </c>
      <c r="BO41" s="21">
        <v>13.396649999999999</v>
      </c>
      <c r="BP41" s="21">
        <v>12.856629999999999</v>
      </c>
      <c r="BQ41" s="22">
        <v>12.462</v>
      </c>
      <c r="BR41" s="20">
        <v>3</v>
      </c>
      <c r="BS41" s="21">
        <v>3.0870000000000002</v>
      </c>
      <c r="BT41" s="21">
        <v>2.94</v>
      </c>
      <c r="BU41" s="21">
        <v>2.7930000000000001</v>
      </c>
      <c r="BV41" s="22">
        <v>3</v>
      </c>
      <c r="BW41" s="20">
        <v>11.25</v>
      </c>
      <c r="BX41" s="21">
        <v>11.25</v>
      </c>
      <c r="BY41" s="21">
        <v>11.25</v>
      </c>
      <c r="BZ41" s="21">
        <v>11.25</v>
      </c>
      <c r="CA41" s="22">
        <v>11.25</v>
      </c>
      <c r="CB41" s="20">
        <v>5.4</v>
      </c>
      <c r="CC41" s="21">
        <v>5.4</v>
      </c>
      <c r="CD41" s="21">
        <v>5.4</v>
      </c>
      <c r="CE41" s="21">
        <v>5.4</v>
      </c>
      <c r="CF41" s="22">
        <v>5.4</v>
      </c>
      <c r="CG41" s="20">
        <v>791.7</v>
      </c>
      <c r="CH41" s="21">
        <v>763.8</v>
      </c>
      <c r="CI41" s="22">
        <v>705.23599999999999</v>
      </c>
      <c r="CJ41" s="20">
        <v>60.647999999999996</v>
      </c>
      <c r="CK41" s="21">
        <v>60.368000000000002</v>
      </c>
      <c r="CL41" s="22">
        <v>48.72</v>
      </c>
      <c r="CM41" s="20">
        <v>96.732776663628073</v>
      </c>
      <c r="CN41" s="21">
        <v>91.813039110745166</v>
      </c>
      <c r="CO41" s="22">
        <v>75.29256970610399</v>
      </c>
      <c r="CP41" s="24">
        <v>13.225</v>
      </c>
      <c r="CQ41" s="23">
        <v>13.225</v>
      </c>
      <c r="CR41" s="25">
        <v>13.225</v>
      </c>
      <c r="CS41" s="24">
        <v>2.4645000000000001</v>
      </c>
      <c r="CT41" s="25">
        <v>2.0429999999999997</v>
      </c>
      <c r="CU41" s="25">
        <v>1.6471999999999998</v>
      </c>
      <c r="CV41" s="545"/>
      <c r="CW41" s="533"/>
      <c r="CX41" s="847">
        <f>CX30*400/1000</f>
        <v>648</v>
      </c>
      <c r="CY41" s="848">
        <f>CY30*400/1000</f>
        <v>600</v>
      </c>
      <c r="CZ41" s="861" t="e">
        <f>CZ30*CZ31/1000</f>
        <v>#DIV/0!</v>
      </c>
      <c r="DA41" s="860">
        <f t="shared" ref="DA41:DB41" si="57">DA30*400/1000</f>
        <v>146</v>
      </c>
      <c r="DB41" s="628">
        <f t="shared" si="57"/>
        <v>140</v>
      </c>
      <c r="DC41" s="861" t="e">
        <f>DC30*DC31/1000</f>
        <v>#DIV/0!</v>
      </c>
      <c r="DD41" s="884">
        <v>30</v>
      </c>
      <c r="DE41" s="885">
        <v>25</v>
      </c>
      <c r="DF41" s="886">
        <v>12</v>
      </c>
      <c r="DG41" s="884">
        <v>15</v>
      </c>
      <c r="DH41" s="885">
        <v>16</v>
      </c>
      <c r="DI41" s="886">
        <v>25</v>
      </c>
      <c r="DJ41" s="884">
        <v>60</v>
      </c>
      <c r="DK41" s="885">
        <v>70</v>
      </c>
      <c r="DL41" s="886">
        <v>90</v>
      </c>
      <c r="DM41" s="884">
        <v>9</v>
      </c>
      <c r="DN41" s="885">
        <v>8</v>
      </c>
      <c r="DO41" s="886">
        <v>7</v>
      </c>
      <c r="DP41" s="884">
        <v>15</v>
      </c>
      <c r="DQ41" s="904">
        <v>12.408683164062499</v>
      </c>
      <c r="DR41" s="886">
        <v>13</v>
      </c>
      <c r="DS41" s="238"/>
      <c r="DT41" s="238"/>
      <c r="DU41" s="615" t="s">
        <v>516</v>
      </c>
      <c r="DV41" s="557"/>
      <c r="DW41" s="595">
        <f>DW40*DW45</f>
        <v>1783.8677023809523</v>
      </c>
      <c r="DX41" s="511">
        <f t="shared" ref="DX41:EA41" si="58">DX40*DX45</f>
        <v>2184.8439024390241</v>
      </c>
      <c r="DY41" s="511">
        <f>DY40*DY45</f>
        <v>2561.6383333333329</v>
      </c>
      <c r="DZ41" s="511">
        <f t="shared" si="58"/>
        <v>2967.7031610942249</v>
      </c>
      <c r="EA41" s="558">
        <f t="shared" si="58"/>
        <v>3405.3661134751769</v>
      </c>
      <c r="EB41" s="511">
        <f>EB40*EB43</f>
        <v>2347.0080731707317</v>
      </c>
      <c r="EC41" s="511">
        <f t="shared" ref="EC41:EF41" si="59">EC40*EC43</f>
        <v>2652.6419999999998</v>
      </c>
      <c r="ED41" s="511">
        <f t="shared" si="59"/>
        <v>3023.3791756854262</v>
      </c>
      <c r="EE41" s="511">
        <f t="shared" si="59"/>
        <v>3380.7418073605522</v>
      </c>
      <c r="EF41" s="558">
        <f t="shared" si="59"/>
        <v>3675.1308510638301</v>
      </c>
      <c r="EG41" s="534"/>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row>
    <row r="42" spans="1:169" s="45" customFormat="1" x14ac:dyDescent="0.25">
      <c r="A42" s="238"/>
      <c r="B42" s="463" t="s">
        <v>517</v>
      </c>
      <c r="C42" s="19" t="s">
        <v>458</v>
      </c>
      <c r="D42" s="29"/>
      <c r="E42" s="21"/>
      <c r="F42" s="21"/>
      <c r="G42" s="21"/>
      <c r="H42" s="22"/>
      <c r="I42" s="20">
        <v>17</v>
      </c>
      <c r="J42" s="21">
        <v>16</v>
      </c>
      <c r="K42" s="21">
        <v>14</v>
      </c>
      <c r="L42" s="21">
        <v>12</v>
      </c>
      <c r="M42" s="22">
        <v>11</v>
      </c>
      <c r="N42" s="20"/>
      <c r="O42" s="21"/>
      <c r="P42" s="21"/>
      <c r="Q42" s="21"/>
      <c r="R42" s="22"/>
      <c r="S42" s="20">
        <v>0</v>
      </c>
      <c r="T42" s="21">
        <v>0</v>
      </c>
      <c r="U42" s="21">
        <v>0</v>
      </c>
      <c r="V42" s="21">
        <v>0</v>
      </c>
      <c r="W42" s="22">
        <v>0</v>
      </c>
      <c r="X42" s="20">
        <v>27</v>
      </c>
      <c r="Y42" s="21">
        <v>24</v>
      </c>
      <c r="Z42" s="21">
        <v>22</v>
      </c>
      <c r="AA42" s="21">
        <v>18</v>
      </c>
      <c r="AB42" s="22">
        <v>15</v>
      </c>
      <c r="AC42" s="20"/>
      <c r="AD42" s="21"/>
      <c r="AE42" s="21"/>
      <c r="AF42" s="21"/>
      <c r="AG42" s="22"/>
      <c r="AH42" s="20">
        <v>17</v>
      </c>
      <c r="AI42" s="21">
        <v>16</v>
      </c>
      <c r="AJ42" s="21">
        <v>14</v>
      </c>
      <c r="AK42" s="21">
        <v>12</v>
      </c>
      <c r="AL42" s="22">
        <v>11</v>
      </c>
      <c r="AM42" s="20">
        <v>26</v>
      </c>
      <c r="AN42" s="21">
        <v>24</v>
      </c>
      <c r="AO42" s="21">
        <v>22</v>
      </c>
      <c r="AP42" s="21">
        <v>18</v>
      </c>
      <c r="AQ42" s="22">
        <v>16</v>
      </c>
      <c r="AR42" s="20"/>
      <c r="AS42" s="21"/>
      <c r="AT42" s="21"/>
      <c r="AU42" s="21"/>
      <c r="AV42" s="22"/>
      <c r="AW42" s="20"/>
      <c r="AX42" s="21"/>
      <c r="AY42" s="21"/>
      <c r="AZ42" s="21"/>
      <c r="BA42" s="22"/>
      <c r="BB42" s="20">
        <v>25</v>
      </c>
      <c r="BC42" s="21">
        <v>25</v>
      </c>
      <c r="BD42" s="22">
        <v>25</v>
      </c>
      <c r="BE42" s="20"/>
      <c r="BF42" s="21"/>
      <c r="BG42" s="22"/>
      <c r="BH42" s="20"/>
      <c r="BI42" s="21"/>
      <c r="BJ42" s="21"/>
      <c r="BK42" s="21"/>
      <c r="BL42" s="22"/>
      <c r="BM42" s="20"/>
      <c r="BN42" s="21"/>
      <c r="BO42" s="21"/>
      <c r="BP42" s="21"/>
      <c r="BQ42" s="22"/>
      <c r="BR42" s="20"/>
      <c r="BS42" s="21"/>
      <c r="BT42" s="21"/>
      <c r="BU42" s="21"/>
      <c r="BV42" s="22"/>
      <c r="BW42" s="20"/>
      <c r="BX42" s="21"/>
      <c r="BY42" s="21"/>
      <c r="BZ42" s="21"/>
      <c r="CA42" s="22"/>
      <c r="CB42" s="20"/>
      <c r="CC42" s="21"/>
      <c r="CD42" s="21"/>
      <c r="CE42" s="21"/>
      <c r="CF42" s="22"/>
      <c r="CG42" s="20"/>
      <c r="CH42" s="21"/>
      <c r="CI42" s="22"/>
      <c r="CJ42" s="20"/>
      <c r="CK42" s="21"/>
      <c r="CL42" s="22"/>
      <c r="CM42" s="20"/>
      <c r="CN42" s="21"/>
      <c r="CO42" s="22"/>
      <c r="CP42" s="24"/>
      <c r="CQ42" s="23"/>
      <c r="CR42" s="25"/>
      <c r="CS42" s="20"/>
      <c r="CT42" s="25"/>
      <c r="CU42" s="22"/>
      <c r="CV42" s="545"/>
      <c r="CW42" s="533"/>
      <c r="CX42" s="884">
        <v>100</v>
      </c>
      <c r="CY42" s="885">
        <v>90</v>
      </c>
      <c r="CZ42" s="886">
        <v>23</v>
      </c>
      <c r="DA42" s="884">
        <v>140</v>
      </c>
      <c r="DB42" s="885">
        <v>140</v>
      </c>
      <c r="DC42" s="886">
        <v>140</v>
      </c>
      <c r="DD42" s="884">
        <v>20</v>
      </c>
      <c r="DE42" s="885">
        <v>20</v>
      </c>
      <c r="DF42" s="886">
        <v>25</v>
      </c>
      <c r="DG42" s="884">
        <v>30</v>
      </c>
      <c r="DH42" s="885">
        <v>25</v>
      </c>
      <c r="DI42" s="886">
        <v>20</v>
      </c>
      <c r="DJ42" s="884">
        <v>20</v>
      </c>
      <c r="DK42" s="885">
        <v>20</v>
      </c>
      <c r="DL42" s="886">
        <v>25</v>
      </c>
      <c r="DM42" s="884">
        <v>3</v>
      </c>
      <c r="DN42" s="885">
        <v>3</v>
      </c>
      <c r="DO42" s="886">
        <v>4</v>
      </c>
      <c r="DP42" s="884">
        <v>3</v>
      </c>
      <c r="DQ42" s="885">
        <v>3</v>
      </c>
      <c r="DR42" s="886">
        <v>3</v>
      </c>
      <c r="DS42" s="238"/>
      <c r="DT42" s="238"/>
      <c r="DU42" s="583" t="s">
        <v>518</v>
      </c>
      <c r="DV42" s="147" t="s">
        <v>472</v>
      </c>
      <c r="DW42" s="137">
        <v>160.54149504195271</v>
      </c>
      <c r="DX42" s="138">
        <v>152.51442028985508</v>
      </c>
      <c r="DY42" s="138">
        <v>145.25182884748102</v>
      </c>
      <c r="DZ42" s="138">
        <v>138.64947299077733</v>
      </c>
      <c r="EA42" s="172">
        <v>138.64947299077733</v>
      </c>
      <c r="EB42" s="138">
        <v>132.62123503465659</v>
      </c>
      <c r="EC42" s="138">
        <v>127.0953502415459</v>
      </c>
      <c r="ED42" s="138">
        <v>122.01153623188407</v>
      </c>
      <c r="EE42" s="138">
        <v>117.31878483835006</v>
      </c>
      <c r="EF42" s="172">
        <v>112.9736446591519</v>
      </c>
      <c r="EG42" s="534"/>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row>
    <row r="43" spans="1:169" s="45" customFormat="1" x14ac:dyDescent="0.25">
      <c r="A43" s="238"/>
      <c r="B43" s="463" t="s">
        <v>505</v>
      </c>
      <c r="C43" s="19" t="s">
        <v>458</v>
      </c>
      <c r="D43" s="20">
        <v>27</v>
      </c>
      <c r="E43" s="21">
        <v>27</v>
      </c>
      <c r="F43" s="21">
        <v>28</v>
      </c>
      <c r="G43" s="21">
        <v>28</v>
      </c>
      <c r="H43" s="22">
        <v>28</v>
      </c>
      <c r="I43" s="20">
        <v>33</v>
      </c>
      <c r="J43" s="21">
        <v>33</v>
      </c>
      <c r="K43" s="21">
        <v>33</v>
      </c>
      <c r="L43" s="21">
        <v>33</v>
      </c>
      <c r="M43" s="22">
        <v>33</v>
      </c>
      <c r="N43" s="20">
        <v>20</v>
      </c>
      <c r="O43" s="21">
        <v>18</v>
      </c>
      <c r="P43" s="21">
        <v>15</v>
      </c>
      <c r="Q43" s="21">
        <v>12</v>
      </c>
      <c r="R43" s="22">
        <v>10</v>
      </c>
      <c r="S43" s="20">
        <v>16</v>
      </c>
      <c r="T43" s="21">
        <v>15</v>
      </c>
      <c r="U43" s="21">
        <v>14</v>
      </c>
      <c r="V43" s="21">
        <v>13</v>
      </c>
      <c r="W43" s="22">
        <v>12</v>
      </c>
      <c r="X43" s="20">
        <v>35</v>
      </c>
      <c r="Y43" s="21">
        <v>35</v>
      </c>
      <c r="Z43" s="21">
        <v>35</v>
      </c>
      <c r="AA43" s="21">
        <v>35</v>
      </c>
      <c r="AB43" s="22">
        <v>35</v>
      </c>
      <c r="AC43" s="20">
        <v>25</v>
      </c>
      <c r="AD43" s="21">
        <v>23</v>
      </c>
      <c r="AE43" s="21">
        <v>21</v>
      </c>
      <c r="AF43" s="21">
        <v>19</v>
      </c>
      <c r="AG43" s="22">
        <v>18</v>
      </c>
      <c r="AH43" s="20">
        <v>34</v>
      </c>
      <c r="AI43" s="21">
        <v>34</v>
      </c>
      <c r="AJ43" s="21">
        <v>34</v>
      </c>
      <c r="AK43" s="21">
        <v>34</v>
      </c>
      <c r="AL43" s="22">
        <v>34</v>
      </c>
      <c r="AM43" s="20">
        <v>36</v>
      </c>
      <c r="AN43" s="21">
        <v>36</v>
      </c>
      <c r="AO43" s="21">
        <v>36</v>
      </c>
      <c r="AP43" s="21">
        <v>36</v>
      </c>
      <c r="AQ43" s="22">
        <v>36</v>
      </c>
      <c r="AR43" s="11">
        <v>15</v>
      </c>
      <c r="AS43" s="12">
        <v>15</v>
      </c>
      <c r="AT43" s="12">
        <v>15</v>
      </c>
      <c r="AU43" s="12">
        <v>15</v>
      </c>
      <c r="AV43" s="13">
        <v>15</v>
      </c>
      <c r="AW43" s="11">
        <v>13.86</v>
      </c>
      <c r="AX43" s="12">
        <v>13.86</v>
      </c>
      <c r="AY43" s="21">
        <v>13.86</v>
      </c>
      <c r="AZ43" s="12">
        <v>13.86</v>
      </c>
      <c r="BA43" s="13">
        <v>13.86</v>
      </c>
      <c r="BB43" s="20">
        <v>30</v>
      </c>
      <c r="BC43" s="21">
        <v>30</v>
      </c>
      <c r="BD43" s="22">
        <v>30</v>
      </c>
      <c r="BE43" s="20">
        <v>14.280000000000001</v>
      </c>
      <c r="BF43" s="21">
        <v>14</v>
      </c>
      <c r="BG43" s="22">
        <v>13.719999999999999</v>
      </c>
      <c r="BH43" s="20">
        <v>7</v>
      </c>
      <c r="BI43" s="21">
        <v>7.0455000000000005</v>
      </c>
      <c r="BJ43" s="21">
        <v>6.71</v>
      </c>
      <c r="BK43" s="21">
        <v>6.3744999999999994</v>
      </c>
      <c r="BL43" s="22">
        <v>6</v>
      </c>
      <c r="BM43" s="20">
        <v>9</v>
      </c>
      <c r="BN43" s="21">
        <v>9</v>
      </c>
      <c r="BO43" s="21">
        <v>9</v>
      </c>
      <c r="BP43" s="21">
        <v>9</v>
      </c>
      <c r="BQ43" s="22">
        <v>9</v>
      </c>
      <c r="BR43" s="20">
        <v>3</v>
      </c>
      <c r="BS43" s="21">
        <v>3</v>
      </c>
      <c r="BT43" s="21">
        <v>3</v>
      </c>
      <c r="BU43" s="21">
        <v>3</v>
      </c>
      <c r="BV43" s="22">
        <v>3</v>
      </c>
      <c r="BW43" s="20">
        <v>9</v>
      </c>
      <c r="BX43" s="21">
        <v>9</v>
      </c>
      <c r="BY43" s="21">
        <v>7.25</v>
      </c>
      <c r="BZ43" s="21">
        <v>11</v>
      </c>
      <c r="CA43" s="22">
        <v>11</v>
      </c>
      <c r="CB43" s="20">
        <v>5</v>
      </c>
      <c r="CC43" s="21">
        <v>4.5</v>
      </c>
      <c r="CD43" s="21">
        <v>4.5</v>
      </c>
      <c r="CE43" s="21">
        <v>4.5</v>
      </c>
      <c r="CF43" s="22">
        <v>5</v>
      </c>
      <c r="CG43" s="20">
        <v>37</v>
      </c>
      <c r="CH43" s="21">
        <v>37</v>
      </c>
      <c r="CI43" s="22">
        <v>35</v>
      </c>
      <c r="CJ43" s="20"/>
      <c r="CK43" s="21"/>
      <c r="CL43" s="22"/>
      <c r="CM43" s="20"/>
      <c r="CN43" s="21"/>
      <c r="CO43" s="22"/>
      <c r="CP43" s="24">
        <v>0.3</v>
      </c>
      <c r="CQ43" s="23">
        <v>0.3</v>
      </c>
      <c r="CR43" s="25">
        <v>0.3</v>
      </c>
      <c r="CS43" s="24">
        <v>0.2</v>
      </c>
      <c r="CT43" s="25">
        <v>0.2</v>
      </c>
      <c r="CU43" s="25">
        <v>0.2</v>
      </c>
      <c r="CV43" s="545"/>
      <c r="CW43" s="533"/>
      <c r="CX43" s="884">
        <v>60</v>
      </c>
      <c r="CY43" s="885">
        <v>50</v>
      </c>
      <c r="CZ43" s="886">
        <v>36</v>
      </c>
      <c r="DA43" s="884">
        <v>4</v>
      </c>
      <c r="DB43" s="885">
        <v>22</v>
      </c>
      <c r="DC43" s="886">
        <v>20</v>
      </c>
      <c r="DD43" s="884">
        <v>24</v>
      </c>
      <c r="DE43" s="885">
        <v>24</v>
      </c>
      <c r="DF43" s="886">
        <v>25</v>
      </c>
      <c r="DG43" s="884">
        <v>30</v>
      </c>
      <c r="DH43" s="885">
        <v>25</v>
      </c>
      <c r="DI43" s="886">
        <v>30</v>
      </c>
      <c r="DJ43" s="884">
        <v>15</v>
      </c>
      <c r="DK43" s="885">
        <v>15</v>
      </c>
      <c r="DL43" s="886">
        <v>15</v>
      </c>
      <c r="DM43" s="884">
        <v>9</v>
      </c>
      <c r="DN43" s="885">
        <v>9</v>
      </c>
      <c r="DO43" s="886">
        <v>9</v>
      </c>
      <c r="DP43" s="884">
        <v>9</v>
      </c>
      <c r="DQ43" s="885">
        <v>9</v>
      </c>
      <c r="DR43" s="886">
        <v>9</v>
      </c>
      <c r="DS43" s="238"/>
      <c r="DT43" s="238"/>
      <c r="DU43" s="583" t="s">
        <v>435</v>
      </c>
      <c r="DV43" s="158" t="s">
        <v>519</v>
      </c>
      <c r="DW43" s="139">
        <v>1.9</v>
      </c>
      <c r="DX43" s="131">
        <v>2</v>
      </c>
      <c r="DY43" s="131">
        <v>2.1</v>
      </c>
      <c r="DZ43" s="131">
        <v>2.2000000000000002</v>
      </c>
      <c r="EA43" s="140">
        <v>2.2000000000000002</v>
      </c>
      <c r="EB43" s="131">
        <v>2.2999999999999998</v>
      </c>
      <c r="EC43" s="131">
        <v>2.4</v>
      </c>
      <c r="ED43" s="131">
        <v>2.5</v>
      </c>
      <c r="EE43" s="131">
        <v>2.6</v>
      </c>
      <c r="EF43" s="140">
        <v>2.7</v>
      </c>
      <c r="EG43" s="534"/>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row>
    <row r="44" spans="1:169" s="45" customFormat="1" x14ac:dyDescent="0.25">
      <c r="A44" s="238"/>
      <c r="B44" s="463" t="s">
        <v>520</v>
      </c>
      <c r="C44" s="19" t="s">
        <v>458</v>
      </c>
      <c r="D44" s="20">
        <v>90</v>
      </c>
      <c r="E44" s="21">
        <v>89.7</v>
      </c>
      <c r="F44" s="21">
        <v>89.7</v>
      </c>
      <c r="G44" s="21">
        <v>89.7</v>
      </c>
      <c r="H44" s="22">
        <v>90</v>
      </c>
      <c r="I44" s="20">
        <v>46</v>
      </c>
      <c r="J44" s="21">
        <v>46</v>
      </c>
      <c r="K44" s="21">
        <v>46</v>
      </c>
      <c r="L44" s="21">
        <v>46</v>
      </c>
      <c r="M44" s="22">
        <v>46</v>
      </c>
      <c r="N44" s="20">
        <v>0</v>
      </c>
      <c r="O44" s="21">
        <v>0</v>
      </c>
      <c r="P44" s="21">
        <v>0</v>
      </c>
      <c r="Q44" s="21">
        <v>0</v>
      </c>
      <c r="R44" s="22">
        <v>0</v>
      </c>
      <c r="S44" s="20">
        <v>0</v>
      </c>
      <c r="T44" s="21">
        <v>0</v>
      </c>
      <c r="U44" s="21">
        <v>0</v>
      </c>
      <c r="V44" s="21">
        <v>0</v>
      </c>
      <c r="W44" s="22">
        <v>0</v>
      </c>
      <c r="X44" s="20">
        <v>52</v>
      </c>
      <c r="Y44" s="21">
        <v>52</v>
      </c>
      <c r="Z44" s="21">
        <v>52</v>
      </c>
      <c r="AA44" s="21">
        <v>52</v>
      </c>
      <c r="AB44" s="22">
        <v>52</v>
      </c>
      <c r="AC44" s="20">
        <v>60</v>
      </c>
      <c r="AD44" s="21">
        <v>56</v>
      </c>
      <c r="AE44" s="21">
        <v>51</v>
      </c>
      <c r="AF44" s="21">
        <v>46</v>
      </c>
      <c r="AG44" s="22">
        <v>42</v>
      </c>
      <c r="AH44" s="20">
        <v>50</v>
      </c>
      <c r="AI44" s="21">
        <v>50</v>
      </c>
      <c r="AJ44" s="21">
        <v>50</v>
      </c>
      <c r="AK44" s="21">
        <v>50</v>
      </c>
      <c r="AL44" s="22">
        <v>50</v>
      </c>
      <c r="AM44" s="20">
        <v>57</v>
      </c>
      <c r="AN44" s="21">
        <v>57</v>
      </c>
      <c r="AO44" s="21">
        <v>57</v>
      </c>
      <c r="AP44" s="21">
        <v>57</v>
      </c>
      <c r="AQ44" s="22">
        <v>57</v>
      </c>
      <c r="AR44" s="20"/>
      <c r="AS44" s="21"/>
      <c r="AT44" s="21"/>
      <c r="AU44" s="21"/>
      <c r="AV44" s="22"/>
      <c r="AW44" s="11">
        <v>56</v>
      </c>
      <c r="AX44" s="12">
        <v>56</v>
      </c>
      <c r="AY44" s="21">
        <v>56</v>
      </c>
      <c r="AZ44" s="12">
        <v>56</v>
      </c>
      <c r="BA44" s="13">
        <v>56</v>
      </c>
      <c r="BB44" s="20">
        <v>60</v>
      </c>
      <c r="BC44" s="21">
        <v>60</v>
      </c>
      <c r="BD44" s="22">
        <v>60</v>
      </c>
      <c r="BE44" s="20">
        <v>48.96</v>
      </c>
      <c r="BF44" s="21">
        <v>48</v>
      </c>
      <c r="BG44" s="22">
        <v>47.04</v>
      </c>
      <c r="BH44" s="20"/>
      <c r="BI44" s="21"/>
      <c r="BJ44" s="21"/>
      <c r="BK44" s="21"/>
      <c r="BL44" s="22"/>
      <c r="BM44" s="20"/>
      <c r="BN44" s="21"/>
      <c r="BO44" s="21"/>
      <c r="BP44" s="21"/>
      <c r="BQ44" s="22"/>
      <c r="BR44" s="20"/>
      <c r="BS44" s="21"/>
      <c r="BT44" s="21"/>
      <c r="BU44" s="21"/>
      <c r="BV44" s="22"/>
      <c r="BW44" s="20"/>
      <c r="BX44" s="21"/>
      <c r="BY44" s="21"/>
      <c r="BZ44" s="21"/>
      <c r="CA44" s="22"/>
      <c r="CB44" s="20"/>
      <c r="CC44" s="21"/>
      <c r="CD44" s="21"/>
      <c r="CE44" s="21"/>
      <c r="CF44" s="22"/>
      <c r="CG44" s="20">
        <v>70</v>
      </c>
      <c r="CH44" s="21">
        <v>70</v>
      </c>
      <c r="CI44" s="22">
        <v>70</v>
      </c>
      <c r="CJ44" s="20"/>
      <c r="CK44" s="21"/>
      <c r="CL44" s="22"/>
      <c r="CM44" s="20"/>
      <c r="CN44" s="21"/>
      <c r="CO44" s="22"/>
      <c r="CP44" s="24"/>
      <c r="CQ44" s="23"/>
      <c r="CR44" s="25"/>
      <c r="CS44" s="20"/>
      <c r="CT44" s="25"/>
      <c r="CU44" s="22"/>
      <c r="CV44" s="545"/>
      <c r="CW44" s="533"/>
      <c r="CX44" s="884">
        <v>75</v>
      </c>
      <c r="CY44" s="885">
        <v>75</v>
      </c>
      <c r="CZ44" s="886">
        <v>75</v>
      </c>
      <c r="DA44" s="902">
        <v>118.0263157894737</v>
      </c>
      <c r="DB44" s="623">
        <v>118.0263157894737</v>
      </c>
      <c r="DC44" s="903">
        <v>118.0263157894737</v>
      </c>
      <c r="DD44" s="902">
        <v>60.526315789473685</v>
      </c>
      <c r="DE44" s="623">
        <v>60.526315789473685</v>
      </c>
      <c r="DF44" s="903">
        <v>60.526315789473685</v>
      </c>
      <c r="DG44" s="902">
        <v>70.394736842105274</v>
      </c>
      <c r="DH44" s="623">
        <v>70.394736842105274</v>
      </c>
      <c r="DI44" s="903">
        <v>70.394736842105274</v>
      </c>
      <c r="DJ44" s="902">
        <v>22.144736842105264</v>
      </c>
      <c r="DK44" s="623">
        <v>22.144736842105264</v>
      </c>
      <c r="DL44" s="903">
        <v>22.144736842105264</v>
      </c>
      <c r="DM44" s="884"/>
      <c r="DN44" s="885"/>
      <c r="DO44" s="886"/>
      <c r="DP44" s="884"/>
      <c r="DQ44" s="885"/>
      <c r="DR44" s="886"/>
      <c r="DS44" s="238"/>
      <c r="DT44" s="238"/>
      <c r="DU44" s="590" t="s">
        <v>521</v>
      </c>
      <c r="DV44" s="41"/>
      <c r="DW44" s="46">
        <v>1</v>
      </c>
      <c r="DX44" s="155">
        <v>1</v>
      </c>
      <c r="DY44" s="155">
        <v>1</v>
      </c>
      <c r="DZ44" s="155">
        <v>1</v>
      </c>
      <c r="EA44" s="153">
        <v>1</v>
      </c>
      <c r="EB44" s="155">
        <v>0.87</v>
      </c>
      <c r="EC44" s="155">
        <v>0.87</v>
      </c>
      <c r="ED44" s="155">
        <v>0.87</v>
      </c>
      <c r="EE44" s="155">
        <v>0.87</v>
      </c>
      <c r="EF44" s="153">
        <v>0.87</v>
      </c>
      <c r="EG44" s="534"/>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row>
    <row r="45" spans="1:169" s="45" customFormat="1" ht="11" thickBot="1" x14ac:dyDescent="0.3">
      <c r="A45" s="513"/>
      <c r="B45" s="463" t="s">
        <v>522</v>
      </c>
      <c r="C45" s="19" t="s">
        <v>458</v>
      </c>
      <c r="D45" s="20">
        <v>18</v>
      </c>
      <c r="E45" s="21">
        <v>18</v>
      </c>
      <c r="F45" s="21">
        <v>18</v>
      </c>
      <c r="G45" s="21">
        <v>18</v>
      </c>
      <c r="H45" s="22">
        <v>18</v>
      </c>
      <c r="I45" s="20">
        <v>29</v>
      </c>
      <c r="J45" s="21">
        <v>28</v>
      </c>
      <c r="K45" s="21">
        <v>28</v>
      </c>
      <c r="L45" s="21">
        <v>29</v>
      </c>
      <c r="M45" s="22">
        <v>29</v>
      </c>
      <c r="N45" s="20">
        <v>22</v>
      </c>
      <c r="O45" s="21">
        <v>22</v>
      </c>
      <c r="P45" s="21">
        <v>24</v>
      </c>
      <c r="Q45" s="21">
        <v>19</v>
      </c>
      <c r="R45" s="22">
        <v>19</v>
      </c>
      <c r="S45" s="20">
        <v>40</v>
      </c>
      <c r="T45" s="21">
        <v>38</v>
      </c>
      <c r="U45" s="21">
        <v>36</v>
      </c>
      <c r="V45" s="21">
        <v>32</v>
      </c>
      <c r="W45" s="22">
        <v>30</v>
      </c>
      <c r="X45" s="20">
        <v>30</v>
      </c>
      <c r="Y45" s="21">
        <v>31</v>
      </c>
      <c r="Z45" s="21">
        <v>31</v>
      </c>
      <c r="AA45" s="21">
        <v>34</v>
      </c>
      <c r="AB45" s="22">
        <v>34</v>
      </c>
      <c r="AC45" s="20">
        <v>41</v>
      </c>
      <c r="AD45" s="21">
        <v>41</v>
      </c>
      <c r="AE45" s="21">
        <v>40</v>
      </c>
      <c r="AF45" s="21">
        <v>39</v>
      </c>
      <c r="AG45" s="22">
        <v>39</v>
      </c>
      <c r="AH45" s="20">
        <v>29</v>
      </c>
      <c r="AI45" s="21">
        <v>28</v>
      </c>
      <c r="AJ45" s="21">
        <v>28</v>
      </c>
      <c r="AK45" s="21">
        <v>29</v>
      </c>
      <c r="AL45" s="22">
        <v>28</v>
      </c>
      <c r="AM45" s="20">
        <v>30</v>
      </c>
      <c r="AN45" s="21">
        <v>31</v>
      </c>
      <c r="AO45" s="21">
        <v>31</v>
      </c>
      <c r="AP45" s="21">
        <v>34</v>
      </c>
      <c r="AQ45" s="22">
        <v>35</v>
      </c>
      <c r="AR45" s="11">
        <v>28</v>
      </c>
      <c r="AS45" s="12">
        <v>28</v>
      </c>
      <c r="AT45" s="12">
        <v>28</v>
      </c>
      <c r="AU45" s="12">
        <v>28</v>
      </c>
      <c r="AV45" s="13">
        <v>28</v>
      </c>
      <c r="AW45" s="11">
        <v>32</v>
      </c>
      <c r="AX45" s="12">
        <v>32</v>
      </c>
      <c r="AY45" s="21">
        <v>32</v>
      </c>
      <c r="AZ45" s="12">
        <v>32</v>
      </c>
      <c r="BA45" s="13">
        <v>32</v>
      </c>
      <c r="BB45" s="20">
        <v>15</v>
      </c>
      <c r="BC45" s="21">
        <v>15</v>
      </c>
      <c r="BD45" s="22">
        <v>15</v>
      </c>
      <c r="BE45" s="20">
        <v>36.72</v>
      </c>
      <c r="BF45" s="21">
        <v>36</v>
      </c>
      <c r="BG45" s="22">
        <v>35.28</v>
      </c>
      <c r="BH45" s="20">
        <v>10</v>
      </c>
      <c r="BI45" s="21">
        <v>9.6810000000000009</v>
      </c>
      <c r="BJ45" s="21">
        <v>9.2200000000000006</v>
      </c>
      <c r="BK45" s="21">
        <v>8.7590000000000003</v>
      </c>
      <c r="BL45" s="22">
        <v>9</v>
      </c>
      <c r="BM45" s="20">
        <v>16</v>
      </c>
      <c r="BN45" s="21">
        <v>16</v>
      </c>
      <c r="BO45" s="21">
        <v>16</v>
      </c>
      <c r="BP45" s="21">
        <v>16</v>
      </c>
      <c r="BQ45" s="22">
        <v>16</v>
      </c>
      <c r="BR45" s="20">
        <v>7</v>
      </c>
      <c r="BS45" s="21">
        <v>7</v>
      </c>
      <c r="BT45" s="21">
        <v>7</v>
      </c>
      <c r="BU45" s="21">
        <v>7</v>
      </c>
      <c r="BV45" s="22">
        <v>7</v>
      </c>
      <c r="BW45" s="20">
        <v>11</v>
      </c>
      <c r="BX45" s="21">
        <v>10.5</v>
      </c>
      <c r="BY45" s="21">
        <v>10</v>
      </c>
      <c r="BZ45" s="21">
        <v>9.5</v>
      </c>
      <c r="CA45" s="22">
        <v>9</v>
      </c>
      <c r="CB45" s="20">
        <v>12</v>
      </c>
      <c r="CC45" s="21">
        <v>11.88</v>
      </c>
      <c r="CD45" s="21">
        <v>11.88</v>
      </c>
      <c r="CE45" s="21">
        <v>11.88</v>
      </c>
      <c r="CF45" s="22">
        <v>12</v>
      </c>
      <c r="CG45" s="20">
        <v>24</v>
      </c>
      <c r="CH45" s="21">
        <v>24</v>
      </c>
      <c r="CI45" s="22">
        <v>24</v>
      </c>
      <c r="CJ45" s="20">
        <v>8</v>
      </c>
      <c r="CK45" s="21">
        <v>8</v>
      </c>
      <c r="CL45" s="22">
        <v>8</v>
      </c>
      <c r="CM45" s="20">
        <v>10.780309936189608</v>
      </c>
      <c r="CN45" s="21">
        <v>10.511321531494442</v>
      </c>
      <c r="CO45" s="22">
        <v>10.223059532780708</v>
      </c>
      <c r="CP45" s="24">
        <v>1.2</v>
      </c>
      <c r="CQ45" s="23">
        <v>1.2</v>
      </c>
      <c r="CR45" s="25">
        <v>1.2</v>
      </c>
      <c r="CS45" s="20"/>
      <c r="CT45" s="25"/>
      <c r="CU45" s="22"/>
      <c r="CV45" s="545"/>
      <c r="CW45" s="549"/>
      <c r="CX45" s="884">
        <f>260-CX44</f>
        <v>185</v>
      </c>
      <c r="CY45" s="885">
        <v>155</v>
      </c>
      <c r="CZ45" s="886">
        <v>89</v>
      </c>
      <c r="DA45" s="884">
        <v>72</v>
      </c>
      <c r="DB45" s="885">
        <v>72</v>
      </c>
      <c r="DC45" s="886">
        <v>72</v>
      </c>
      <c r="DD45" s="884">
        <v>73</v>
      </c>
      <c r="DE45" s="885">
        <v>73</v>
      </c>
      <c r="DF45" s="886">
        <v>70</v>
      </c>
      <c r="DG45" s="884">
        <v>50</v>
      </c>
      <c r="DH45" s="885">
        <v>50</v>
      </c>
      <c r="DI45" s="886">
        <v>60</v>
      </c>
      <c r="DJ45" s="884">
        <v>90</v>
      </c>
      <c r="DK45" s="885">
        <v>90</v>
      </c>
      <c r="DL45" s="886">
        <v>130</v>
      </c>
      <c r="DM45" s="884">
        <v>14</v>
      </c>
      <c r="DN45" s="885">
        <v>14</v>
      </c>
      <c r="DO45" s="886">
        <v>13</v>
      </c>
      <c r="DP45" s="884">
        <v>15</v>
      </c>
      <c r="DQ45" s="885">
        <v>14</v>
      </c>
      <c r="DR45" s="886">
        <v>13</v>
      </c>
      <c r="DS45" s="238"/>
      <c r="DT45" s="238"/>
      <c r="DU45" s="590" t="s">
        <v>429</v>
      </c>
      <c r="DV45" s="153" t="s">
        <v>429</v>
      </c>
      <c r="DW45" s="150">
        <v>1.9</v>
      </c>
      <c r="DX45" s="151">
        <v>2</v>
      </c>
      <c r="DY45" s="151">
        <v>2.1</v>
      </c>
      <c r="DZ45" s="151">
        <v>2.2000000000000002</v>
      </c>
      <c r="EA45" s="152">
        <v>2.2000000000000002</v>
      </c>
      <c r="EB45" s="151">
        <v>2.0009999999999999</v>
      </c>
      <c r="EC45" s="151">
        <v>2.0880000000000001</v>
      </c>
      <c r="ED45" s="151">
        <v>2.1749999999999998</v>
      </c>
      <c r="EE45" s="151">
        <v>2.262</v>
      </c>
      <c r="EF45" s="152">
        <v>2.3490000000000002</v>
      </c>
      <c r="EG45" s="534"/>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row>
    <row r="46" spans="1:169" s="494" customFormat="1" x14ac:dyDescent="0.25">
      <c r="A46" s="512"/>
      <c r="B46" s="1491" t="s">
        <v>513</v>
      </c>
      <c r="C46" s="491" t="s">
        <v>458</v>
      </c>
      <c r="D46" s="493">
        <v>474.56594279999996</v>
      </c>
      <c r="E46" s="492">
        <v>458.096136</v>
      </c>
      <c r="F46" s="492">
        <v>443.69632000000001</v>
      </c>
      <c r="G46" s="492">
        <v>428.29650399999997</v>
      </c>
      <c r="H46" s="491">
        <v>413.96667880000001</v>
      </c>
      <c r="I46" s="493">
        <v>172.73</v>
      </c>
      <c r="J46" s="492">
        <v>167.4</v>
      </c>
      <c r="K46" s="492">
        <v>160.96</v>
      </c>
      <c r="L46" s="492">
        <v>153.25049999999999</v>
      </c>
      <c r="M46" s="491">
        <v>148.97</v>
      </c>
      <c r="N46" s="493">
        <v>115.5</v>
      </c>
      <c r="O46" s="492">
        <v>110.56</v>
      </c>
      <c r="P46" s="492">
        <v>105.15</v>
      </c>
      <c r="Q46" s="492">
        <v>92.740000000000009</v>
      </c>
      <c r="R46" s="491">
        <v>87.8</v>
      </c>
      <c r="S46" s="493">
        <v>72.125</v>
      </c>
      <c r="T46" s="492">
        <v>69.125</v>
      </c>
      <c r="U46" s="492">
        <v>65.75</v>
      </c>
      <c r="V46" s="492">
        <v>60</v>
      </c>
      <c r="W46" s="491">
        <v>57</v>
      </c>
      <c r="X46" s="493">
        <v>224.64</v>
      </c>
      <c r="Y46" s="492">
        <v>217.99</v>
      </c>
      <c r="Z46" s="492">
        <v>209.285</v>
      </c>
      <c r="AA46" s="492">
        <v>201.83199999999999</v>
      </c>
      <c r="AB46" s="491">
        <v>194.24</v>
      </c>
      <c r="AC46" s="493">
        <v>270.05</v>
      </c>
      <c r="AD46" s="492">
        <v>259.75</v>
      </c>
      <c r="AE46" s="492">
        <v>244.3</v>
      </c>
      <c r="AF46" s="492">
        <v>212</v>
      </c>
      <c r="AG46" s="491">
        <v>203</v>
      </c>
      <c r="AH46" s="493">
        <v>180.625</v>
      </c>
      <c r="AI46" s="492">
        <v>174.41</v>
      </c>
      <c r="AJ46" s="492">
        <v>167.99</v>
      </c>
      <c r="AK46" s="492">
        <v>160.36000000000001</v>
      </c>
      <c r="AL46" s="491">
        <v>153.80000000000001</v>
      </c>
      <c r="AM46" s="493">
        <v>230</v>
      </c>
      <c r="AN46" s="492">
        <v>225.04885000000002</v>
      </c>
      <c r="AO46" s="492">
        <v>216.34895</v>
      </c>
      <c r="AP46" s="492">
        <v>208.8742</v>
      </c>
      <c r="AQ46" s="491">
        <v>205.05</v>
      </c>
      <c r="AR46" s="493">
        <v>76.599999999999994</v>
      </c>
      <c r="AS46" s="492">
        <v>76.599999999999994</v>
      </c>
      <c r="AT46" s="492">
        <v>76.599999999999994</v>
      </c>
      <c r="AU46" s="492">
        <v>76.599999999999994</v>
      </c>
      <c r="AV46" s="491">
        <v>76.599999999999994</v>
      </c>
      <c r="AW46" s="493">
        <v>263.11</v>
      </c>
      <c r="AX46" s="492">
        <v>263.11</v>
      </c>
      <c r="AY46" s="492">
        <v>259.36</v>
      </c>
      <c r="AZ46" s="492">
        <v>255.61</v>
      </c>
      <c r="BA46" s="491">
        <v>251.86</v>
      </c>
      <c r="BB46" s="493">
        <v>167.125</v>
      </c>
      <c r="BC46" s="492">
        <v>165.36</v>
      </c>
      <c r="BD46" s="491">
        <v>165.36</v>
      </c>
      <c r="BE46" s="493">
        <v>177.36</v>
      </c>
      <c r="BF46" s="492">
        <v>173.6</v>
      </c>
      <c r="BG46" s="491">
        <v>171.64</v>
      </c>
      <c r="BH46" s="493">
        <v>20.149999999999999</v>
      </c>
      <c r="BI46" s="492">
        <v>19.519500000000001</v>
      </c>
      <c r="BJ46" s="492">
        <v>18.87</v>
      </c>
      <c r="BK46" s="492">
        <v>17.947499999999998</v>
      </c>
      <c r="BL46" s="491">
        <v>17.52</v>
      </c>
      <c r="BM46" s="493">
        <v>39.539000000000001</v>
      </c>
      <c r="BN46" s="492">
        <v>39.075828999999999</v>
      </c>
      <c r="BO46" s="492">
        <v>38.396650000000001</v>
      </c>
      <c r="BP46" s="492">
        <v>37.856629999999996</v>
      </c>
      <c r="BQ46" s="491">
        <v>37.462000000000003</v>
      </c>
      <c r="BR46" s="493">
        <v>13</v>
      </c>
      <c r="BS46" s="492">
        <v>13.087</v>
      </c>
      <c r="BT46" s="492">
        <v>12.94</v>
      </c>
      <c r="BU46" s="492">
        <v>12.792999999999999</v>
      </c>
      <c r="BV46" s="491">
        <v>13</v>
      </c>
      <c r="BW46" s="493">
        <v>31.25</v>
      </c>
      <c r="BX46" s="492">
        <v>30.75</v>
      </c>
      <c r="BY46" s="492">
        <v>28.5</v>
      </c>
      <c r="BZ46" s="492">
        <v>31.75</v>
      </c>
      <c r="CA46" s="491">
        <v>31.25</v>
      </c>
      <c r="CB46" s="493">
        <v>22.4</v>
      </c>
      <c r="CC46" s="492">
        <v>21.78</v>
      </c>
      <c r="CD46" s="492">
        <v>21.78</v>
      </c>
      <c r="CE46" s="492">
        <v>21.78</v>
      </c>
      <c r="CF46" s="491">
        <v>22.4</v>
      </c>
      <c r="CG46" s="493">
        <v>922.7</v>
      </c>
      <c r="CH46" s="492">
        <v>894.8</v>
      </c>
      <c r="CI46" s="491">
        <v>834.23599999999999</v>
      </c>
      <c r="CJ46" s="493">
        <v>68.647999999999996</v>
      </c>
      <c r="CK46" s="492">
        <v>68.367999999999995</v>
      </c>
      <c r="CL46" s="491">
        <v>56.72</v>
      </c>
      <c r="CM46" s="493">
        <v>107.51308659981768</v>
      </c>
      <c r="CN46" s="492">
        <v>102.32436064223961</v>
      </c>
      <c r="CO46" s="491">
        <v>85.515629238884699</v>
      </c>
      <c r="CP46" s="493">
        <v>14.725</v>
      </c>
      <c r="CQ46" s="492">
        <v>14.725</v>
      </c>
      <c r="CR46" s="491">
        <v>14.725</v>
      </c>
      <c r="CS46" s="493">
        <v>2.6645000000000003</v>
      </c>
      <c r="CT46" s="491">
        <v>2.2429999999999999</v>
      </c>
      <c r="CU46" s="491">
        <v>1.8471999999999997</v>
      </c>
      <c r="CV46" s="548"/>
      <c r="CW46" s="533"/>
      <c r="CX46" s="892">
        <f>SUM(CX41:CX45)</f>
        <v>1068</v>
      </c>
      <c r="CY46" s="893">
        <f>SUM(CY41:CY45)</f>
        <v>970</v>
      </c>
      <c r="CZ46" s="894" t="e">
        <f>SUM(CZ41:CZ45)</f>
        <v>#DIV/0!</v>
      </c>
      <c r="DA46" s="912">
        <f t="shared" ref="DA46:DD46" si="60">SUM(DA41:DA45)</f>
        <v>480.0263157894737</v>
      </c>
      <c r="DB46" s="911">
        <f t="shared" si="60"/>
        <v>492.0263157894737</v>
      </c>
      <c r="DC46" s="894" t="e">
        <f t="shared" si="60"/>
        <v>#DIV/0!</v>
      </c>
      <c r="DD46" s="912">
        <f t="shared" si="60"/>
        <v>207.5263157894737</v>
      </c>
      <c r="DE46" s="911">
        <f t="shared" ref="DE46" si="61">SUM(DE41:DE45)</f>
        <v>202.5263157894737</v>
      </c>
      <c r="DF46" s="894">
        <f t="shared" ref="DF46" si="62">SUM(DF41:DF45)</f>
        <v>192.5263157894737</v>
      </c>
      <c r="DG46" s="912">
        <f t="shared" ref="DG46:DH46" si="63">SUM(DG41:DG45)</f>
        <v>195.39473684210526</v>
      </c>
      <c r="DH46" s="911">
        <f t="shared" si="63"/>
        <v>186.39473684210526</v>
      </c>
      <c r="DI46" s="894">
        <f t="shared" ref="DI46" si="64">SUM(DI41:DI45)</f>
        <v>205.39473684210526</v>
      </c>
      <c r="DJ46" s="912">
        <f>SUM(DJ41:DJ45)</f>
        <v>207.14473684210526</v>
      </c>
      <c r="DK46" s="911">
        <f t="shared" ref="DK46" si="65">SUM(DK41:DK45)</f>
        <v>217.14473684210526</v>
      </c>
      <c r="DL46" s="894">
        <f t="shared" ref="DL46" si="66">SUM(DL41:DL45)</f>
        <v>282.14473684210526</v>
      </c>
      <c r="DM46" s="912">
        <f t="shared" ref="DM46" si="67">SUM(DM41:DM45)</f>
        <v>35</v>
      </c>
      <c r="DN46" s="911">
        <f t="shared" ref="DN46" si="68">SUM(DN41:DN45)</f>
        <v>34</v>
      </c>
      <c r="DO46" s="894">
        <f t="shared" ref="DO46" si="69">SUM(DO41:DO45)</f>
        <v>33</v>
      </c>
      <c r="DP46" s="912">
        <f t="shared" ref="DP46" si="70">SUM(DP41:DP45)</f>
        <v>42</v>
      </c>
      <c r="DQ46" s="911">
        <f t="shared" ref="DQ46" si="71">SUM(DQ41:DQ45)</f>
        <v>38.408683164062495</v>
      </c>
      <c r="DR46" s="894">
        <f t="shared" ref="DR46" si="72">SUM(DR41:DR45)</f>
        <v>38</v>
      </c>
      <c r="DS46" s="238"/>
      <c r="DT46" s="238"/>
      <c r="DU46" s="587"/>
      <c r="DV46" s="495"/>
      <c r="DW46" s="445"/>
      <c r="DX46" s="456"/>
      <c r="DY46" s="456"/>
      <c r="DZ46" s="456"/>
      <c r="EA46" s="597"/>
      <c r="EB46" s="456"/>
      <c r="EC46" s="456"/>
      <c r="ED46" s="456"/>
      <c r="EE46" s="456"/>
      <c r="EF46" s="462"/>
      <c r="EG46" s="534"/>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row>
    <row r="47" spans="1:169" s="490" customFormat="1" ht="13.4" customHeight="1" thickBot="1" x14ac:dyDescent="0.3">
      <c r="A47" s="514"/>
      <c r="B47" s="1492"/>
      <c r="C47" s="441" t="s">
        <v>425</v>
      </c>
      <c r="D47" s="440">
        <f t="shared" ref="D47:AI47" si="73">D46*D10</f>
        <v>569.47913135999988</v>
      </c>
      <c r="E47" s="489">
        <f t="shared" si="73"/>
        <v>595.52497679999999</v>
      </c>
      <c r="F47" s="489">
        <f t="shared" si="73"/>
        <v>621.174848</v>
      </c>
      <c r="G47" s="489">
        <f t="shared" si="73"/>
        <v>642.44475599999998</v>
      </c>
      <c r="H47" s="441">
        <f t="shared" si="73"/>
        <v>662.34668608000004</v>
      </c>
      <c r="I47" s="440">
        <f t="shared" si="73"/>
        <v>259.09499999999997</v>
      </c>
      <c r="J47" s="489">
        <f t="shared" si="73"/>
        <v>276.20999999999998</v>
      </c>
      <c r="K47" s="489">
        <f t="shared" si="73"/>
        <v>289.72800000000001</v>
      </c>
      <c r="L47" s="489">
        <f t="shared" si="73"/>
        <v>337.15109999999999</v>
      </c>
      <c r="M47" s="441">
        <f t="shared" si="73"/>
        <v>342.63099999999997</v>
      </c>
      <c r="N47" s="440">
        <f t="shared" si="73"/>
        <v>288.75</v>
      </c>
      <c r="O47" s="489">
        <f t="shared" si="73"/>
        <v>304.04000000000002</v>
      </c>
      <c r="P47" s="489">
        <f t="shared" si="73"/>
        <v>315.45000000000005</v>
      </c>
      <c r="Q47" s="489">
        <f t="shared" si="73"/>
        <v>324.59000000000003</v>
      </c>
      <c r="R47" s="441">
        <f t="shared" si="73"/>
        <v>351.2</v>
      </c>
      <c r="S47" s="440">
        <f t="shared" si="73"/>
        <v>180.3125</v>
      </c>
      <c r="T47" s="489">
        <f t="shared" si="73"/>
        <v>200.46250000000001</v>
      </c>
      <c r="U47" s="489">
        <f t="shared" si="73"/>
        <v>197.25</v>
      </c>
      <c r="V47" s="489">
        <f t="shared" si="73"/>
        <v>183</v>
      </c>
      <c r="W47" s="441">
        <f t="shared" si="73"/>
        <v>176.70000000000002</v>
      </c>
      <c r="X47" s="440">
        <f t="shared" si="73"/>
        <v>314.49599999999998</v>
      </c>
      <c r="Y47" s="489">
        <f t="shared" si="73"/>
        <v>326.98500000000001</v>
      </c>
      <c r="Z47" s="489">
        <f t="shared" si="73"/>
        <v>345.32024999999999</v>
      </c>
      <c r="AA47" s="489">
        <f t="shared" si="73"/>
        <v>403.66399999999999</v>
      </c>
      <c r="AB47" s="441">
        <f t="shared" si="73"/>
        <v>407.90400000000005</v>
      </c>
      <c r="AC47" s="440">
        <f t="shared" si="73"/>
        <v>810.15000000000009</v>
      </c>
      <c r="AD47" s="489">
        <f t="shared" si="73"/>
        <v>896.67123287671222</v>
      </c>
      <c r="AE47" s="489">
        <f t="shared" si="73"/>
        <v>992.16116035455263</v>
      </c>
      <c r="AF47" s="489">
        <f t="shared" si="73"/>
        <v>975.78082191780834</v>
      </c>
      <c r="AG47" s="441">
        <f t="shared" si="73"/>
        <v>964.25</v>
      </c>
      <c r="AH47" s="440">
        <f t="shared" si="73"/>
        <v>198.68750000000003</v>
      </c>
      <c r="AI47" s="489">
        <f t="shared" si="73"/>
        <v>226.733</v>
      </c>
      <c r="AJ47" s="489">
        <f t="shared" ref="AJ47:BO47" si="74">AJ46*AJ10</f>
        <v>268.78400000000005</v>
      </c>
      <c r="AK47" s="489">
        <f t="shared" si="74"/>
        <v>304.68400000000003</v>
      </c>
      <c r="AL47" s="441">
        <f t="shared" si="74"/>
        <v>338.36000000000007</v>
      </c>
      <c r="AM47" s="440">
        <f t="shared" si="74"/>
        <v>207</v>
      </c>
      <c r="AN47" s="489">
        <f t="shared" si="74"/>
        <v>225.04885000000002</v>
      </c>
      <c r="AO47" s="489">
        <f t="shared" si="74"/>
        <v>270.43618750000002</v>
      </c>
      <c r="AP47" s="489">
        <f t="shared" si="74"/>
        <v>313.31130000000002</v>
      </c>
      <c r="AQ47" s="441">
        <f t="shared" si="74"/>
        <v>328.08000000000004</v>
      </c>
      <c r="AR47" s="440">
        <f t="shared" si="74"/>
        <v>199.16</v>
      </c>
      <c r="AS47" s="489">
        <f t="shared" si="74"/>
        <v>210.64999999999998</v>
      </c>
      <c r="AT47" s="489">
        <f t="shared" si="74"/>
        <v>229.79999999999998</v>
      </c>
      <c r="AU47" s="489">
        <f t="shared" si="74"/>
        <v>248.95</v>
      </c>
      <c r="AV47" s="441">
        <f t="shared" si="74"/>
        <v>260.44</v>
      </c>
      <c r="AW47" s="440">
        <f t="shared" si="74"/>
        <v>789.33</v>
      </c>
      <c r="AX47" s="489">
        <f t="shared" si="74"/>
        <v>908.27013698630128</v>
      </c>
      <c r="AY47" s="489">
        <f t="shared" si="74"/>
        <v>1053.3234488315873</v>
      </c>
      <c r="AZ47" s="489">
        <f t="shared" si="74"/>
        <v>1176.5063013698632</v>
      </c>
      <c r="BA47" s="441">
        <f t="shared" si="74"/>
        <v>1259.3000000000002</v>
      </c>
      <c r="BB47" s="440">
        <f t="shared" si="74"/>
        <v>150.41249999999999</v>
      </c>
      <c r="BC47" s="489">
        <f t="shared" si="74"/>
        <v>165.36</v>
      </c>
      <c r="BD47" s="441">
        <f t="shared" si="74"/>
        <v>181.89600000000004</v>
      </c>
      <c r="BE47" s="440">
        <f t="shared" si="74"/>
        <v>266.04000000000002</v>
      </c>
      <c r="BF47" s="489">
        <f t="shared" si="74"/>
        <v>217</v>
      </c>
      <c r="BG47" s="441">
        <f t="shared" si="74"/>
        <v>429.09999999999997</v>
      </c>
      <c r="BH47" s="440">
        <f t="shared" si="74"/>
        <v>241.79999999999998</v>
      </c>
      <c r="BI47" s="489">
        <f t="shared" si="74"/>
        <v>292.79250000000002</v>
      </c>
      <c r="BJ47" s="489">
        <f t="shared" si="74"/>
        <v>283.05</v>
      </c>
      <c r="BK47" s="489">
        <f t="shared" si="74"/>
        <v>269.21249999999998</v>
      </c>
      <c r="BL47" s="441">
        <f t="shared" si="74"/>
        <v>315.36</v>
      </c>
      <c r="BM47" s="440">
        <f t="shared" si="74"/>
        <v>276.77300000000002</v>
      </c>
      <c r="BN47" s="489">
        <f t="shared" si="74"/>
        <v>312.60663199999999</v>
      </c>
      <c r="BO47" s="489">
        <f t="shared" si="74"/>
        <v>383.9665</v>
      </c>
      <c r="BP47" s="489">
        <f t="shared" ref="BP47:CU47" si="75">BP46*BP10</f>
        <v>416.42292999999995</v>
      </c>
      <c r="BQ47" s="441">
        <f t="shared" si="75"/>
        <v>487.00600000000003</v>
      </c>
      <c r="BR47" s="440">
        <f t="shared" si="75"/>
        <v>312</v>
      </c>
      <c r="BS47" s="489">
        <f t="shared" si="75"/>
        <v>340.262</v>
      </c>
      <c r="BT47" s="489">
        <f t="shared" si="75"/>
        <v>362.32</v>
      </c>
      <c r="BU47" s="489">
        <f t="shared" si="75"/>
        <v>383.78999999999996</v>
      </c>
      <c r="BV47" s="441">
        <f t="shared" si="75"/>
        <v>416</v>
      </c>
      <c r="BW47" s="440">
        <f t="shared" si="75"/>
        <v>93.75</v>
      </c>
      <c r="BX47" s="489">
        <f t="shared" si="75"/>
        <v>215.25</v>
      </c>
      <c r="BY47" s="489">
        <f t="shared" si="75"/>
        <v>213.75</v>
      </c>
      <c r="BZ47" s="489">
        <f t="shared" si="75"/>
        <v>254</v>
      </c>
      <c r="CA47" s="441">
        <f t="shared" si="75"/>
        <v>281.25</v>
      </c>
      <c r="CB47" s="440">
        <f t="shared" si="75"/>
        <v>336</v>
      </c>
      <c r="CC47" s="489">
        <f t="shared" si="75"/>
        <v>326.70000000000005</v>
      </c>
      <c r="CD47" s="489">
        <f t="shared" si="75"/>
        <v>326.70000000000005</v>
      </c>
      <c r="CE47" s="489">
        <f t="shared" si="75"/>
        <v>326.70000000000005</v>
      </c>
      <c r="CF47" s="441">
        <f t="shared" si="75"/>
        <v>336</v>
      </c>
      <c r="CG47" s="440">
        <f t="shared" si="75"/>
        <v>18454</v>
      </c>
      <c r="CH47" s="489">
        <f t="shared" si="75"/>
        <v>17896</v>
      </c>
      <c r="CI47" s="441">
        <f t="shared" si="75"/>
        <v>16684.72</v>
      </c>
      <c r="CJ47" s="440">
        <f t="shared" si="75"/>
        <v>1922.1439999999998</v>
      </c>
      <c r="CK47" s="489">
        <f t="shared" si="75"/>
        <v>2051.04</v>
      </c>
      <c r="CL47" s="441">
        <f t="shared" si="75"/>
        <v>1985.2</v>
      </c>
      <c r="CM47" s="440">
        <f t="shared" si="75"/>
        <v>2580.3140783956242</v>
      </c>
      <c r="CN47" s="489">
        <f t="shared" si="75"/>
        <v>2558.1090160559902</v>
      </c>
      <c r="CO47" s="441">
        <f t="shared" si="75"/>
        <v>2351.6798040693293</v>
      </c>
      <c r="CP47" s="440">
        <f t="shared" si="75"/>
        <v>14725</v>
      </c>
      <c r="CQ47" s="489">
        <f t="shared" si="75"/>
        <v>14725</v>
      </c>
      <c r="CR47" s="441">
        <f t="shared" si="75"/>
        <v>14725</v>
      </c>
      <c r="CS47" s="440">
        <f t="shared" si="75"/>
        <v>2664.5000000000005</v>
      </c>
      <c r="CT47" s="441">
        <f t="shared" si="75"/>
        <v>2243</v>
      </c>
      <c r="CU47" s="441">
        <f t="shared" si="75"/>
        <v>1847.1999999999998</v>
      </c>
      <c r="CV47" s="553"/>
      <c r="CW47" s="553"/>
      <c r="CX47" s="895">
        <f t="shared" ref="CX47" si="76">CX46*CX10</f>
        <v>1068</v>
      </c>
      <c r="CY47" s="896">
        <f t="shared" ref="CY47" si="77">CY46*CY10</f>
        <v>970</v>
      </c>
      <c r="CZ47" s="913" t="e">
        <f t="shared" ref="CZ47" si="78">CZ46*CZ10</f>
        <v>#DIV/0!</v>
      </c>
      <c r="DA47" s="895">
        <f t="shared" ref="DA47" si="79">DA46*DA10</f>
        <v>576.03157894736842</v>
      </c>
      <c r="DB47" s="896">
        <f t="shared" ref="DB47" si="80">DB46*DB10</f>
        <v>639.63421052631588</v>
      </c>
      <c r="DC47" s="913" t="e">
        <f t="shared" ref="DC47" si="81">DC46*DC10</f>
        <v>#DIV/0!</v>
      </c>
      <c r="DD47" s="895">
        <f t="shared" ref="DD47" si="82">DD46*DD10</f>
        <v>276.70175438596493</v>
      </c>
      <c r="DE47" s="896">
        <f t="shared" ref="DE47" si="83">DE46*DE10</f>
        <v>270.03508771929825</v>
      </c>
      <c r="DF47" s="913">
        <f t="shared" ref="DF47" si="84">DF46*DF10</f>
        <v>256.70175438596493</v>
      </c>
      <c r="DG47" s="895">
        <f t="shared" ref="DG47" si="85">DG46*DG10</f>
        <v>146.54605263157896</v>
      </c>
      <c r="DH47" s="896">
        <f t="shared" ref="DH47" si="86">DH46*DH10</f>
        <v>139.79605263157896</v>
      </c>
      <c r="DI47" s="913">
        <f t="shared" ref="DI47" si="87">DI46*DI10</f>
        <v>154.04605263157896</v>
      </c>
      <c r="DJ47" s="895">
        <f t="shared" ref="DJ47" si="88">DJ46*DJ10</f>
        <v>265.14526315789476</v>
      </c>
      <c r="DK47" s="896">
        <f t="shared" ref="DK47" si="89">DK46*DK10</f>
        <v>277.94526315789471</v>
      </c>
      <c r="DL47" s="913">
        <f t="shared" ref="DL47" si="90">DL46*DL10</f>
        <v>361.14526315789476</v>
      </c>
      <c r="DM47" s="895">
        <f t="shared" ref="DM47" si="91">DM46*DM10</f>
        <v>161</v>
      </c>
      <c r="DN47" s="896">
        <f t="shared" ref="DN47" si="92">DN46*DN10</f>
        <v>159.80000000000001</v>
      </c>
      <c r="DO47" s="913">
        <f t="shared" ref="DO47" si="93">DO46*DO10</f>
        <v>158.4</v>
      </c>
      <c r="DP47" s="895">
        <f t="shared" ref="DP47" si="94">DP46*DP10</f>
        <v>273</v>
      </c>
      <c r="DQ47" s="896">
        <f t="shared" ref="DQ47" si="95">DQ46*DQ10</f>
        <v>257.33817719921871</v>
      </c>
      <c r="DR47" s="913">
        <f t="shared" ref="DR47" si="96">DR46*DR10</f>
        <v>190</v>
      </c>
      <c r="DS47" s="238"/>
      <c r="DT47" s="238"/>
      <c r="DU47" s="598" t="s">
        <v>523</v>
      </c>
      <c r="DV47" s="160" t="s">
        <v>472</v>
      </c>
      <c r="DW47" s="596">
        <v>1886.5652380952381</v>
      </c>
      <c r="DX47" s="496">
        <v>2046.6219512195121</v>
      </c>
      <c r="DY47" s="496">
        <v>2136.8277777777776</v>
      </c>
      <c r="DZ47" s="496">
        <v>2228.7559823155566</v>
      </c>
      <c r="EA47" s="559">
        <v>2417.1436879432622</v>
      </c>
      <c r="EB47" s="496">
        <v>1697.5182926829268</v>
      </c>
      <c r="EC47" s="496">
        <v>1760.9875</v>
      </c>
      <c r="ED47" s="496">
        <v>1832.9116702741703</v>
      </c>
      <c r="EE47" s="496">
        <v>1904.7653105232894</v>
      </c>
      <c r="EF47" s="559">
        <v>1951.1595744680851</v>
      </c>
      <c r="EG47" s="569"/>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row>
    <row r="48" spans="1:169" s="477" customFormat="1" ht="11" thickBot="1" x14ac:dyDescent="0.3">
      <c r="A48" s="512"/>
      <c r="B48" s="482"/>
      <c r="C48" s="483"/>
      <c r="D48" s="484"/>
      <c r="E48" s="485"/>
      <c r="F48" s="485"/>
      <c r="G48" s="485"/>
      <c r="H48" s="483"/>
      <c r="I48" s="484"/>
      <c r="J48" s="485"/>
      <c r="K48" s="485"/>
      <c r="L48" s="485"/>
      <c r="M48" s="483"/>
      <c r="N48" s="484"/>
      <c r="O48" s="485"/>
      <c r="P48" s="485"/>
      <c r="Q48" s="485"/>
      <c r="R48" s="483"/>
      <c r="S48" s="484"/>
      <c r="T48" s="485"/>
      <c r="U48" s="485"/>
      <c r="V48" s="485"/>
      <c r="W48" s="483"/>
      <c r="X48" s="484"/>
      <c r="Y48" s="485"/>
      <c r="Z48" s="485"/>
      <c r="AA48" s="485"/>
      <c r="AB48" s="483"/>
      <c r="AC48" s="484"/>
      <c r="AD48" s="485"/>
      <c r="AE48" s="485"/>
      <c r="AF48" s="485"/>
      <c r="AG48" s="483"/>
      <c r="AH48" s="484"/>
      <c r="AI48" s="485"/>
      <c r="AJ48" s="485"/>
      <c r="AK48" s="485"/>
      <c r="AL48" s="483"/>
      <c r="AM48" s="484"/>
      <c r="AN48" s="485"/>
      <c r="AO48" s="485"/>
      <c r="AP48" s="485"/>
      <c r="AQ48" s="483"/>
      <c r="AR48" s="484"/>
      <c r="AS48" s="485"/>
      <c r="AT48" s="485"/>
      <c r="AU48" s="485"/>
      <c r="AV48" s="483"/>
      <c r="AW48" s="484"/>
      <c r="AX48" s="485"/>
      <c r="AY48" s="485"/>
      <c r="AZ48" s="485"/>
      <c r="BA48" s="483"/>
      <c r="BB48" s="484"/>
      <c r="BC48" s="485"/>
      <c r="BD48" s="483"/>
      <c r="BE48" s="484"/>
      <c r="BF48" s="485"/>
      <c r="BG48" s="483"/>
      <c r="BH48" s="484"/>
      <c r="BI48" s="485"/>
      <c r="BJ48" s="485"/>
      <c r="BK48" s="485"/>
      <c r="BL48" s="483"/>
      <c r="BM48" s="484"/>
      <c r="BN48" s="485"/>
      <c r="BO48" s="485"/>
      <c r="BP48" s="485"/>
      <c r="BQ48" s="483"/>
      <c r="BR48" s="484"/>
      <c r="BS48" s="485"/>
      <c r="BT48" s="485"/>
      <c r="BU48" s="485"/>
      <c r="BV48" s="483"/>
      <c r="BW48" s="484"/>
      <c r="BX48" s="485"/>
      <c r="BY48" s="485"/>
      <c r="BZ48" s="485"/>
      <c r="CA48" s="483"/>
      <c r="CB48" s="484"/>
      <c r="CC48" s="485"/>
      <c r="CD48" s="485"/>
      <c r="CE48" s="485"/>
      <c r="CF48" s="483"/>
      <c r="CG48" s="484"/>
      <c r="CH48" s="485"/>
      <c r="CI48" s="483"/>
      <c r="CJ48" s="484"/>
      <c r="CK48" s="485"/>
      <c r="CL48" s="483"/>
      <c r="CM48" s="484"/>
      <c r="CN48" s="485"/>
      <c r="CO48" s="483"/>
      <c r="CP48" s="484"/>
      <c r="CQ48" s="485"/>
      <c r="CR48" s="483"/>
      <c r="CS48" s="484"/>
      <c r="CT48" s="483"/>
      <c r="CU48" s="483"/>
      <c r="CV48" s="548"/>
      <c r="CW48" s="550"/>
      <c r="CX48" s="862"/>
      <c r="CY48" s="863"/>
      <c r="CZ48" s="871"/>
      <c r="DA48" s="872"/>
      <c r="DB48" s="873"/>
      <c r="DC48" s="871"/>
      <c r="DD48" s="872"/>
      <c r="DE48" s="873"/>
      <c r="DF48" s="871"/>
      <c r="DG48" s="872"/>
      <c r="DH48" s="873"/>
      <c r="DI48" s="871"/>
      <c r="DJ48" s="872"/>
      <c r="DK48" s="873"/>
      <c r="DL48" s="871"/>
      <c r="DM48" s="872"/>
      <c r="DN48" s="863"/>
      <c r="DO48" s="871"/>
      <c r="DP48" s="862"/>
      <c r="DQ48" s="873"/>
      <c r="DR48" s="871"/>
      <c r="DS48" s="238"/>
      <c r="DT48" s="238"/>
      <c r="DU48" s="599" t="s">
        <v>524</v>
      </c>
      <c r="DV48" s="478" t="s">
        <v>472</v>
      </c>
      <c r="DW48" s="486">
        <v>625.6875</v>
      </c>
      <c r="DX48" s="487">
        <v>639.20000000000005</v>
      </c>
      <c r="DY48" s="487">
        <v>611</v>
      </c>
      <c r="DZ48" s="487">
        <v>582.79999999999995</v>
      </c>
      <c r="EA48" s="488">
        <v>599.25</v>
      </c>
      <c r="EB48" s="487">
        <v>460.08</v>
      </c>
      <c r="EC48" s="487">
        <v>444.72</v>
      </c>
      <c r="ED48" s="487">
        <v>418.56</v>
      </c>
      <c r="EE48" s="487">
        <v>405.48</v>
      </c>
      <c r="EF48" s="488">
        <v>396</v>
      </c>
      <c r="EG48" s="534"/>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row>
    <row r="49" spans="1:169" s="45" customFormat="1" x14ac:dyDescent="0.25">
      <c r="A49" s="513"/>
      <c r="B49" s="1493" t="s">
        <v>525</v>
      </c>
      <c r="C49" s="81" t="s">
        <v>458</v>
      </c>
      <c r="D49" s="80">
        <v>649.17405720000011</v>
      </c>
      <c r="E49" s="82">
        <v>713.18636400000003</v>
      </c>
      <c r="F49" s="82">
        <v>798.15367999999989</v>
      </c>
      <c r="G49" s="82">
        <v>884.1209960000001</v>
      </c>
      <c r="H49" s="81">
        <v>921.9733212000001</v>
      </c>
      <c r="I49" s="80">
        <v>118.60333333333332</v>
      </c>
      <c r="J49" s="82">
        <v>139.06666666666669</v>
      </c>
      <c r="K49" s="82">
        <v>166.90666666666667</v>
      </c>
      <c r="L49" s="82">
        <v>237.43616666666662</v>
      </c>
      <c r="M49" s="81">
        <v>277.04960784313721</v>
      </c>
      <c r="N49" s="80">
        <v>178.81999999999994</v>
      </c>
      <c r="O49" s="82">
        <v>204.47999999999996</v>
      </c>
      <c r="P49" s="82">
        <v>229.10499999999999</v>
      </c>
      <c r="Q49" s="82">
        <v>260.7299999999999</v>
      </c>
      <c r="R49" s="81">
        <v>286.38999999999993</v>
      </c>
      <c r="S49" s="80">
        <v>190.07499999999993</v>
      </c>
      <c r="T49" s="82">
        <v>196.87500000000011</v>
      </c>
      <c r="U49" s="82">
        <v>204.04999999999995</v>
      </c>
      <c r="V49" s="82">
        <v>213.60000000000002</v>
      </c>
      <c r="W49" s="81">
        <v>220.39999999999998</v>
      </c>
      <c r="X49" s="80">
        <v>164.44785714285712</v>
      </c>
      <c r="Y49" s="82">
        <v>206.03285714285704</v>
      </c>
      <c r="Z49" s="82">
        <v>242.85785714285706</v>
      </c>
      <c r="AA49" s="82">
        <v>306.25835714285705</v>
      </c>
      <c r="AB49" s="81">
        <v>339.7828571428571</v>
      </c>
      <c r="AC49" s="80">
        <v>-54.78000000000003</v>
      </c>
      <c r="AD49" s="82">
        <v>-0.7800000000000864</v>
      </c>
      <c r="AE49" s="82">
        <v>63.879999999999939</v>
      </c>
      <c r="AF49" s="82">
        <v>143.4899999999999</v>
      </c>
      <c r="AG49" s="81">
        <v>188.59000000000003</v>
      </c>
      <c r="AH49" s="80">
        <v>68.548333333333289</v>
      </c>
      <c r="AI49" s="82">
        <v>107.58333333333334</v>
      </c>
      <c r="AJ49" s="82">
        <v>135.00333333333333</v>
      </c>
      <c r="AK49" s="82">
        <v>178.19333333333327</v>
      </c>
      <c r="AL49" s="81">
        <v>227.73333333333329</v>
      </c>
      <c r="AM49" s="80">
        <v>122.0761904761905</v>
      </c>
      <c r="AN49" s="82">
        <v>172.66734047619036</v>
      </c>
      <c r="AO49" s="82">
        <v>209.04724047619044</v>
      </c>
      <c r="AP49" s="82">
        <v>257.31199047619043</v>
      </c>
      <c r="AQ49" s="81">
        <v>311.06619047619046</v>
      </c>
      <c r="AR49" s="80">
        <v>176.29</v>
      </c>
      <c r="AS49" s="82">
        <v>189.06750000000002</v>
      </c>
      <c r="AT49" s="82">
        <v>201.84500000000006</v>
      </c>
      <c r="AU49" s="82">
        <v>211.34500000000006</v>
      </c>
      <c r="AV49" s="81">
        <v>220.84500000000006</v>
      </c>
      <c r="AW49" s="80">
        <v>86.299999999999841</v>
      </c>
      <c r="AX49" s="82">
        <v>99.1724999999999</v>
      </c>
      <c r="AY49" s="82">
        <v>115.79499999999985</v>
      </c>
      <c r="AZ49" s="82">
        <v>129.04499999999985</v>
      </c>
      <c r="BA49" s="81">
        <v>142.29499999999985</v>
      </c>
      <c r="BB49" s="80">
        <v>100.96766666666662</v>
      </c>
      <c r="BC49" s="82">
        <v>118.99666666666661</v>
      </c>
      <c r="BD49" s="81">
        <v>154.04466666666667</v>
      </c>
      <c r="BE49" s="80">
        <v>240.82</v>
      </c>
      <c r="BF49" s="82">
        <v>303.02</v>
      </c>
      <c r="BG49" s="81">
        <v>399.87999999999988</v>
      </c>
      <c r="BH49" s="80">
        <v>23.32</v>
      </c>
      <c r="BI49" s="82">
        <v>26.8765</v>
      </c>
      <c r="BJ49" s="82">
        <v>34.525999999999996</v>
      </c>
      <c r="BK49" s="82">
        <v>42.448500000000003</v>
      </c>
      <c r="BL49" s="81">
        <v>44.399999999999991</v>
      </c>
      <c r="BM49" s="80">
        <v>24.202999999999996</v>
      </c>
      <c r="BN49" s="82">
        <v>40.710481000000001</v>
      </c>
      <c r="BO49" s="82">
        <v>64.271350000000012</v>
      </c>
      <c r="BP49" s="82">
        <v>86.469210000000018</v>
      </c>
      <c r="BQ49" s="81">
        <v>107.736</v>
      </c>
      <c r="BR49" s="80">
        <v>19.799999999999997</v>
      </c>
      <c r="BS49" s="82">
        <v>21.962999999999997</v>
      </c>
      <c r="BT49" s="82">
        <v>26.61</v>
      </c>
      <c r="BU49" s="82">
        <v>31.256999999999998</v>
      </c>
      <c r="BV49" s="81">
        <v>33.299999999999997</v>
      </c>
      <c r="BW49" s="80">
        <v>9.8010000000000019</v>
      </c>
      <c r="BX49" s="82">
        <v>22.996039999999979</v>
      </c>
      <c r="BY49" s="82">
        <v>45.10920999999999</v>
      </c>
      <c r="BZ49" s="82">
        <v>53.604439999999997</v>
      </c>
      <c r="CA49" s="81">
        <v>62.380650000000003</v>
      </c>
      <c r="CB49" s="80">
        <v>-2.5999999999999979</v>
      </c>
      <c r="CC49" s="82">
        <v>7.259999999999998</v>
      </c>
      <c r="CD49" s="82">
        <v>23.009999999999998</v>
      </c>
      <c r="CE49" s="82">
        <v>42.36</v>
      </c>
      <c r="CF49" s="81">
        <v>37.4</v>
      </c>
      <c r="CG49" s="80">
        <v>181.72000000000003</v>
      </c>
      <c r="CH49" s="82">
        <v>339.21000000000004</v>
      </c>
      <c r="CI49" s="81">
        <v>523.73400000000004</v>
      </c>
      <c r="CJ49" s="80">
        <v>3.3519999999999897</v>
      </c>
      <c r="CK49" s="83">
        <v>4.9019999999999868</v>
      </c>
      <c r="CL49" s="84">
        <v>14.340000000000003</v>
      </c>
      <c r="CM49" s="80">
        <v>14.825108477666348</v>
      </c>
      <c r="CN49" s="82">
        <v>21.748850555784244</v>
      </c>
      <c r="CO49" s="81">
        <v>36.711288620949503</v>
      </c>
      <c r="CP49" s="85">
        <v>4.7639999999999976</v>
      </c>
      <c r="CQ49" s="86">
        <v>6.2995000000000001</v>
      </c>
      <c r="CR49" s="87">
        <v>8.0375999999999994</v>
      </c>
      <c r="CS49" s="85">
        <v>1.2473749999999995</v>
      </c>
      <c r="CT49" s="87">
        <v>2.0945000000000005</v>
      </c>
      <c r="CU49" s="87">
        <v>2.9159250000000005</v>
      </c>
      <c r="CV49" s="545"/>
      <c r="CW49" s="533"/>
      <c r="CX49" s="897">
        <f>CX37-CX46</f>
        <v>992</v>
      </c>
      <c r="CY49" s="893">
        <f>CY37-CY46</f>
        <v>1220</v>
      </c>
      <c r="CZ49" s="914" t="e">
        <f>CZ37-CZ46</f>
        <v>#DIV/0!</v>
      </c>
      <c r="DA49" s="915">
        <f t="shared" ref="DA49:DR49" si="97">DA37-DA46</f>
        <v>907.47368421052624</v>
      </c>
      <c r="DB49" s="898">
        <f t="shared" si="97"/>
        <v>895.47368421052624</v>
      </c>
      <c r="DC49" s="914" t="e">
        <f t="shared" si="97"/>
        <v>#DIV/0!</v>
      </c>
      <c r="DD49" s="915">
        <f t="shared" si="97"/>
        <v>212.4736842105263</v>
      </c>
      <c r="DE49" s="898">
        <f t="shared" si="97"/>
        <v>257.4736842105263</v>
      </c>
      <c r="DF49" s="914">
        <f t="shared" si="97"/>
        <v>387.4736842105263</v>
      </c>
      <c r="DG49" s="915">
        <f t="shared" si="97"/>
        <v>99.60526315789474</v>
      </c>
      <c r="DH49" s="898">
        <f t="shared" si="97"/>
        <v>138.60526315789474</v>
      </c>
      <c r="DI49" s="914">
        <f t="shared" si="97"/>
        <v>319.60526315789474</v>
      </c>
      <c r="DJ49" s="915">
        <f t="shared" si="97"/>
        <v>292.85526315789474</v>
      </c>
      <c r="DK49" s="898">
        <f t="shared" si="97"/>
        <v>392.85526315789474</v>
      </c>
      <c r="DL49" s="914">
        <f t="shared" si="97"/>
        <v>717.8552631578948</v>
      </c>
      <c r="DM49" s="915">
        <f t="shared" si="97"/>
        <v>54.512</v>
      </c>
      <c r="DN49" s="898">
        <f t="shared" si="97"/>
        <v>61.805599999999998</v>
      </c>
      <c r="DO49" s="914">
        <f t="shared" si="97"/>
        <v>68.5</v>
      </c>
      <c r="DP49" s="915">
        <f t="shared" si="97"/>
        <v>21.320000000000007</v>
      </c>
      <c r="DQ49" s="898">
        <f t="shared" si="97"/>
        <v>26.899316835937512</v>
      </c>
      <c r="DR49" s="914">
        <f t="shared" si="97"/>
        <v>30.040000000000006</v>
      </c>
      <c r="DS49" s="238"/>
      <c r="DT49" s="238"/>
      <c r="DU49" s="590" t="s">
        <v>526</v>
      </c>
      <c r="DV49" s="147" t="s">
        <v>472</v>
      </c>
      <c r="DW49" s="600">
        <v>322</v>
      </c>
      <c r="DX49" s="601">
        <v>315</v>
      </c>
      <c r="DY49" s="601">
        <v>306</v>
      </c>
      <c r="DZ49" s="601">
        <v>297</v>
      </c>
      <c r="EA49" s="602">
        <v>270</v>
      </c>
      <c r="EB49" s="601">
        <v>217</v>
      </c>
      <c r="EC49" s="601">
        <v>211</v>
      </c>
      <c r="ED49" s="601">
        <v>205</v>
      </c>
      <c r="EE49" s="601">
        <v>199</v>
      </c>
      <c r="EF49" s="602">
        <v>194</v>
      </c>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row>
    <row r="50" spans="1:169" s="45" customFormat="1" ht="11.5" customHeight="1" thickBot="1" x14ac:dyDescent="0.3">
      <c r="A50" s="238"/>
      <c r="B50" s="1492"/>
      <c r="C50" s="441" t="s">
        <v>425</v>
      </c>
      <c r="D50" s="440">
        <f t="shared" ref="D50:AI50" si="98">D49*D10</f>
        <v>779.00886864000006</v>
      </c>
      <c r="E50" s="489">
        <f t="shared" si="98"/>
        <v>927.14227320000009</v>
      </c>
      <c r="F50" s="489">
        <f t="shared" si="98"/>
        <v>1117.4151519999998</v>
      </c>
      <c r="G50" s="489">
        <f t="shared" si="98"/>
        <v>1326.1814940000002</v>
      </c>
      <c r="H50" s="441">
        <f t="shared" si="98"/>
        <v>1475.1573139200002</v>
      </c>
      <c r="I50" s="440">
        <f t="shared" si="98"/>
        <v>177.90499999999997</v>
      </c>
      <c r="J50" s="489">
        <f t="shared" si="98"/>
        <v>229.46000000000004</v>
      </c>
      <c r="K50" s="489">
        <f t="shared" si="98"/>
        <v>300.43200000000002</v>
      </c>
      <c r="L50" s="489">
        <f t="shared" si="98"/>
        <v>522.35956666666664</v>
      </c>
      <c r="M50" s="441">
        <f t="shared" si="98"/>
        <v>637.21409803921551</v>
      </c>
      <c r="N50" s="440">
        <f t="shared" si="98"/>
        <v>447.04999999999984</v>
      </c>
      <c r="O50" s="489">
        <f t="shared" si="98"/>
        <v>562.31999999999994</v>
      </c>
      <c r="P50" s="489">
        <f t="shared" si="98"/>
        <v>687.31499999999994</v>
      </c>
      <c r="Q50" s="489">
        <f t="shared" si="98"/>
        <v>912.55499999999961</v>
      </c>
      <c r="R50" s="441">
        <f t="shared" si="98"/>
        <v>1145.5599999999997</v>
      </c>
      <c r="S50" s="440">
        <f t="shared" si="98"/>
        <v>475.18749999999983</v>
      </c>
      <c r="T50" s="489">
        <f t="shared" si="98"/>
        <v>570.93750000000034</v>
      </c>
      <c r="U50" s="489">
        <f t="shared" si="98"/>
        <v>612.14999999999986</v>
      </c>
      <c r="V50" s="489">
        <f t="shared" si="98"/>
        <v>651.48</v>
      </c>
      <c r="W50" s="441">
        <f t="shared" si="98"/>
        <v>683.2399999999999</v>
      </c>
      <c r="X50" s="440">
        <f t="shared" si="98"/>
        <v>230.22699999999995</v>
      </c>
      <c r="Y50" s="489">
        <f t="shared" si="98"/>
        <v>309.04928571428559</v>
      </c>
      <c r="Z50" s="489">
        <f t="shared" si="98"/>
        <v>400.71546428571412</v>
      </c>
      <c r="AA50" s="489">
        <f t="shared" si="98"/>
        <v>612.5167142857141</v>
      </c>
      <c r="AB50" s="441">
        <f t="shared" si="98"/>
        <v>713.54399999999998</v>
      </c>
      <c r="AC50" s="440">
        <f t="shared" si="98"/>
        <v>-164.34000000000009</v>
      </c>
      <c r="AD50" s="489">
        <f t="shared" si="98"/>
        <v>-2.6926027397263255</v>
      </c>
      <c r="AE50" s="489">
        <f t="shared" si="98"/>
        <v>259.43207091055569</v>
      </c>
      <c r="AF50" s="489">
        <f t="shared" si="98"/>
        <v>660.44712328767082</v>
      </c>
      <c r="AG50" s="441">
        <f t="shared" si="98"/>
        <v>895.80250000000012</v>
      </c>
      <c r="AH50" s="440">
        <f t="shared" si="98"/>
        <v>75.403166666666621</v>
      </c>
      <c r="AI50" s="489">
        <f t="shared" si="98"/>
        <v>139.85833333333335</v>
      </c>
      <c r="AJ50" s="489">
        <f t="shared" ref="AJ50:BO50" si="99">AJ49*AJ10</f>
        <v>216.00533333333334</v>
      </c>
      <c r="AK50" s="489">
        <f t="shared" si="99"/>
        <v>338.56733333333318</v>
      </c>
      <c r="AL50" s="441">
        <f t="shared" si="99"/>
        <v>501.01333333333326</v>
      </c>
      <c r="AM50" s="440">
        <f t="shared" si="99"/>
        <v>109.86857142857146</v>
      </c>
      <c r="AN50" s="489">
        <f t="shared" si="99"/>
        <v>172.66734047619036</v>
      </c>
      <c r="AO50" s="489">
        <f t="shared" si="99"/>
        <v>261.30905059523803</v>
      </c>
      <c r="AP50" s="489">
        <f t="shared" si="99"/>
        <v>385.96798571428565</v>
      </c>
      <c r="AQ50" s="441">
        <f t="shared" si="99"/>
        <v>497.70590476190478</v>
      </c>
      <c r="AR50" s="440">
        <f t="shared" si="99"/>
        <v>458.35399999999998</v>
      </c>
      <c r="AS50" s="489">
        <f t="shared" si="99"/>
        <v>519.93562500000007</v>
      </c>
      <c r="AT50" s="489">
        <f t="shared" si="99"/>
        <v>605.5350000000002</v>
      </c>
      <c r="AU50" s="489">
        <f t="shared" si="99"/>
        <v>686.87125000000015</v>
      </c>
      <c r="AV50" s="441">
        <f t="shared" si="99"/>
        <v>750.87300000000016</v>
      </c>
      <c r="AW50" s="440">
        <f t="shared" si="99"/>
        <v>258.89999999999952</v>
      </c>
      <c r="AX50" s="489">
        <f t="shared" si="99"/>
        <v>342.34890410958866</v>
      </c>
      <c r="AY50" s="489">
        <f t="shared" si="99"/>
        <v>470.27139403706616</v>
      </c>
      <c r="AZ50" s="489">
        <f t="shared" si="99"/>
        <v>593.96054794520489</v>
      </c>
      <c r="BA50" s="441">
        <f t="shared" si="99"/>
        <v>711.47499999999923</v>
      </c>
      <c r="BB50" s="440">
        <f t="shared" si="99"/>
        <v>90.870899999999963</v>
      </c>
      <c r="BC50" s="489">
        <f t="shared" si="99"/>
        <v>118.99666666666661</v>
      </c>
      <c r="BD50" s="441">
        <f t="shared" si="99"/>
        <v>169.44913333333335</v>
      </c>
      <c r="BE50" s="440">
        <f t="shared" si="99"/>
        <v>361.23</v>
      </c>
      <c r="BF50" s="489">
        <f t="shared" si="99"/>
        <v>378.77499999999998</v>
      </c>
      <c r="BG50" s="441">
        <f t="shared" si="99"/>
        <v>999.6999999999997</v>
      </c>
      <c r="BH50" s="440">
        <f t="shared" si="99"/>
        <v>279.84000000000003</v>
      </c>
      <c r="BI50" s="489">
        <f t="shared" si="99"/>
        <v>403.14749999999998</v>
      </c>
      <c r="BJ50" s="489">
        <f t="shared" si="99"/>
        <v>517.89</v>
      </c>
      <c r="BK50" s="489">
        <f t="shared" si="99"/>
        <v>636.72750000000008</v>
      </c>
      <c r="BL50" s="441">
        <f t="shared" si="99"/>
        <v>799.19999999999982</v>
      </c>
      <c r="BM50" s="440">
        <f t="shared" si="99"/>
        <v>169.42099999999996</v>
      </c>
      <c r="BN50" s="489">
        <f t="shared" si="99"/>
        <v>325.68384800000001</v>
      </c>
      <c r="BO50" s="489">
        <f t="shared" si="99"/>
        <v>642.71350000000007</v>
      </c>
      <c r="BP50" s="489">
        <f t="shared" ref="BP50:CU50" si="100">BP49*BP10</f>
        <v>951.16131000000019</v>
      </c>
      <c r="BQ50" s="441">
        <f t="shared" si="100"/>
        <v>1400.568</v>
      </c>
      <c r="BR50" s="440">
        <f t="shared" si="100"/>
        <v>475.19999999999993</v>
      </c>
      <c r="BS50" s="489">
        <f t="shared" si="100"/>
        <v>571.0379999999999</v>
      </c>
      <c r="BT50" s="489">
        <f t="shared" si="100"/>
        <v>745.07999999999993</v>
      </c>
      <c r="BU50" s="489">
        <f t="shared" si="100"/>
        <v>937.70999999999992</v>
      </c>
      <c r="BV50" s="441">
        <f t="shared" si="100"/>
        <v>1065.5999999999999</v>
      </c>
      <c r="BW50" s="440">
        <f t="shared" si="100"/>
        <v>29.403000000000006</v>
      </c>
      <c r="BX50" s="489">
        <f t="shared" si="100"/>
        <v>160.97227999999984</v>
      </c>
      <c r="BY50" s="489">
        <f t="shared" si="100"/>
        <v>338.31907499999994</v>
      </c>
      <c r="BZ50" s="489">
        <f t="shared" si="100"/>
        <v>428.83551999999997</v>
      </c>
      <c r="CA50" s="441">
        <f t="shared" si="100"/>
        <v>561.42585000000008</v>
      </c>
      <c r="CB50" s="440">
        <f t="shared" si="100"/>
        <v>-38.999999999999972</v>
      </c>
      <c r="CC50" s="489">
        <f t="shared" si="100"/>
        <v>108.89999999999998</v>
      </c>
      <c r="CD50" s="489">
        <f t="shared" si="100"/>
        <v>345.15</v>
      </c>
      <c r="CE50" s="489">
        <f t="shared" si="100"/>
        <v>635.4</v>
      </c>
      <c r="CF50" s="441">
        <f t="shared" si="100"/>
        <v>561</v>
      </c>
      <c r="CG50" s="440">
        <f t="shared" si="100"/>
        <v>3634.4000000000005</v>
      </c>
      <c r="CH50" s="489">
        <f t="shared" si="100"/>
        <v>6784.2000000000007</v>
      </c>
      <c r="CI50" s="441">
        <f t="shared" si="100"/>
        <v>10474.68</v>
      </c>
      <c r="CJ50" s="440">
        <f t="shared" si="100"/>
        <v>93.85599999999971</v>
      </c>
      <c r="CK50" s="489">
        <f t="shared" si="100"/>
        <v>147.0599999999996</v>
      </c>
      <c r="CL50" s="441">
        <f t="shared" si="100"/>
        <v>501.90000000000009</v>
      </c>
      <c r="CM50" s="440">
        <f t="shared" si="100"/>
        <v>355.80260346399234</v>
      </c>
      <c r="CN50" s="489">
        <f t="shared" si="100"/>
        <v>543.72126389460607</v>
      </c>
      <c r="CO50" s="441">
        <f t="shared" si="100"/>
        <v>1009.5604370761114</v>
      </c>
      <c r="CP50" s="440">
        <f t="shared" si="100"/>
        <v>4763.9999999999973</v>
      </c>
      <c r="CQ50" s="489">
        <f t="shared" si="100"/>
        <v>6299.5</v>
      </c>
      <c r="CR50" s="441">
        <f t="shared" si="100"/>
        <v>8037.5999999999995</v>
      </c>
      <c r="CS50" s="440">
        <f t="shared" si="100"/>
        <v>1247.3749999999995</v>
      </c>
      <c r="CT50" s="441">
        <f t="shared" si="100"/>
        <v>2094.5000000000005</v>
      </c>
      <c r="CU50" s="441">
        <f t="shared" si="100"/>
        <v>2915.9250000000006</v>
      </c>
      <c r="CV50" s="551"/>
      <c r="CW50" s="553"/>
      <c r="CX50" s="895">
        <f t="shared" ref="CX50" si="101">CX49*CX10</f>
        <v>992</v>
      </c>
      <c r="CY50" s="896">
        <f t="shared" ref="CY50" si="102">CY49*CY10</f>
        <v>1220</v>
      </c>
      <c r="CZ50" s="913" t="e">
        <f t="shared" ref="CZ50" si="103">CZ49*CZ10</f>
        <v>#DIV/0!</v>
      </c>
      <c r="DA50" s="895">
        <f t="shared" ref="DA50" si="104">DA49*DA10</f>
        <v>1088.9684210526314</v>
      </c>
      <c r="DB50" s="896">
        <f t="shared" ref="DB50" si="105">DB49*DB10</f>
        <v>1164.1157894736841</v>
      </c>
      <c r="DC50" s="913" t="e">
        <f t="shared" ref="DC50" si="106">DC49*DC10</f>
        <v>#DIV/0!</v>
      </c>
      <c r="DD50" s="895">
        <f t="shared" ref="DD50" si="107">DD49*DD10</f>
        <v>283.29824561403507</v>
      </c>
      <c r="DE50" s="896">
        <f t="shared" ref="DE50" si="108">DE49*DE10</f>
        <v>343.29824561403507</v>
      </c>
      <c r="DF50" s="913">
        <f t="shared" ref="DF50" si="109">DF49*DF10</f>
        <v>516.63157894736833</v>
      </c>
      <c r="DG50" s="895">
        <f t="shared" ref="DG50" si="110">DG49*DG10</f>
        <v>74.703947368421055</v>
      </c>
      <c r="DH50" s="896">
        <f t="shared" ref="DH50" si="111">DH49*DH10</f>
        <v>103.95394736842105</v>
      </c>
      <c r="DI50" s="913">
        <f t="shared" ref="DI50" si="112">DI49*DI10</f>
        <v>239.70394736842104</v>
      </c>
      <c r="DJ50" s="895">
        <f t="shared" ref="DJ50" si="113">DJ49*DJ10</f>
        <v>374.8547368421053</v>
      </c>
      <c r="DK50" s="896">
        <f t="shared" ref="DK50" si="114">DK49*DK10</f>
        <v>502.8547368421053</v>
      </c>
      <c r="DL50" s="913">
        <f t="shared" ref="DL50" si="115">DL49*DL10</f>
        <v>918.85473684210535</v>
      </c>
      <c r="DM50" s="895">
        <f t="shared" ref="DM50" si="116">DM49*DM10</f>
        <v>250.75519999999997</v>
      </c>
      <c r="DN50" s="896">
        <f t="shared" ref="DN50" si="117">DN49*DN10</f>
        <v>290.48631999999998</v>
      </c>
      <c r="DO50" s="913">
        <f t="shared" ref="DO50" si="118">DO49*DO10</f>
        <v>328.8</v>
      </c>
      <c r="DP50" s="895">
        <f t="shared" ref="DP50" si="119">DP49*DP10</f>
        <v>138.58000000000004</v>
      </c>
      <c r="DQ50" s="896">
        <f t="shared" ref="DQ50" si="120">DQ49*DQ10</f>
        <v>180.22542280078133</v>
      </c>
      <c r="DR50" s="913">
        <f t="shared" ref="DR50" si="121">DR49*DR10</f>
        <v>150.20000000000005</v>
      </c>
      <c r="DS50" s="238"/>
      <c r="DT50" s="238"/>
      <c r="DU50" s="591" t="s">
        <v>512</v>
      </c>
      <c r="DV50" s="147" t="s">
        <v>472</v>
      </c>
      <c r="DW50" s="603">
        <v>947.6875</v>
      </c>
      <c r="DX50" s="604">
        <v>954.2</v>
      </c>
      <c r="DY50" s="604">
        <v>917</v>
      </c>
      <c r="DZ50" s="604">
        <v>879.8</v>
      </c>
      <c r="EA50" s="605">
        <v>869.25</v>
      </c>
      <c r="EB50" s="604">
        <v>677.07999999999993</v>
      </c>
      <c r="EC50" s="604">
        <v>655.72</v>
      </c>
      <c r="ED50" s="604">
        <v>623.55999999999995</v>
      </c>
      <c r="EE50" s="604">
        <v>604.48</v>
      </c>
      <c r="EF50" s="605">
        <v>590</v>
      </c>
      <c r="EG50" s="238"/>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row>
    <row r="51" spans="1:169" s="235" customFormat="1" x14ac:dyDescent="0.25">
      <c r="B51" s="529"/>
      <c r="C51" s="529"/>
      <c r="D51" s="529"/>
      <c r="E51" s="529"/>
      <c r="F51" s="529"/>
      <c r="G51" s="529"/>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30"/>
      <c r="CL51" s="530"/>
      <c r="CM51" s="529"/>
      <c r="CN51" s="529"/>
      <c r="CO51" s="529"/>
      <c r="CP51" s="531"/>
      <c r="CQ51" s="531"/>
      <c r="CR51" s="531"/>
      <c r="CS51" s="531"/>
      <c r="CT51" s="531"/>
      <c r="CU51" s="531"/>
      <c r="CV51" s="532"/>
      <c r="CW51" s="533"/>
      <c r="CX51" s="534"/>
      <c r="CY51" s="534"/>
      <c r="CZ51" s="535"/>
      <c r="DA51" s="535"/>
      <c r="DB51" s="535"/>
      <c r="DC51" s="535"/>
      <c r="DD51" s="535"/>
      <c r="DE51" s="535"/>
      <c r="DF51" s="535"/>
      <c r="DG51" s="535"/>
      <c r="DH51" s="535"/>
      <c r="DI51" s="535"/>
      <c r="DJ51" s="535"/>
      <c r="DK51" s="535"/>
      <c r="DL51" s="535"/>
      <c r="DM51" s="535"/>
      <c r="DN51" s="535"/>
      <c r="DO51" s="535"/>
      <c r="DP51" s="534"/>
      <c r="DQ51" s="535"/>
      <c r="DR51" s="535"/>
      <c r="DT51" s="238"/>
      <c r="DU51" s="591" t="s">
        <v>514</v>
      </c>
      <c r="DV51" s="147" t="s">
        <v>472</v>
      </c>
      <c r="DW51" s="603">
        <v>938.8777380952381</v>
      </c>
      <c r="DX51" s="604">
        <v>1092.421951219512</v>
      </c>
      <c r="DY51" s="604">
        <v>1219.8277777777776</v>
      </c>
      <c r="DZ51" s="604">
        <v>1348.9559823155566</v>
      </c>
      <c r="EA51" s="605">
        <v>1547.8936879432622</v>
      </c>
      <c r="EB51" s="604">
        <v>1020.4382926829269</v>
      </c>
      <c r="EC51" s="604">
        <v>1105.2674999999999</v>
      </c>
      <c r="ED51" s="604">
        <v>1209.3516702741704</v>
      </c>
      <c r="EE51" s="604">
        <v>1300.2853105232894</v>
      </c>
      <c r="EF51" s="605">
        <v>1361.1595744680851</v>
      </c>
      <c r="EG51" s="238"/>
      <c r="EH51" s="238"/>
    </row>
    <row r="52" spans="1:169" s="235" customFormat="1" x14ac:dyDescent="0.25">
      <c r="B52" s="290" t="s">
        <v>527</v>
      </c>
      <c r="C52" s="290"/>
      <c r="D52" s="290"/>
      <c r="E52" s="290"/>
      <c r="F52" s="290"/>
      <c r="G52" s="290"/>
      <c r="H52" s="536"/>
      <c r="I52" s="290"/>
      <c r="J52" s="290"/>
      <c r="K52" s="290"/>
      <c r="L52" s="290"/>
      <c r="M52" s="536"/>
      <c r="N52" s="290"/>
      <c r="O52" s="290"/>
      <c r="P52" s="290"/>
      <c r="Q52" s="290"/>
      <c r="R52" s="536"/>
      <c r="S52" s="290"/>
      <c r="T52" s="290"/>
      <c r="U52" s="290"/>
      <c r="V52" s="290"/>
      <c r="W52" s="536"/>
      <c r="X52" s="290"/>
      <c r="Y52" s="290"/>
      <c r="Z52" s="290"/>
      <c r="AA52" s="290"/>
      <c r="AB52" s="536"/>
      <c r="AC52" s="290"/>
      <c r="AD52" s="290"/>
      <c r="AE52" s="290"/>
      <c r="AF52" s="290"/>
      <c r="AG52" s="536"/>
      <c r="AH52" s="290"/>
      <c r="AI52" s="290"/>
      <c r="AJ52" s="290"/>
      <c r="AK52" s="290"/>
      <c r="AL52" s="536"/>
      <c r="AM52" s="290"/>
      <c r="AN52" s="290"/>
      <c r="AO52" s="290"/>
      <c r="AP52" s="290"/>
      <c r="AQ52" s="536"/>
      <c r="AR52" s="290"/>
      <c r="AS52" s="290"/>
      <c r="AT52" s="290"/>
      <c r="AU52" s="290"/>
      <c r="AV52" s="536"/>
      <c r="AW52" s="290"/>
      <c r="AX52" s="290"/>
      <c r="AY52" s="290"/>
      <c r="AZ52" s="290"/>
      <c r="BA52" s="536"/>
      <c r="BB52" s="290"/>
      <c r="BC52" s="290"/>
      <c r="BD52" s="536"/>
      <c r="BE52" s="290"/>
      <c r="BF52" s="290"/>
      <c r="BG52" s="536"/>
      <c r="BH52" s="290"/>
      <c r="BI52" s="290"/>
      <c r="BJ52" s="290"/>
      <c r="BK52" s="290"/>
      <c r="BL52" s="536"/>
      <c r="BM52" s="290"/>
      <c r="BN52" s="290"/>
      <c r="BO52" s="290"/>
      <c r="BP52" s="290"/>
      <c r="BQ52" s="536"/>
      <c r="BR52" s="290"/>
      <c r="BS52" s="290"/>
      <c r="BT52" s="290"/>
      <c r="BU52" s="290"/>
      <c r="BV52" s="536"/>
      <c r="BW52" s="290"/>
      <c r="BX52" s="290"/>
      <c r="BY52" s="290"/>
      <c r="BZ52" s="290"/>
      <c r="CA52" s="536"/>
      <c r="CB52" s="290"/>
      <c r="CC52" s="290"/>
      <c r="CD52" s="290"/>
      <c r="CE52" s="290"/>
      <c r="CF52" s="536"/>
      <c r="CG52" s="290"/>
      <c r="CH52" s="290"/>
      <c r="CI52" s="536"/>
      <c r="CJ52" s="290"/>
      <c r="CK52" s="290"/>
      <c r="CL52" s="536"/>
      <c r="CM52" s="290"/>
      <c r="CN52" s="290"/>
      <c r="CO52" s="536"/>
      <c r="CP52" s="290"/>
      <c r="CQ52" s="290"/>
      <c r="CR52" s="536"/>
      <c r="CS52" s="290"/>
      <c r="CT52" s="290"/>
      <c r="CU52" s="290"/>
      <c r="CV52" s="532"/>
      <c r="CW52" s="290"/>
      <c r="CX52" s="290"/>
      <c r="CY52" s="290"/>
      <c r="CZ52" s="290"/>
      <c r="DA52" s="290"/>
      <c r="DB52" s="290"/>
      <c r="DC52" s="290"/>
      <c r="DD52" s="290"/>
      <c r="DE52" s="290"/>
      <c r="DF52" s="290"/>
      <c r="DG52" s="290"/>
      <c r="DH52" s="290"/>
      <c r="DI52" s="290"/>
      <c r="DJ52" s="290"/>
      <c r="DK52" s="290"/>
      <c r="DL52" s="290"/>
      <c r="DM52" s="290"/>
      <c r="DN52" s="290"/>
      <c r="DO52" s="290"/>
      <c r="DP52" s="290"/>
      <c r="DQ52" s="290"/>
      <c r="DR52" s="290"/>
      <c r="DT52" s="238"/>
      <c r="DU52" s="591" t="s">
        <v>516</v>
      </c>
      <c r="DV52" s="606" t="s">
        <v>425</v>
      </c>
      <c r="DW52" s="603">
        <v>1783.8677023809523</v>
      </c>
      <c r="DX52" s="604">
        <v>2184.8439024390241</v>
      </c>
      <c r="DY52" s="604">
        <v>2561.6383333333329</v>
      </c>
      <c r="DZ52" s="604">
        <v>2967.7031610942249</v>
      </c>
      <c r="EA52" s="605">
        <v>3405.3661134751769</v>
      </c>
      <c r="EB52" s="604">
        <v>2347.0080731707317</v>
      </c>
      <c r="EC52" s="604">
        <v>2652.6419999999998</v>
      </c>
      <c r="ED52" s="604">
        <v>3023.3791756854262</v>
      </c>
      <c r="EE52" s="604">
        <v>3380.7418073605522</v>
      </c>
      <c r="EF52" s="605">
        <v>3675.1308510638301</v>
      </c>
      <c r="EG52" s="238"/>
      <c r="EH52" s="238"/>
    </row>
    <row r="53" spans="1:169" s="235" customFormat="1" ht="11" thickBot="1" x14ac:dyDescent="0.3">
      <c r="DT53" s="238"/>
      <c r="DU53" s="598" t="s">
        <v>216</v>
      </c>
      <c r="DV53" s="160" t="s">
        <v>472</v>
      </c>
      <c r="DW53" s="607">
        <v>37.158958333333338</v>
      </c>
      <c r="DX53" s="608">
        <v>37.180666666666667</v>
      </c>
      <c r="DY53" s="608">
        <v>37.056666666666665</v>
      </c>
      <c r="DZ53" s="608">
        <v>36.932666666666663</v>
      </c>
      <c r="EA53" s="609">
        <v>36.897500000000001</v>
      </c>
      <c r="EB53" s="608">
        <v>33.256933333333329</v>
      </c>
      <c r="EC53" s="608">
        <v>33.185733333333332</v>
      </c>
      <c r="ED53" s="608">
        <v>33.078533333333333</v>
      </c>
      <c r="EE53" s="608">
        <v>33.014933333333332</v>
      </c>
      <c r="EF53" s="609">
        <v>32.966666666666669</v>
      </c>
      <c r="EG53" s="238"/>
      <c r="EH53" s="238"/>
    </row>
    <row r="54" spans="1:169" s="235" customFormat="1" x14ac:dyDescent="0.25">
      <c r="B54" s="1123" t="s">
        <v>974</v>
      </c>
      <c r="C54" s="1117" t="s">
        <v>464</v>
      </c>
      <c r="D54" s="1117"/>
      <c r="E54" s="1117"/>
      <c r="F54" s="1118">
        <f>F41</f>
        <v>307.99632000000003</v>
      </c>
      <c r="G54" s="1118">
        <f t="shared" ref="G54:BR54" si="122">G41</f>
        <v>292.59650399999998</v>
      </c>
      <c r="H54" s="1118">
        <f t="shared" si="122"/>
        <v>277.96667880000001</v>
      </c>
      <c r="I54" s="1118">
        <f t="shared" si="122"/>
        <v>47.73</v>
      </c>
      <c r="J54" s="1118">
        <f t="shared" si="122"/>
        <v>44.4</v>
      </c>
      <c r="K54" s="1118">
        <f t="shared" si="122"/>
        <v>39.96</v>
      </c>
      <c r="L54" s="1118">
        <f t="shared" si="122"/>
        <v>33.250500000000002</v>
      </c>
      <c r="M54" s="1118">
        <f t="shared" si="122"/>
        <v>29.97</v>
      </c>
      <c r="N54" s="1118">
        <f t="shared" si="122"/>
        <v>73.5</v>
      </c>
      <c r="O54" s="1118">
        <f t="shared" si="122"/>
        <v>70.56</v>
      </c>
      <c r="P54" s="1118">
        <f t="shared" si="122"/>
        <v>66.150000000000006</v>
      </c>
      <c r="Q54" s="1118">
        <f t="shared" si="122"/>
        <v>61.74</v>
      </c>
      <c r="R54" s="1118">
        <f t="shared" si="122"/>
        <v>58.8</v>
      </c>
      <c r="S54" s="1118">
        <f t="shared" si="122"/>
        <v>16.125</v>
      </c>
      <c r="T54" s="1118">
        <f t="shared" si="122"/>
        <v>16.125</v>
      </c>
      <c r="U54" s="1118">
        <f t="shared" si="122"/>
        <v>15.75</v>
      </c>
      <c r="V54" s="1118">
        <f t="shared" si="122"/>
        <v>15</v>
      </c>
      <c r="W54" s="1118">
        <f t="shared" si="122"/>
        <v>15</v>
      </c>
      <c r="X54" s="1118">
        <f t="shared" si="122"/>
        <v>80.64</v>
      </c>
      <c r="Y54" s="1118">
        <f t="shared" si="122"/>
        <v>75.989999999999995</v>
      </c>
      <c r="Z54" s="1118">
        <f t="shared" si="122"/>
        <v>69.284999999999997</v>
      </c>
      <c r="AA54" s="1118">
        <f t="shared" si="122"/>
        <v>62.832000000000001</v>
      </c>
      <c r="AB54" s="1118">
        <f t="shared" si="122"/>
        <v>58.24</v>
      </c>
      <c r="AC54" s="1118">
        <f t="shared" si="122"/>
        <v>144.05000000000001</v>
      </c>
      <c r="AD54" s="1118">
        <f t="shared" si="122"/>
        <v>139.75</v>
      </c>
      <c r="AE54" s="1118">
        <f t="shared" si="122"/>
        <v>132.30000000000001</v>
      </c>
      <c r="AF54" s="1118">
        <f t="shared" si="122"/>
        <v>108</v>
      </c>
      <c r="AG54" s="1118">
        <f t="shared" si="122"/>
        <v>104</v>
      </c>
      <c r="AH54" s="1118">
        <f t="shared" si="122"/>
        <v>50.625</v>
      </c>
      <c r="AI54" s="1118">
        <f t="shared" si="122"/>
        <v>46.41</v>
      </c>
      <c r="AJ54" s="1118">
        <f t="shared" si="122"/>
        <v>41.99</v>
      </c>
      <c r="AK54" s="1118">
        <f t="shared" si="122"/>
        <v>35.36</v>
      </c>
      <c r="AL54" s="1118">
        <f t="shared" si="122"/>
        <v>30.8</v>
      </c>
      <c r="AM54" s="1118">
        <f t="shared" si="122"/>
        <v>81</v>
      </c>
      <c r="AN54" s="1118">
        <f t="shared" si="122"/>
        <v>77.048850000000002</v>
      </c>
      <c r="AO54" s="1118">
        <f t="shared" si="122"/>
        <v>70.348950000000002</v>
      </c>
      <c r="AP54" s="1118">
        <f t="shared" si="122"/>
        <v>63.874200000000002</v>
      </c>
      <c r="AQ54" s="1118">
        <f t="shared" si="122"/>
        <v>61.05</v>
      </c>
      <c r="AR54" s="1118">
        <f t="shared" si="122"/>
        <v>33.6</v>
      </c>
      <c r="AS54" s="1118">
        <f t="shared" si="122"/>
        <v>33.6</v>
      </c>
      <c r="AT54" s="1118">
        <f t="shared" si="122"/>
        <v>33.6</v>
      </c>
      <c r="AU54" s="1118">
        <f t="shared" si="122"/>
        <v>33.6</v>
      </c>
      <c r="AV54" s="1118">
        <f t="shared" si="122"/>
        <v>33.6</v>
      </c>
      <c r="AW54" s="1118">
        <f t="shared" si="122"/>
        <v>161.25</v>
      </c>
      <c r="AX54" s="1118">
        <f t="shared" si="122"/>
        <v>161.25</v>
      </c>
      <c r="AY54" s="1118">
        <f t="shared" si="122"/>
        <v>157.5</v>
      </c>
      <c r="AZ54" s="1118">
        <f t="shared" si="122"/>
        <v>153.75</v>
      </c>
      <c r="BA54" s="1118">
        <f t="shared" si="122"/>
        <v>150</v>
      </c>
      <c r="BB54" s="1118">
        <f t="shared" si="122"/>
        <v>37.125</v>
      </c>
      <c r="BC54" s="1118">
        <f t="shared" si="122"/>
        <v>35.36</v>
      </c>
      <c r="BD54" s="1118">
        <f t="shared" si="122"/>
        <v>35.36</v>
      </c>
      <c r="BE54" s="1118">
        <f t="shared" si="122"/>
        <v>77.400000000000006</v>
      </c>
      <c r="BF54" s="1118">
        <f t="shared" si="122"/>
        <v>75.599999999999994</v>
      </c>
      <c r="BG54" s="1118">
        <f t="shared" si="122"/>
        <v>75.599999999999994</v>
      </c>
      <c r="BH54" s="1118">
        <f t="shared" si="122"/>
        <v>3.15</v>
      </c>
      <c r="BI54" s="1118">
        <f t="shared" si="122"/>
        <v>2.7930000000000001</v>
      </c>
      <c r="BJ54" s="1118">
        <f t="shared" si="122"/>
        <v>2.94</v>
      </c>
      <c r="BK54" s="1118">
        <f t="shared" si="122"/>
        <v>2.8140000000000001</v>
      </c>
      <c r="BL54" s="1118">
        <f t="shared" si="122"/>
        <v>2.52</v>
      </c>
      <c r="BM54" s="1118">
        <f t="shared" si="122"/>
        <v>14.539</v>
      </c>
      <c r="BN54" s="1118">
        <f t="shared" si="122"/>
        <v>14.075828999999997</v>
      </c>
      <c r="BO54" s="1118">
        <f t="shared" si="122"/>
        <v>13.396649999999999</v>
      </c>
      <c r="BP54" s="1118">
        <f t="shared" si="122"/>
        <v>12.856629999999999</v>
      </c>
      <c r="BQ54" s="1118">
        <f t="shared" si="122"/>
        <v>12.462</v>
      </c>
      <c r="BR54" s="1118">
        <f t="shared" si="122"/>
        <v>3</v>
      </c>
      <c r="BS54" s="1118">
        <f t="shared" ref="BS54:CT54" si="123">BS41</f>
        <v>3.0870000000000002</v>
      </c>
      <c r="BT54" s="1118">
        <f t="shared" si="123"/>
        <v>2.94</v>
      </c>
      <c r="BU54" s="1118">
        <f t="shared" si="123"/>
        <v>2.7930000000000001</v>
      </c>
      <c r="BV54" s="1118">
        <f t="shared" si="123"/>
        <v>3</v>
      </c>
      <c r="BW54" s="1118">
        <f t="shared" si="123"/>
        <v>11.25</v>
      </c>
      <c r="BX54" s="1118">
        <f t="shared" si="123"/>
        <v>11.25</v>
      </c>
      <c r="BY54" s="1118">
        <f t="shared" si="123"/>
        <v>11.25</v>
      </c>
      <c r="BZ54" s="1118">
        <f t="shared" si="123"/>
        <v>11.25</v>
      </c>
      <c r="CA54" s="1118">
        <f t="shared" si="123"/>
        <v>11.25</v>
      </c>
      <c r="CB54" s="1118">
        <f t="shared" si="123"/>
        <v>5.4</v>
      </c>
      <c r="CC54" s="1118">
        <f t="shared" si="123"/>
        <v>5.4</v>
      </c>
      <c r="CD54" s="1118">
        <f t="shared" si="123"/>
        <v>5.4</v>
      </c>
      <c r="CE54" s="1118">
        <f t="shared" si="123"/>
        <v>5.4</v>
      </c>
      <c r="CF54" s="1118">
        <f t="shared" si="123"/>
        <v>5.4</v>
      </c>
      <c r="CG54" s="1118">
        <f t="shared" si="123"/>
        <v>791.7</v>
      </c>
      <c r="CH54" s="1118">
        <f t="shared" si="123"/>
        <v>763.8</v>
      </c>
      <c r="CI54" s="1118">
        <f t="shared" si="123"/>
        <v>705.23599999999999</v>
      </c>
      <c r="CJ54" s="1118">
        <f t="shared" si="123"/>
        <v>60.647999999999996</v>
      </c>
      <c r="CK54" s="1118">
        <f t="shared" si="123"/>
        <v>60.368000000000002</v>
      </c>
      <c r="CL54" s="1118">
        <f t="shared" si="123"/>
        <v>48.72</v>
      </c>
      <c r="CM54" s="1118">
        <f t="shared" si="123"/>
        <v>96.732776663628073</v>
      </c>
      <c r="CN54" s="1118">
        <f t="shared" si="123"/>
        <v>91.813039110745166</v>
      </c>
      <c r="CO54" s="1118">
        <f t="shared" si="123"/>
        <v>75.29256970610399</v>
      </c>
      <c r="CP54" s="1118">
        <f t="shared" si="123"/>
        <v>13.225</v>
      </c>
      <c r="CQ54" s="1118">
        <f t="shared" si="123"/>
        <v>13.225</v>
      </c>
      <c r="CR54" s="1118">
        <f t="shared" si="123"/>
        <v>13.225</v>
      </c>
      <c r="CS54" s="1118">
        <f t="shared" si="123"/>
        <v>2.4645000000000001</v>
      </c>
      <c r="CT54" s="1119">
        <f t="shared" si="123"/>
        <v>2.0429999999999997</v>
      </c>
      <c r="CV54" s="1123" t="s">
        <v>974</v>
      </c>
      <c r="CW54" s="1117" t="s">
        <v>464</v>
      </c>
      <c r="CX54" s="1118">
        <f t="shared" ref="CX54:DR54" si="124">CX41</f>
        <v>648</v>
      </c>
      <c r="CY54" s="1118">
        <f t="shared" si="124"/>
        <v>600</v>
      </c>
      <c r="CZ54" s="1118" t="e">
        <f t="shared" si="124"/>
        <v>#DIV/0!</v>
      </c>
      <c r="DA54" s="1118">
        <f t="shared" si="124"/>
        <v>146</v>
      </c>
      <c r="DB54" s="1118">
        <f t="shared" si="124"/>
        <v>140</v>
      </c>
      <c r="DC54" s="1118" t="e">
        <f t="shared" si="124"/>
        <v>#DIV/0!</v>
      </c>
      <c r="DD54" s="1118">
        <f t="shared" si="124"/>
        <v>30</v>
      </c>
      <c r="DE54" s="1118">
        <f t="shared" si="124"/>
        <v>25</v>
      </c>
      <c r="DF54" s="1118">
        <f t="shared" si="124"/>
        <v>12</v>
      </c>
      <c r="DG54" s="1118">
        <f t="shared" si="124"/>
        <v>15</v>
      </c>
      <c r="DH54" s="1118">
        <f t="shared" si="124"/>
        <v>16</v>
      </c>
      <c r="DI54" s="1118">
        <f t="shared" si="124"/>
        <v>25</v>
      </c>
      <c r="DJ54" s="1118">
        <f t="shared" si="124"/>
        <v>60</v>
      </c>
      <c r="DK54" s="1118">
        <f t="shared" si="124"/>
        <v>70</v>
      </c>
      <c r="DL54" s="1118">
        <f t="shared" si="124"/>
        <v>90</v>
      </c>
      <c r="DM54" s="1118">
        <f t="shared" si="124"/>
        <v>9</v>
      </c>
      <c r="DN54" s="1118">
        <f t="shared" si="124"/>
        <v>8</v>
      </c>
      <c r="DO54" s="1118">
        <f t="shared" si="124"/>
        <v>7</v>
      </c>
      <c r="DP54" s="1118">
        <f t="shared" si="124"/>
        <v>15</v>
      </c>
      <c r="DQ54" s="1118">
        <f t="shared" si="124"/>
        <v>12.408683164062499</v>
      </c>
      <c r="DR54" s="1118">
        <f t="shared" si="124"/>
        <v>13</v>
      </c>
      <c r="DT54" s="238"/>
      <c r="DU54" s="238"/>
      <c r="DV54" s="238"/>
      <c r="DW54" s="238"/>
      <c r="DX54" s="238"/>
      <c r="DY54" s="238"/>
      <c r="DZ54" s="238"/>
      <c r="EA54" s="238"/>
      <c r="EB54" s="238"/>
      <c r="EC54" s="238"/>
      <c r="ED54" s="238"/>
      <c r="EE54" s="238"/>
      <c r="EF54" s="238"/>
      <c r="EG54" s="238"/>
      <c r="EH54" s="238"/>
    </row>
    <row r="55" spans="1:169" s="235" customFormat="1" ht="21" x14ac:dyDescent="0.25">
      <c r="B55" s="1124" t="s">
        <v>975</v>
      </c>
      <c r="C55" s="1028" t="s">
        <v>449</v>
      </c>
      <c r="D55" s="1028"/>
      <c r="E55" s="1028"/>
      <c r="F55" s="1114">
        <f>'Cropping GMs - N cost Grain £'!$E$133</f>
        <v>2.15</v>
      </c>
      <c r="G55" s="1114">
        <f>'Cropping GMs - N cost Grain £'!$E$133</f>
        <v>2.15</v>
      </c>
      <c r="H55" s="1114">
        <f>'Cropping GMs - N cost Grain £'!$E$133</f>
        <v>2.15</v>
      </c>
      <c r="I55" s="1114">
        <f>'Cropping GMs - N cost Grain £'!$E$133</f>
        <v>2.15</v>
      </c>
      <c r="J55" s="1114">
        <f>'Cropping GMs - N cost Grain £'!$E$133</f>
        <v>2.15</v>
      </c>
      <c r="K55" s="1114">
        <f>'Cropping GMs - N cost Grain £'!$E$133</f>
        <v>2.15</v>
      </c>
      <c r="L55" s="1114">
        <f>'Cropping GMs - N cost Grain £'!$E$133</f>
        <v>2.15</v>
      </c>
      <c r="M55" s="1114">
        <f>'Cropping GMs - N cost Grain £'!$E$133</f>
        <v>2.15</v>
      </c>
      <c r="N55" s="1114">
        <f>'Cropping GMs - N cost Grain £'!$E$133</f>
        <v>2.15</v>
      </c>
      <c r="O55" s="1114">
        <f>'Cropping GMs - N cost Grain £'!$E$133</f>
        <v>2.15</v>
      </c>
      <c r="P55" s="1114">
        <f>'Cropping GMs - N cost Grain £'!$E$133</f>
        <v>2.15</v>
      </c>
      <c r="Q55" s="1114">
        <f>'Cropping GMs - N cost Grain £'!$E$133</f>
        <v>2.15</v>
      </c>
      <c r="R55" s="1114">
        <f>'Cropping GMs - N cost Grain £'!$E$133</f>
        <v>2.15</v>
      </c>
      <c r="S55" s="1114">
        <f>'Cropping GMs - N cost Grain £'!$E$133</f>
        <v>2.15</v>
      </c>
      <c r="T55" s="1114">
        <f>'Cropping GMs - N cost Grain £'!$E$133</f>
        <v>2.15</v>
      </c>
      <c r="U55" s="1114">
        <f>'Cropping GMs - N cost Grain £'!$E$133</f>
        <v>2.15</v>
      </c>
      <c r="V55" s="1114">
        <f>'Cropping GMs - N cost Grain £'!$E$133</f>
        <v>2.15</v>
      </c>
      <c r="W55" s="1114">
        <f>'Cropping GMs - N cost Grain £'!$E$133</f>
        <v>2.15</v>
      </c>
      <c r="X55" s="1114">
        <f>'Cropping GMs - N cost Grain £'!$E$133</f>
        <v>2.15</v>
      </c>
      <c r="Y55" s="1114">
        <f>'Cropping GMs - N cost Grain £'!$E$133</f>
        <v>2.15</v>
      </c>
      <c r="Z55" s="1114">
        <f>'Cropping GMs - N cost Grain £'!$E$133</f>
        <v>2.15</v>
      </c>
      <c r="AA55" s="1114">
        <f>'Cropping GMs - N cost Grain £'!$E$133</f>
        <v>2.15</v>
      </c>
      <c r="AB55" s="1114">
        <f>'Cropping GMs - N cost Grain £'!$E$133</f>
        <v>2.15</v>
      </c>
      <c r="AC55" s="1114">
        <f>'Cropping GMs - N cost Grain £'!$E$133</f>
        <v>2.15</v>
      </c>
      <c r="AD55" s="1114">
        <f>'Cropping GMs - N cost Grain £'!$E$133</f>
        <v>2.15</v>
      </c>
      <c r="AE55" s="1114">
        <f>'Cropping GMs - N cost Grain £'!$E$133</f>
        <v>2.15</v>
      </c>
      <c r="AF55" s="1114">
        <f>'Cropping GMs - N cost Grain £'!$E$133</f>
        <v>2.15</v>
      </c>
      <c r="AG55" s="1114">
        <f>'Cropping GMs - N cost Grain £'!$E$133</f>
        <v>2.15</v>
      </c>
      <c r="AH55" s="1114">
        <f>'Cropping GMs - N cost Grain £'!$E$133</f>
        <v>2.15</v>
      </c>
      <c r="AI55" s="1114">
        <f>'Cropping GMs - N cost Grain £'!$E$133</f>
        <v>2.15</v>
      </c>
      <c r="AJ55" s="1114">
        <f>'Cropping GMs - N cost Grain £'!$E$133</f>
        <v>2.15</v>
      </c>
      <c r="AK55" s="1114">
        <f>'Cropping GMs - N cost Grain £'!$E$133</f>
        <v>2.15</v>
      </c>
      <c r="AL55" s="1114">
        <f>'Cropping GMs - N cost Grain £'!$E$133</f>
        <v>2.15</v>
      </c>
      <c r="AM55" s="1114">
        <f>'Cropping GMs - N cost Grain £'!$E$133</f>
        <v>2.15</v>
      </c>
      <c r="AN55" s="1114">
        <f>'Cropping GMs - N cost Grain £'!$E$133</f>
        <v>2.15</v>
      </c>
      <c r="AO55" s="1114">
        <f>'Cropping GMs - N cost Grain £'!$E$133</f>
        <v>2.15</v>
      </c>
      <c r="AP55" s="1114">
        <f>'Cropping GMs - N cost Grain £'!$E$133</f>
        <v>2.15</v>
      </c>
      <c r="AQ55" s="1114">
        <f>'Cropping GMs - N cost Grain £'!$E$133</f>
        <v>2.15</v>
      </c>
      <c r="AR55" s="1114">
        <f>'Cropping GMs - N cost Grain £'!$E$133</f>
        <v>2.15</v>
      </c>
      <c r="AS55" s="1114">
        <f>'Cropping GMs - N cost Grain £'!$E$133</f>
        <v>2.15</v>
      </c>
      <c r="AT55" s="1114">
        <f>'Cropping GMs - N cost Grain £'!$E$133</f>
        <v>2.15</v>
      </c>
      <c r="AU55" s="1114">
        <f>'Cropping GMs - N cost Grain £'!$E$133</f>
        <v>2.15</v>
      </c>
      <c r="AV55" s="1114">
        <f>'Cropping GMs - N cost Grain £'!$E$133</f>
        <v>2.15</v>
      </c>
      <c r="AW55" s="1114">
        <f>'Cropping GMs - N cost Grain £'!$E$133</f>
        <v>2.15</v>
      </c>
      <c r="AX55" s="1114">
        <f>'Cropping GMs - N cost Grain £'!$E$133</f>
        <v>2.15</v>
      </c>
      <c r="AY55" s="1114">
        <f>'Cropping GMs - N cost Grain £'!$E$133</f>
        <v>2.15</v>
      </c>
      <c r="AZ55" s="1114">
        <f>'Cropping GMs - N cost Grain £'!$E$133</f>
        <v>2.15</v>
      </c>
      <c r="BA55" s="1114">
        <f>'Cropping GMs - N cost Grain £'!$E$133</f>
        <v>2.15</v>
      </c>
      <c r="BB55" s="1114">
        <f>'Cropping GMs - N cost Grain £'!$E$133</f>
        <v>2.15</v>
      </c>
      <c r="BC55" s="1114">
        <f>'Cropping GMs - N cost Grain £'!$E$133</f>
        <v>2.15</v>
      </c>
      <c r="BD55" s="1114">
        <f>'Cropping GMs - N cost Grain £'!$E$133</f>
        <v>2.15</v>
      </c>
      <c r="BE55" s="1114">
        <f>'Cropping GMs - N cost Grain £'!$E$133</f>
        <v>2.15</v>
      </c>
      <c r="BF55" s="1114">
        <f>'Cropping GMs - N cost Grain £'!$E$133</f>
        <v>2.15</v>
      </c>
      <c r="BG55" s="1114">
        <f>'Cropping GMs - N cost Grain £'!$E$133</f>
        <v>2.15</v>
      </c>
      <c r="BH55" s="1114">
        <f>'Cropping GMs - N cost Grain £'!$E$133</f>
        <v>2.15</v>
      </c>
      <c r="BI55" s="1114">
        <f>'Cropping GMs - N cost Grain £'!$E$133</f>
        <v>2.15</v>
      </c>
      <c r="BJ55" s="1114">
        <f>'Cropping GMs - N cost Grain £'!$E$133</f>
        <v>2.15</v>
      </c>
      <c r="BK55" s="1114">
        <f>'Cropping GMs - N cost Grain £'!$E$133</f>
        <v>2.15</v>
      </c>
      <c r="BL55" s="1114">
        <f>'Cropping GMs - N cost Grain £'!$E$133</f>
        <v>2.15</v>
      </c>
      <c r="BM55" s="1114">
        <f>'Cropping GMs - N cost Grain £'!$E$133</f>
        <v>2.15</v>
      </c>
      <c r="BN55" s="1114">
        <f>'Cropping GMs - N cost Grain £'!$E$133</f>
        <v>2.15</v>
      </c>
      <c r="BO55" s="1114">
        <f>'Cropping GMs - N cost Grain £'!$E$133</f>
        <v>2.15</v>
      </c>
      <c r="BP55" s="1114">
        <f>'Cropping GMs - N cost Grain £'!$E$133</f>
        <v>2.15</v>
      </c>
      <c r="BQ55" s="1114">
        <f>'Cropping GMs - N cost Grain £'!$E$133</f>
        <v>2.15</v>
      </c>
      <c r="BR55" s="1114">
        <f>'Cropping GMs - N cost Grain £'!$E$133</f>
        <v>2.15</v>
      </c>
      <c r="BS55" s="1114">
        <f>'Cropping GMs - N cost Grain £'!$E$133</f>
        <v>2.15</v>
      </c>
      <c r="BT55" s="1114">
        <f>'Cropping GMs - N cost Grain £'!$E$133</f>
        <v>2.15</v>
      </c>
      <c r="BU55" s="1114">
        <f>'Cropping GMs - N cost Grain £'!$E$133</f>
        <v>2.15</v>
      </c>
      <c r="BV55" s="1114">
        <f>'Cropping GMs - N cost Grain £'!$E$133</f>
        <v>2.15</v>
      </c>
      <c r="BW55" s="1114">
        <f>'Cropping GMs - N cost Grain £'!$E$133</f>
        <v>2.15</v>
      </c>
      <c r="BX55" s="1114">
        <f>'Cropping GMs - N cost Grain £'!$E$133</f>
        <v>2.15</v>
      </c>
      <c r="BY55" s="1114">
        <f>'Cropping GMs - N cost Grain £'!$E$133</f>
        <v>2.15</v>
      </c>
      <c r="BZ55" s="1114">
        <f>'Cropping GMs - N cost Grain £'!$E$133</f>
        <v>2.15</v>
      </c>
      <c r="CA55" s="1114">
        <f>'Cropping GMs - N cost Grain £'!$E$133</f>
        <v>2.15</v>
      </c>
      <c r="CB55" s="1114">
        <f>'Cropping GMs - N cost Grain £'!$E$133</f>
        <v>2.15</v>
      </c>
      <c r="CC55" s="1114">
        <f>'Cropping GMs - N cost Grain £'!$E$133</f>
        <v>2.15</v>
      </c>
      <c r="CD55" s="1114">
        <f>'Cropping GMs - N cost Grain £'!$E$133</f>
        <v>2.15</v>
      </c>
      <c r="CE55" s="1114">
        <f>'Cropping GMs - N cost Grain £'!$E$133</f>
        <v>2.15</v>
      </c>
      <c r="CF55" s="1114">
        <f>'Cropping GMs - N cost Grain £'!$E$133</f>
        <v>2.15</v>
      </c>
      <c r="CG55" s="1114">
        <f>'Cropping GMs - N cost Grain £'!$E$133</f>
        <v>2.15</v>
      </c>
      <c r="CH55" s="1114">
        <f>'Cropping GMs - N cost Grain £'!$E$133</f>
        <v>2.15</v>
      </c>
      <c r="CI55" s="1114">
        <f>'Cropping GMs - N cost Grain £'!$E$133</f>
        <v>2.15</v>
      </c>
      <c r="CJ55" s="1114">
        <f>'Cropping GMs - N cost Grain £'!$E$133</f>
        <v>2.15</v>
      </c>
      <c r="CK55" s="1114">
        <f>'Cropping GMs - N cost Grain £'!$E$133</f>
        <v>2.15</v>
      </c>
      <c r="CL55" s="1114">
        <f>'Cropping GMs - N cost Grain £'!$E$133</f>
        <v>2.15</v>
      </c>
      <c r="CM55" s="1114">
        <f>'Cropping GMs - N cost Grain £'!$E$133</f>
        <v>2.15</v>
      </c>
      <c r="CN55" s="1114">
        <f>'Cropping GMs - N cost Grain £'!$E$133</f>
        <v>2.15</v>
      </c>
      <c r="CO55" s="1114">
        <f>'Cropping GMs - N cost Grain £'!$E$133</f>
        <v>2.15</v>
      </c>
      <c r="CP55" s="1114">
        <f>'Cropping GMs - N cost Grain £'!$E$133</f>
        <v>2.15</v>
      </c>
      <c r="CQ55" s="1114">
        <f>'Cropping GMs - N cost Grain £'!$E$133</f>
        <v>2.15</v>
      </c>
      <c r="CR55" s="1114">
        <f>'Cropping GMs - N cost Grain £'!$E$133</f>
        <v>2.15</v>
      </c>
      <c r="CS55" s="1114">
        <f>'Cropping GMs - N cost Grain £'!$E$133</f>
        <v>2.15</v>
      </c>
      <c r="CT55" s="1120">
        <f>'Cropping GMs - N cost Grain £'!$E$133</f>
        <v>2.15</v>
      </c>
      <c r="CV55" s="1124" t="s">
        <v>975</v>
      </c>
      <c r="CW55" s="1028" t="s">
        <v>449</v>
      </c>
      <c r="CX55" s="1114">
        <f>'Cropping GMs - N cost Grain £'!$E$133</f>
        <v>2.15</v>
      </c>
      <c r="CY55" s="1114">
        <f>'Cropping GMs - N cost Grain £'!$E$133</f>
        <v>2.15</v>
      </c>
      <c r="CZ55" s="1114">
        <f>'Cropping GMs - N cost Grain £'!$E$133</f>
        <v>2.15</v>
      </c>
      <c r="DA55" s="1114">
        <f>'Cropping GMs - N cost Grain £'!$E$133</f>
        <v>2.15</v>
      </c>
      <c r="DB55" s="1114">
        <f>'Cropping GMs - N cost Grain £'!$E$133</f>
        <v>2.15</v>
      </c>
      <c r="DC55" s="1114">
        <f>'Cropping GMs - N cost Grain £'!$E$133</f>
        <v>2.15</v>
      </c>
      <c r="DD55" s="1114">
        <f>'Cropping GMs - N cost Grain £'!$E$133</f>
        <v>2.15</v>
      </c>
      <c r="DE55" s="1114">
        <f>'Cropping GMs - N cost Grain £'!$E$133</f>
        <v>2.15</v>
      </c>
      <c r="DF55" s="1114">
        <f>'Cropping GMs - N cost Grain £'!$E$133</f>
        <v>2.15</v>
      </c>
      <c r="DG55" s="1114">
        <f>'Cropping GMs - N cost Grain £'!$E$133</f>
        <v>2.15</v>
      </c>
      <c r="DH55" s="1114">
        <f>'Cropping GMs - N cost Grain £'!$E$133</f>
        <v>2.15</v>
      </c>
      <c r="DI55" s="1114">
        <f>'Cropping GMs - N cost Grain £'!$E$133</f>
        <v>2.15</v>
      </c>
      <c r="DJ55" s="1114">
        <f>'Cropping GMs - N cost Grain £'!$E$133</f>
        <v>2.15</v>
      </c>
      <c r="DK55" s="1114">
        <f>'Cropping GMs - N cost Grain £'!$E$133</f>
        <v>2.15</v>
      </c>
      <c r="DL55" s="1114">
        <f>'Cropping GMs - N cost Grain £'!$E$133</f>
        <v>2.15</v>
      </c>
      <c r="DM55" s="1114">
        <f>'Cropping GMs - N cost Grain £'!$E$133</f>
        <v>2.15</v>
      </c>
      <c r="DN55" s="1114">
        <f>'Cropping GMs - N cost Grain £'!$E$133</f>
        <v>2.15</v>
      </c>
      <c r="DO55" s="1114">
        <f>'Cropping GMs - N cost Grain £'!$E$133</f>
        <v>2.15</v>
      </c>
      <c r="DP55" s="1114">
        <f>'Cropping GMs - N cost Grain £'!$E$133</f>
        <v>2.15</v>
      </c>
      <c r="DQ55" s="1114">
        <f>'Cropping GMs - N cost Grain £'!$E$133</f>
        <v>2.15</v>
      </c>
      <c r="DR55" s="1114">
        <f>'Cropping GMs - N cost Grain £'!$E$133</f>
        <v>2.15</v>
      </c>
      <c r="DT55" s="238"/>
      <c r="DU55" s="238"/>
      <c r="DV55" s="238"/>
      <c r="DW55" s="238"/>
      <c r="DX55" s="238"/>
      <c r="DY55" s="238"/>
      <c r="DZ55" s="238"/>
      <c r="EA55" s="238"/>
      <c r="EB55" s="238"/>
      <c r="EC55" s="238"/>
      <c r="ED55" s="238"/>
      <c r="EE55" s="238"/>
      <c r="EF55" s="238"/>
      <c r="EG55" s="238"/>
      <c r="EH55" s="238"/>
    </row>
    <row r="56" spans="1:169" s="235" customFormat="1" x14ac:dyDescent="0.25">
      <c r="B56" s="1124" t="s">
        <v>976</v>
      </c>
      <c r="C56" s="1028" t="s">
        <v>464</v>
      </c>
      <c r="D56" s="1028"/>
      <c r="E56" s="1028"/>
      <c r="F56" s="1115">
        <f>F54*F55</f>
        <v>662.19208800000001</v>
      </c>
      <c r="G56" s="1115">
        <f t="shared" ref="G56:BR56" si="125">G54*G55</f>
        <v>629.08248359999993</v>
      </c>
      <c r="H56" s="1115">
        <f t="shared" si="125"/>
        <v>597.62835942000004</v>
      </c>
      <c r="I56" s="1115">
        <f t="shared" si="125"/>
        <v>102.61949999999999</v>
      </c>
      <c r="J56" s="1115">
        <f t="shared" si="125"/>
        <v>95.46</v>
      </c>
      <c r="K56" s="1115">
        <f t="shared" si="125"/>
        <v>85.914000000000001</v>
      </c>
      <c r="L56" s="1115">
        <f t="shared" si="125"/>
        <v>71.488574999999997</v>
      </c>
      <c r="M56" s="1115">
        <f t="shared" si="125"/>
        <v>64.43549999999999</v>
      </c>
      <c r="N56" s="1115">
        <f t="shared" si="125"/>
        <v>158.02500000000001</v>
      </c>
      <c r="O56" s="1115">
        <f t="shared" si="125"/>
        <v>151.70400000000001</v>
      </c>
      <c r="P56" s="1115">
        <f t="shared" si="125"/>
        <v>142.2225</v>
      </c>
      <c r="Q56" s="1115">
        <f t="shared" si="125"/>
        <v>132.74099999999999</v>
      </c>
      <c r="R56" s="1115">
        <f t="shared" si="125"/>
        <v>126.41999999999999</v>
      </c>
      <c r="S56" s="1115">
        <f t="shared" si="125"/>
        <v>34.668749999999996</v>
      </c>
      <c r="T56" s="1115">
        <f t="shared" si="125"/>
        <v>34.668749999999996</v>
      </c>
      <c r="U56" s="1115">
        <f t="shared" si="125"/>
        <v>33.862499999999997</v>
      </c>
      <c r="V56" s="1115">
        <f t="shared" si="125"/>
        <v>32.25</v>
      </c>
      <c r="W56" s="1115">
        <f t="shared" si="125"/>
        <v>32.25</v>
      </c>
      <c r="X56" s="1115">
        <f t="shared" si="125"/>
        <v>173.376</v>
      </c>
      <c r="Y56" s="1115">
        <f t="shared" si="125"/>
        <v>163.37849999999997</v>
      </c>
      <c r="Z56" s="1115">
        <f t="shared" si="125"/>
        <v>148.96275</v>
      </c>
      <c r="AA56" s="1115">
        <f t="shared" si="125"/>
        <v>135.08879999999999</v>
      </c>
      <c r="AB56" s="1115">
        <f t="shared" si="125"/>
        <v>125.21599999999999</v>
      </c>
      <c r="AC56" s="1115">
        <f t="shared" si="125"/>
        <v>309.70750000000004</v>
      </c>
      <c r="AD56" s="1115">
        <f t="shared" si="125"/>
        <v>300.46249999999998</v>
      </c>
      <c r="AE56" s="1115">
        <f t="shared" si="125"/>
        <v>284.44499999999999</v>
      </c>
      <c r="AF56" s="1115">
        <f t="shared" si="125"/>
        <v>232.2</v>
      </c>
      <c r="AG56" s="1115">
        <f t="shared" si="125"/>
        <v>223.6</v>
      </c>
      <c r="AH56" s="1115">
        <f t="shared" si="125"/>
        <v>108.84375</v>
      </c>
      <c r="AI56" s="1115">
        <f t="shared" si="125"/>
        <v>99.781499999999994</v>
      </c>
      <c r="AJ56" s="1115">
        <f t="shared" si="125"/>
        <v>90.278499999999994</v>
      </c>
      <c r="AK56" s="1115">
        <f t="shared" si="125"/>
        <v>76.024000000000001</v>
      </c>
      <c r="AL56" s="1115">
        <f t="shared" si="125"/>
        <v>66.22</v>
      </c>
      <c r="AM56" s="1115">
        <f t="shared" si="125"/>
        <v>174.15</v>
      </c>
      <c r="AN56" s="1115">
        <f t="shared" si="125"/>
        <v>165.65502749999999</v>
      </c>
      <c r="AO56" s="1115">
        <f t="shared" si="125"/>
        <v>151.25024249999998</v>
      </c>
      <c r="AP56" s="1115">
        <f t="shared" si="125"/>
        <v>137.32953000000001</v>
      </c>
      <c r="AQ56" s="1115">
        <f t="shared" si="125"/>
        <v>131.25749999999999</v>
      </c>
      <c r="AR56" s="1115">
        <f t="shared" si="125"/>
        <v>72.239999999999995</v>
      </c>
      <c r="AS56" s="1115">
        <f t="shared" si="125"/>
        <v>72.239999999999995</v>
      </c>
      <c r="AT56" s="1115">
        <f t="shared" si="125"/>
        <v>72.239999999999995</v>
      </c>
      <c r="AU56" s="1115">
        <f t="shared" si="125"/>
        <v>72.239999999999995</v>
      </c>
      <c r="AV56" s="1115">
        <f t="shared" si="125"/>
        <v>72.239999999999995</v>
      </c>
      <c r="AW56" s="1115">
        <f t="shared" si="125"/>
        <v>346.6875</v>
      </c>
      <c r="AX56" s="1115">
        <f t="shared" si="125"/>
        <v>346.6875</v>
      </c>
      <c r="AY56" s="1115">
        <f t="shared" si="125"/>
        <v>338.625</v>
      </c>
      <c r="AZ56" s="1115">
        <f t="shared" si="125"/>
        <v>330.5625</v>
      </c>
      <c r="BA56" s="1115">
        <f t="shared" si="125"/>
        <v>322.5</v>
      </c>
      <c r="BB56" s="1115">
        <f t="shared" si="125"/>
        <v>79.818749999999994</v>
      </c>
      <c r="BC56" s="1115">
        <f t="shared" si="125"/>
        <v>76.024000000000001</v>
      </c>
      <c r="BD56" s="1115">
        <f t="shared" si="125"/>
        <v>76.024000000000001</v>
      </c>
      <c r="BE56" s="1115">
        <f t="shared" si="125"/>
        <v>166.41</v>
      </c>
      <c r="BF56" s="1115">
        <f t="shared" si="125"/>
        <v>162.54</v>
      </c>
      <c r="BG56" s="1115">
        <f t="shared" si="125"/>
        <v>162.54</v>
      </c>
      <c r="BH56" s="1115">
        <f t="shared" si="125"/>
        <v>6.7725</v>
      </c>
      <c r="BI56" s="1115">
        <f t="shared" si="125"/>
        <v>6.00495</v>
      </c>
      <c r="BJ56" s="1115">
        <f t="shared" si="125"/>
        <v>6.3209999999999997</v>
      </c>
      <c r="BK56" s="1115">
        <f t="shared" si="125"/>
        <v>6.0500999999999996</v>
      </c>
      <c r="BL56" s="1115">
        <f t="shared" si="125"/>
        <v>5.4180000000000001</v>
      </c>
      <c r="BM56" s="1115">
        <f t="shared" si="125"/>
        <v>31.258849999999999</v>
      </c>
      <c r="BN56" s="1115">
        <f t="shared" si="125"/>
        <v>30.263032349999992</v>
      </c>
      <c r="BO56" s="1115">
        <f t="shared" si="125"/>
        <v>28.802797499999997</v>
      </c>
      <c r="BP56" s="1115">
        <f t="shared" si="125"/>
        <v>27.641754499999998</v>
      </c>
      <c r="BQ56" s="1115">
        <f t="shared" si="125"/>
        <v>26.793299999999999</v>
      </c>
      <c r="BR56" s="1115">
        <f t="shared" si="125"/>
        <v>6.4499999999999993</v>
      </c>
      <c r="BS56" s="1115">
        <f t="shared" ref="BS56:CT56" si="126">BS54*BS55</f>
        <v>6.6370500000000003</v>
      </c>
      <c r="BT56" s="1115">
        <f t="shared" si="126"/>
        <v>6.3209999999999997</v>
      </c>
      <c r="BU56" s="1115">
        <f t="shared" si="126"/>
        <v>6.00495</v>
      </c>
      <c r="BV56" s="1115">
        <f t="shared" si="126"/>
        <v>6.4499999999999993</v>
      </c>
      <c r="BW56" s="1115">
        <f t="shared" si="126"/>
        <v>24.1875</v>
      </c>
      <c r="BX56" s="1115">
        <f t="shared" si="126"/>
        <v>24.1875</v>
      </c>
      <c r="BY56" s="1115">
        <f t="shared" si="126"/>
        <v>24.1875</v>
      </c>
      <c r="BZ56" s="1115">
        <f t="shared" si="126"/>
        <v>24.1875</v>
      </c>
      <c r="CA56" s="1115">
        <f t="shared" si="126"/>
        <v>24.1875</v>
      </c>
      <c r="CB56" s="1115">
        <f t="shared" si="126"/>
        <v>11.61</v>
      </c>
      <c r="CC56" s="1115">
        <f t="shared" si="126"/>
        <v>11.61</v>
      </c>
      <c r="CD56" s="1115">
        <f t="shared" si="126"/>
        <v>11.61</v>
      </c>
      <c r="CE56" s="1115">
        <f t="shared" si="126"/>
        <v>11.61</v>
      </c>
      <c r="CF56" s="1115">
        <f t="shared" si="126"/>
        <v>11.61</v>
      </c>
      <c r="CG56" s="1115">
        <f t="shared" si="126"/>
        <v>1702.155</v>
      </c>
      <c r="CH56" s="1115">
        <f t="shared" si="126"/>
        <v>1642.1699999999998</v>
      </c>
      <c r="CI56" s="1115">
        <f t="shared" si="126"/>
        <v>1516.2574</v>
      </c>
      <c r="CJ56" s="1115">
        <f t="shared" si="126"/>
        <v>130.39319999999998</v>
      </c>
      <c r="CK56" s="1115">
        <f t="shared" si="126"/>
        <v>129.7912</v>
      </c>
      <c r="CL56" s="1115">
        <f t="shared" si="126"/>
        <v>104.74799999999999</v>
      </c>
      <c r="CM56" s="1115">
        <f t="shared" si="126"/>
        <v>207.97546982680035</v>
      </c>
      <c r="CN56" s="1115">
        <f t="shared" si="126"/>
        <v>197.39803408810209</v>
      </c>
      <c r="CO56" s="1115">
        <f t="shared" si="126"/>
        <v>161.87902486812357</v>
      </c>
      <c r="CP56" s="1115">
        <f t="shared" si="126"/>
        <v>28.433749999999996</v>
      </c>
      <c r="CQ56" s="1115">
        <f t="shared" si="126"/>
        <v>28.433749999999996</v>
      </c>
      <c r="CR56" s="1115">
        <f t="shared" si="126"/>
        <v>28.433749999999996</v>
      </c>
      <c r="CS56" s="1115">
        <f t="shared" si="126"/>
        <v>5.2986750000000002</v>
      </c>
      <c r="CT56" s="1121">
        <f t="shared" si="126"/>
        <v>4.3924499999999993</v>
      </c>
      <c r="CV56" s="1124" t="s">
        <v>976</v>
      </c>
      <c r="CW56" s="1028" t="s">
        <v>464</v>
      </c>
      <c r="CX56" s="1115">
        <f>CX54*CX55</f>
        <v>1393.2</v>
      </c>
      <c r="CY56" s="1115">
        <f t="shared" ref="CY56" si="127">CY54*CY55</f>
        <v>1290</v>
      </c>
      <c r="CZ56" s="1115" t="e">
        <f t="shared" ref="CZ56" si="128">CZ54*CZ55</f>
        <v>#DIV/0!</v>
      </c>
      <c r="DA56" s="1115">
        <f t="shared" ref="DA56" si="129">DA54*DA55</f>
        <v>313.89999999999998</v>
      </c>
      <c r="DB56" s="1115">
        <f t="shared" ref="DB56" si="130">DB54*DB55</f>
        <v>301</v>
      </c>
      <c r="DC56" s="1115" t="e">
        <f t="shared" ref="DC56" si="131">DC54*DC55</f>
        <v>#DIV/0!</v>
      </c>
      <c r="DD56" s="1115">
        <f t="shared" ref="DD56" si="132">DD54*DD55</f>
        <v>64.5</v>
      </c>
      <c r="DE56" s="1115">
        <f t="shared" ref="DE56" si="133">DE54*DE55</f>
        <v>53.75</v>
      </c>
      <c r="DF56" s="1115">
        <f t="shared" ref="DF56" si="134">DF54*DF55</f>
        <v>25.799999999999997</v>
      </c>
      <c r="DG56" s="1115">
        <f t="shared" ref="DG56" si="135">DG54*DG55</f>
        <v>32.25</v>
      </c>
      <c r="DH56" s="1115">
        <f t="shared" ref="DH56" si="136">DH54*DH55</f>
        <v>34.4</v>
      </c>
      <c r="DI56" s="1115">
        <f t="shared" ref="DI56" si="137">DI54*DI55</f>
        <v>53.75</v>
      </c>
      <c r="DJ56" s="1115">
        <f t="shared" ref="DJ56" si="138">DJ54*DJ55</f>
        <v>129</v>
      </c>
      <c r="DK56" s="1115">
        <f t="shared" ref="DK56" si="139">DK54*DK55</f>
        <v>150.5</v>
      </c>
      <c r="DL56" s="1115">
        <f t="shared" ref="DL56" si="140">DL54*DL55</f>
        <v>193.5</v>
      </c>
      <c r="DM56" s="1115">
        <f t="shared" ref="DM56" si="141">DM54*DM55</f>
        <v>19.349999999999998</v>
      </c>
      <c r="DN56" s="1115">
        <f t="shared" ref="DN56" si="142">DN54*DN55</f>
        <v>17.2</v>
      </c>
      <c r="DO56" s="1115">
        <f t="shared" ref="DO56" si="143">DO54*DO55</f>
        <v>15.049999999999999</v>
      </c>
      <c r="DP56" s="1115">
        <f t="shared" ref="DP56" si="144">DP54*DP55</f>
        <v>32.25</v>
      </c>
      <c r="DQ56" s="1115">
        <f t="shared" ref="DQ56" si="145">DQ54*DQ55</f>
        <v>26.678668802734371</v>
      </c>
      <c r="DR56" s="1115">
        <f t="shared" ref="DR56" si="146">DR54*DR55</f>
        <v>27.95</v>
      </c>
      <c r="DT56" s="238"/>
      <c r="DU56" s="238"/>
      <c r="DV56" s="238"/>
      <c r="DW56" s="238"/>
      <c r="DX56" s="238"/>
      <c r="DY56" s="238"/>
      <c r="DZ56" s="238"/>
      <c r="EA56" s="238"/>
      <c r="EB56" s="238"/>
      <c r="EC56" s="238"/>
      <c r="ED56" s="238"/>
      <c r="EE56" s="238"/>
      <c r="EF56" s="238"/>
      <c r="EG56" s="238"/>
      <c r="EH56" s="238"/>
    </row>
    <row r="57" spans="1:169" s="235" customFormat="1" ht="31.5" x14ac:dyDescent="0.25">
      <c r="B57" s="1125" t="s">
        <v>977</v>
      </c>
      <c r="C57" s="1028" t="s">
        <v>464</v>
      </c>
      <c r="D57" s="1028"/>
      <c r="E57" s="1028"/>
      <c r="F57" s="1115">
        <f>F56-F41+F46</f>
        <v>797.89208800000006</v>
      </c>
      <c r="G57" s="1115">
        <f t="shared" ref="G57:BR57" si="147">G56-G41+G46</f>
        <v>764.78248359999998</v>
      </c>
      <c r="H57" s="1115">
        <f t="shared" si="147"/>
        <v>733.62835942000004</v>
      </c>
      <c r="I57" s="1115">
        <f t="shared" si="147"/>
        <v>227.61949999999999</v>
      </c>
      <c r="J57" s="1115">
        <f t="shared" si="147"/>
        <v>218.46</v>
      </c>
      <c r="K57" s="1115">
        <f>K56-K41+K46</f>
        <v>206.91400000000002</v>
      </c>
      <c r="L57" s="1115">
        <f t="shared" si="147"/>
        <v>191.48857499999997</v>
      </c>
      <c r="M57" s="1115">
        <f t="shared" si="147"/>
        <v>183.43549999999999</v>
      </c>
      <c r="N57" s="1115">
        <f t="shared" si="147"/>
        <v>200.02500000000001</v>
      </c>
      <c r="O57" s="1115">
        <f t="shared" si="147"/>
        <v>191.70400000000001</v>
      </c>
      <c r="P57" s="1115">
        <f t="shared" si="147"/>
        <v>181.2225</v>
      </c>
      <c r="Q57" s="1115">
        <f t="shared" si="147"/>
        <v>163.74099999999999</v>
      </c>
      <c r="R57" s="1115">
        <f t="shared" si="147"/>
        <v>155.41999999999999</v>
      </c>
      <c r="S57" s="1115">
        <f t="shared" si="147"/>
        <v>90.668749999999989</v>
      </c>
      <c r="T57" s="1115">
        <f t="shared" si="147"/>
        <v>87.668749999999989</v>
      </c>
      <c r="U57" s="1115">
        <f t="shared" si="147"/>
        <v>83.862499999999997</v>
      </c>
      <c r="V57" s="1115">
        <f t="shared" si="147"/>
        <v>77.25</v>
      </c>
      <c r="W57" s="1115">
        <f t="shared" si="147"/>
        <v>74.25</v>
      </c>
      <c r="X57" s="1115">
        <f t="shared" si="147"/>
        <v>317.37599999999998</v>
      </c>
      <c r="Y57" s="1115">
        <f t="shared" si="147"/>
        <v>305.37849999999997</v>
      </c>
      <c r="Z57" s="1115">
        <f t="shared" si="147"/>
        <v>288.96275000000003</v>
      </c>
      <c r="AA57" s="1115">
        <f t="shared" si="147"/>
        <v>274.08879999999999</v>
      </c>
      <c r="AB57" s="1115">
        <f t="shared" si="147"/>
        <v>261.21600000000001</v>
      </c>
      <c r="AC57" s="1115">
        <f t="shared" si="147"/>
        <v>435.70750000000004</v>
      </c>
      <c r="AD57" s="1115">
        <f t="shared" si="147"/>
        <v>420.46249999999998</v>
      </c>
      <c r="AE57" s="1115">
        <f t="shared" si="147"/>
        <v>396.44499999999999</v>
      </c>
      <c r="AF57" s="1115">
        <f t="shared" si="147"/>
        <v>336.2</v>
      </c>
      <c r="AG57" s="1115">
        <f t="shared" si="147"/>
        <v>322.60000000000002</v>
      </c>
      <c r="AH57" s="1115">
        <f t="shared" si="147"/>
        <v>238.84375</v>
      </c>
      <c r="AI57" s="1115">
        <f t="shared" si="147"/>
        <v>227.78149999999999</v>
      </c>
      <c r="AJ57" s="1115">
        <f t="shared" si="147"/>
        <v>216.27850000000001</v>
      </c>
      <c r="AK57" s="1115">
        <f t="shared" si="147"/>
        <v>201.024</v>
      </c>
      <c r="AL57" s="1115">
        <f t="shared" si="147"/>
        <v>189.22000000000003</v>
      </c>
      <c r="AM57" s="1115">
        <f t="shared" si="147"/>
        <v>323.14999999999998</v>
      </c>
      <c r="AN57" s="1115">
        <f t="shared" si="147"/>
        <v>313.65502750000002</v>
      </c>
      <c r="AO57" s="1115">
        <f t="shared" si="147"/>
        <v>297.25024250000001</v>
      </c>
      <c r="AP57" s="1115">
        <f t="shared" si="147"/>
        <v>282.32952999999998</v>
      </c>
      <c r="AQ57" s="1115">
        <f t="shared" si="147"/>
        <v>275.25749999999999</v>
      </c>
      <c r="AR57" s="1115">
        <f t="shared" si="147"/>
        <v>115.23999999999998</v>
      </c>
      <c r="AS57" s="1115">
        <f t="shared" si="147"/>
        <v>115.23999999999998</v>
      </c>
      <c r="AT57" s="1115">
        <f t="shared" si="147"/>
        <v>115.23999999999998</v>
      </c>
      <c r="AU57" s="1115">
        <f t="shared" si="147"/>
        <v>115.23999999999998</v>
      </c>
      <c r="AV57" s="1115">
        <f t="shared" si="147"/>
        <v>115.23999999999998</v>
      </c>
      <c r="AW57" s="1115">
        <f t="shared" si="147"/>
        <v>448.54750000000001</v>
      </c>
      <c r="AX57" s="1115">
        <f t="shared" si="147"/>
        <v>448.54750000000001</v>
      </c>
      <c r="AY57" s="1115">
        <f t="shared" si="147"/>
        <v>440.48500000000001</v>
      </c>
      <c r="AZ57" s="1115">
        <f t="shared" si="147"/>
        <v>432.42250000000001</v>
      </c>
      <c r="BA57" s="1115">
        <f t="shared" si="147"/>
        <v>424.36</v>
      </c>
      <c r="BB57" s="1115">
        <f t="shared" si="147"/>
        <v>209.81874999999999</v>
      </c>
      <c r="BC57" s="1115">
        <f t="shared" si="147"/>
        <v>206.024</v>
      </c>
      <c r="BD57" s="1115">
        <f t="shared" si="147"/>
        <v>206.024</v>
      </c>
      <c r="BE57" s="1115">
        <f t="shared" si="147"/>
        <v>266.37</v>
      </c>
      <c r="BF57" s="1115">
        <f t="shared" si="147"/>
        <v>260.53999999999996</v>
      </c>
      <c r="BG57" s="1115">
        <f t="shared" si="147"/>
        <v>258.58</v>
      </c>
      <c r="BH57" s="1115">
        <f t="shared" si="147"/>
        <v>23.772499999999997</v>
      </c>
      <c r="BI57" s="1115">
        <f t="shared" si="147"/>
        <v>22.731450000000002</v>
      </c>
      <c r="BJ57" s="1115">
        <f t="shared" si="147"/>
        <v>22.251000000000001</v>
      </c>
      <c r="BK57" s="1115">
        <f t="shared" si="147"/>
        <v>21.183599999999998</v>
      </c>
      <c r="BL57" s="1115">
        <f t="shared" si="147"/>
        <v>20.417999999999999</v>
      </c>
      <c r="BM57" s="1115">
        <f t="shared" si="147"/>
        <v>56.258850000000002</v>
      </c>
      <c r="BN57" s="1115">
        <f t="shared" si="147"/>
        <v>55.263032349999996</v>
      </c>
      <c r="BO57" s="1115">
        <f t="shared" si="147"/>
        <v>53.802797499999997</v>
      </c>
      <c r="BP57" s="1115">
        <f t="shared" si="147"/>
        <v>52.64175449999999</v>
      </c>
      <c r="BQ57" s="1115">
        <f t="shared" si="147"/>
        <v>51.793300000000002</v>
      </c>
      <c r="BR57" s="1115">
        <f t="shared" si="147"/>
        <v>16.45</v>
      </c>
      <c r="BS57" s="1115">
        <f t="shared" ref="BS57:CT57" si="148">BS56-BS41+BS46</f>
        <v>16.637049999999999</v>
      </c>
      <c r="BT57" s="1115">
        <f t="shared" si="148"/>
        <v>16.320999999999998</v>
      </c>
      <c r="BU57" s="1115">
        <f t="shared" si="148"/>
        <v>16.004950000000001</v>
      </c>
      <c r="BV57" s="1115">
        <f t="shared" si="148"/>
        <v>16.45</v>
      </c>
      <c r="BW57" s="1115">
        <f t="shared" si="148"/>
        <v>44.1875</v>
      </c>
      <c r="BX57" s="1115">
        <f t="shared" si="148"/>
        <v>43.6875</v>
      </c>
      <c r="BY57" s="1115">
        <f t="shared" si="148"/>
        <v>41.4375</v>
      </c>
      <c r="BZ57" s="1115">
        <f t="shared" si="148"/>
        <v>44.6875</v>
      </c>
      <c r="CA57" s="1115">
        <f t="shared" si="148"/>
        <v>44.1875</v>
      </c>
      <c r="CB57" s="1115">
        <f t="shared" si="148"/>
        <v>28.61</v>
      </c>
      <c r="CC57" s="1115">
        <f t="shared" si="148"/>
        <v>27.990000000000002</v>
      </c>
      <c r="CD57" s="1115">
        <f t="shared" si="148"/>
        <v>27.990000000000002</v>
      </c>
      <c r="CE57" s="1115">
        <f t="shared" si="148"/>
        <v>27.990000000000002</v>
      </c>
      <c r="CF57" s="1115">
        <f t="shared" si="148"/>
        <v>28.61</v>
      </c>
      <c r="CG57" s="1115">
        <f t="shared" si="148"/>
        <v>1833.155</v>
      </c>
      <c r="CH57" s="1115">
        <f t="shared" si="148"/>
        <v>1773.1699999999998</v>
      </c>
      <c r="CI57" s="1115">
        <f t="shared" si="148"/>
        <v>1645.2574</v>
      </c>
      <c r="CJ57" s="1115">
        <f t="shared" si="148"/>
        <v>138.39319999999998</v>
      </c>
      <c r="CK57" s="1115">
        <f t="shared" si="148"/>
        <v>137.7912</v>
      </c>
      <c r="CL57" s="1115">
        <f t="shared" si="148"/>
        <v>112.74799999999999</v>
      </c>
      <c r="CM57" s="1115">
        <f t="shared" si="148"/>
        <v>218.75577976298996</v>
      </c>
      <c r="CN57" s="1115">
        <f t="shared" si="148"/>
        <v>207.90935561959654</v>
      </c>
      <c r="CO57" s="1115">
        <f t="shared" si="148"/>
        <v>172.10208440090429</v>
      </c>
      <c r="CP57" s="1115">
        <f t="shared" si="148"/>
        <v>29.933749999999996</v>
      </c>
      <c r="CQ57" s="1115">
        <f t="shared" si="148"/>
        <v>29.933749999999996</v>
      </c>
      <c r="CR57" s="1115">
        <f t="shared" si="148"/>
        <v>29.933749999999996</v>
      </c>
      <c r="CS57" s="1115">
        <f t="shared" si="148"/>
        <v>5.4986750000000004</v>
      </c>
      <c r="CT57" s="1121">
        <f t="shared" si="148"/>
        <v>4.5924499999999995</v>
      </c>
      <c r="CV57" s="1125" t="s">
        <v>977</v>
      </c>
      <c r="CW57" s="1028" t="s">
        <v>464</v>
      </c>
      <c r="CX57" s="1115">
        <f>CX56-CX41+CX46</f>
        <v>1813.2</v>
      </c>
      <c r="CY57" s="1115">
        <f t="shared" ref="CY57" si="149">CY56-CY41+CY46</f>
        <v>1660</v>
      </c>
      <c r="CZ57" s="1115" t="e">
        <f t="shared" ref="CZ57" si="150">CZ56-CZ41+CZ46</f>
        <v>#DIV/0!</v>
      </c>
      <c r="DA57" s="1115">
        <f t="shared" ref="DA57" si="151">DA56-DA41+DA46</f>
        <v>647.92631578947362</v>
      </c>
      <c r="DB57" s="1115">
        <f t="shared" ref="DB57" si="152">DB56-DB41+DB46</f>
        <v>653.02631578947376</v>
      </c>
      <c r="DC57" s="1115" t="e">
        <f t="shared" ref="DC57" si="153">DC56-DC41+DC46</f>
        <v>#DIV/0!</v>
      </c>
      <c r="DD57" s="1115">
        <f t="shared" ref="DD57" si="154">DD56-DD41+DD46</f>
        <v>242.0263157894737</v>
      </c>
      <c r="DE57" s="1115">
        <f t="shared" ref="DE57" si="155">DE56-DE41+DE46</f>
        <v>231.2763157894737</v>
      </c>
      <c r="DF57" s="1115">
        <f t="shared" ref="DF57" si="156">DF56-DF41+DF46</f>
        <v>206.32631578947371</v>
      </c>
      <c r="DG57" s="1115">
        <f t="shared" ref="DG57" si="157">DG56-DG41+DG46</f>
        <v>212.64473684210526</v>
      </c>
      <c r="DH57" s="1115">
        <f t="shared" ref="DH57" si="158">DH56-DH41+DH46</f>
        <v>204.79473684210527</v>
      </c>
      <c r="DI57" s="1115">
        <f t="shared" ref="DI57" si="159">DI56-DI41+DI46</f>
        <v>234.14473684210526</v>
      </c>
      <c r="DJ57" s="1115">
        <f t="shared" ref="DJ57" si="160">DJ56-DJ41+DJ46</f>
        <v>276.14473684210526</v>
      </c>
      <c r="DK57" s="1115">
        <f t="shared" ref="DK57" si="161">DK56-DK41+DK46</f>
        <v>297.64473684210526</v>
      </c>
      <c r="DL57" s="1115">
        <f t="shared" ref="DL57" si="162">DL56-DL41+DL46</f>
        <v>385.64473684210526</v>
      </c>
      <c r="DM57" s="1115">
        <f t="shared" ref="DM57" si="163">DM56-DM41+DM46</f>
        <v>45.349999999999994</v>
      </c>
      <c r="DN57" s="1115">
        <f t="shared" ref="DN57" si="164">DN56-DN41+DN46</f>
        <v>43.2</v>
      </c>
      <c r="DO57" s="1115">
        <f t="shared" ref="DO57" si="165">DO56-DO41+DO46</f>
        <v>41.05</v>
      </c>
      <c r="DP57" s="1115">
        <f t="shared" ref="DP57" si="166">DP56-DP41+DP46</f>
        <v>59.25</v>
      </c>
      <c r="DQ57" s="1115">
        <f t="shared" ref="DQ57" si="167">DQ56-DQ41+DQ46</f>
        <v>52.678668802734364</v>
      </c>
      <c r="DR57" s="1115">
        <f t="shared" ref="DR57" si="168">DR56-DR41+DR46</f>
        <v>52.95</v>
      </c>
      <c r="DT57" s="238"/>
      <c r="DU57" s="238"/>
      <c r="DV57" s="238"/>
      <c r="DW57" s="238"/>
      <c r="DX57" s="238"/>
      <c r="DY57" s="238"/>
      <c r="DZ57" s="238"/>
      <c r="EA57" s="238"/>
      <c r="EB57" s="238"/>
      <c r="EC57" s="238"/>
      <c r="ED57" s="238"/>
      <c r="EE57" s="238"/>
      <c r="EF57" s="238"/>
      <c r="EG57" s="238"/>
      <c r="EH57" s="238"/>
    </row>
    <row r="58" spans="1:169" s="235" customFormat="1" ht="31.5" x14ac:dyDescent="0.25">
      <c r="B58" s="1125" t="s">
        <v>977</v>
      </c>
      <c r="C58" s="1128" t="s">
        <v>538</v>
      </c>
      <c r="D58" s="1116"/>
      <c r="E58" s="1129"/>
      <c r="F58" s="1130">
        <f>F57*F10</f>
        <v>1117.0489232</v>
      </c>
      <c r="G58" s="1130">
        <f t="shared" ref="G58:BR58" si="169">G57*G10</f>
        <v>1147.1737254</v>
      </c>
      <c r="H58" s="1130">
        <f t="shared" si="169"/>
        <v>1173.8053750720001</v>
      </c>
      <c r="I58" s="1130">
        <f t="shared" si="169"/>
        <v>341.42924999999997</v>
      </c>
      <c r="J58" s="1130">
        <f t="shared" si="169"/>
        <v>360.459</v>
      </c>
      <c r="K58" s="1130">
        <f t="shared" si="169"/>
        <v>372.44520000000006</v>
      </c>
      <c r="L58" s="1130">
        <f t="shared" si="169"/>
        <v>421.27486499999998</v>
      </c>
      <c r="M58" s="1130">
        <f t="shared" si="169"/>
        <v>421.90164999999996</v>
      </c>
      <c r="N58" s="1130">
        <f t="shared" si="169"/>
        <v>500.0625</v>
      </c>
      <c r="O58" s="1130">
        <f t="shared" si="169"/>
        <v>527.18600000000004</v>
      </c>
      <c r="P58" s="1130">
        <f t="shared" si="169"/>
        <v>543.66750000000002</v>
      </c>
      <c r="Q58" s="1130">
        <f t="shared" si="169"/>
        <v>573.09349999999995</v>
      </c>
      <c r="R58" s="1130">
        <f t="shared" si="169"/>
        <v>621.67999999999995</v>
      </c>
      <c r="S58" s="1130">
        <f t="shared" si="169"/>
        <v>226.67187499999997</v>
      </c>
      <c r="T58" s="1130">
        <f t="shared" si="169"/>
        <v>254.23937499999997</v>
      </c>
      <c r="U58" s="1130">
        <f t="shared" si="169"/>
        <v>251.58749999999998</v>
      </c>
      <c r="V58" s="1130">
        <f t="shared" si="169"/>
        <v>235.61249999999998</v>
      </c>
      <c r="W58" s="1130">
        <f t="shared" si="169"/>
        <v>230.17500000000001</v>
      </c>
      <c r="X58" s="1130">
        <f t="shared" si="169"/>
        <v>444.32639999999992</v>
      </c>
      <c r="Y58" s="1130">
        <f t="shared" si="169"/>
        <v>458.06774999999993</v>
      </c>
      <c r="Z58" s="1130">
        <f t="shared" si="169"/>
        <v>476.78853750000002</v>
      </c>
      <c r="AA58" s="1130">
        <f t="shared" si="169"/>
        <v>548.17759999999998</v>
      </c>
      <c r="AB58" s="1130">
        <f t="shared" si="169"/>
        <v>548.55360000000007</v>
      </c>
      <c r="AC58" s="1130">
        <f t="shared" si="169"/>
        <v>1307.1225000000002</v>
      </c>
      <c r="AD58" s="1130">
        <f t="shared" si="169"/>
        <v>1451.4595890410956</v>
      </c>
      <c r="AE58" s="1130">
        <f t="shared" si="169"/>
        <v>1610.0586623690569</v>
      </c>
      <c r="AF58" s="1130">
        <f t="shared" si="169"/>
        <v>1547.4410958904111</v>
      </c>
      <c r="AG58" s="1130">
        <f t="shared" si="169"/>
        <v>1532.3500000000001</v>
      </c>
      <c r="AH58" s="1130">
        <f t="shared" si="169"/>
        <v>262.72812500000003</v>
      </c>
      <c r="AI58" s="1130">
        <f t="shared" si="169"/>
        <v>296.11595</v>
      </c>
      <c r="AJ58" s="1130">
        <f t="shared" si="169"/>
        <v>346.04560000000004</v>
      </c>
      <c r="AK58" s="1130">
        <f t="shared" si="169"/>
        <v>381.94559999999996</v>
      </c>
      <c r="AL58" s="1130">
        <f t="shared" si="169"/>
        <v>416.28400000000011</v>
      </c>
      <c r="AM58" s="1130">
        <f t="shared" si="169"/>
        <v>290.83499999999998</v>
      </c>
      <c r="AN58" s="1130">
        <f t="shared" si="169"/>
        <v>313.65502750000002</v>
      </c>
      <c r="AO58" s="1130">
        <f t="shared" si="169"/>
        <v>371.56280312500002</v>
      </c>
      <c r="AP58" s="1130">
        <f t="shared" si="169"/>
        <v>423.49429499999997</v>
      </c>
      <c r="AQ58" s="1130">
        <f t="shared" si="169"/>
        <v>440.41200000000003</v>
      </c>
      <c r="AR58" s="1130">
        <f t="shared" si="169"/>
        <v>299.62399999999997</v>
      </c>
      <c r="AS58" s="1130">
        <f t="shared" si="169"/>
        <v>316.90999999999997</v>
      </c>
      <c r="AT58" s="1130">
        <f t="shared" si="169"/>
        <v>345.71999999999991</v>
      </c>
      <c r="AU58" s="1130">
        <f t="shared" si="169"/>
        <v>374.52999999999992</v>
      </c>
      <c r="AV58" s="1130">
        <f t="shared" si="169"/>
        <v>391.81599999999992</v>
      </c>
      <c r="AW58" s="1130">
        <f t="shared" si="169"/>
        <v>1345.6424999999999</v>
      </c>
      <c r="AX58" s="1130">
        <f t="shared" si="169"/>
        <v>1548.4105479452053</v>
      </c>
      <c r="AY58" s="1130">
        <f t="shared" si="169"/>
        <v>1788.9157131345687</v>
      </c>
      <c r="AZ58" s="1130">
        <f t="shared" si="169"/>
        <v>1990.3282191780825</v>
      </c>
      <c r="BA58" s="1130">
        <f t="shared" si="169"/>
        <v>2121.8000000000002</v>
      </c>
      <c r="BB58" s="1130">
        <f t="shared" si="169"/>
        <v>188.83687499999999</v>
      </c>
      <c r="BC58" s="1130">
        <f t="shared" si="169"/>
        <v>206.024</v>
      </c>
      <c r="BD58" s="1130">
        <f t="shared" si="169"/>
        <v>226.62640000000002</v>
      </c>
      <c r="BE58" s="1130">
        <f t="shared" si="169"/>
        <v>399.55500000000001</v>
      </c>
      <c r="BF58" s="1130">
        <f t="shared" si="169"/>
        <v>325.67499999999995</v>
      </c>
      <c r="BG58" s="1130">
        <f t="shared" si="169"/>
        <v>646.44999999999993</v>
      </c>
      <c r="BH58" s="1130">
        <f t="shared" si="169"/>
        <v>285.27</v>
      </c>
      <c r="BI58" s="1130">
        <f t="shared" si="169"/>
        <v>340.97175000000004</v>
      </c>
      <c r="BJ58" s="1130">
        <f t="shared" si="169"/>
        <v>333.76500000000004</v>
      </c>
      <c r="BK58" s="1130">
        <f t="shared" si="169"/>
        <v>317.75399999999996</v>
      </c>
      <c r="BL58" s="1130">
        <f t="shared" si="169"/>
        <v>367.524</v>
      </c>
      <c r="BM58" s="1130">
        <f t="shared" si="169"/>
        <v>393.81195000000002</v>
      </c>
      <c r="BN58" s="1130">
        <f t="shared" si="169"/>
        <v>442.10425879999997</v>
      </c>
      <c r="BO58" s="1130">
        <f t="shared" si="169"/>
        <v>538.02797499999997</v>
      </c>
      <c r="BP58" s="1130">
        <f t="shared" si="169"/>
        <v>579.05929949999995</v>
      </c>
      <c r="BQ58" s="1130">
        <f t="shared" si="169"/>
        <v>673.31290000000001</v>
      </c>
      <c r="BR58" s="1130">
        <f t="shared" si="169"/>
        <v>394.79999999999995</v>
      </c>
      <c r="BS58" s="1130">
        <f t="shared" ref="BS58:CT58" si="170">BS57*BS10</f>
        <v>432.56329999999997</v>
      </c>
      <c r="BT58" s="1130">
        <f t="shared" si="170"/>
        <v>456.98799999999994</v>
      </c>
      <c r="BU58" s="1130">
        <f t="shared" si="170"/>
        <v>480.14850000000001</v>
      </c>
      <c r="BV58" s="1130">
        <f t="shared" si="170"/>
        <v>526.4</v>
      </c>
      <c r="BW58" s="1130">
        <f t="shared" si="170"/>
        <v>132.5625</v>
      </c>
      <c r="BX58" s="1130">
        <f t="shared" si="170"/>
        <v>305.8125</v>
      </c>
      <c r="BY58" s="1130">
        <f t="shared" si="170"/>
        <v>310.78125</v>
      </c>
      <c r="BZ58" s="1130">
        <f t="shared" si="170"/>
        <v>357.5</v>
      </c>
      <c r="CA58" s="1130">
        <f t="shared" si="170"/>
        <v>397.6875</v>
      </c>
      <c r="CB58" s="1130">
        <f t="shared" si="170"/>
        <v>429.15</v>
      </c>
      <c r="CC58" s="1130">
        <f t="shared" si="170"/>
        <v>419.85</v>
      </c>
      <c r="CD58" s="1130">
        <f t="shared" si="170"/>
        <v>419.85</v>
      </c>
      <c r="CE58" s="1130">
        <f t="shared" si="170"/>
        <v>419.85</v>
      </c>
      <c r="CF58" s="1130">
        <f t="shared" si="170"/>
        <v>429.15</v>
      </c>
      <c r="CG58" s="1130">
        <f t="shared" si="170"/>
        <v>36663.1</v>
      </c>
      <c r="CH58" s="1130">
        <f t="shared" si="170"/>
        <v>35463.399999999994</v>
      </c>
      <c r="CI58" s="1130">
        <f t="shared" si="170"/>
        <v>32905.148000000001</v>
      </c>
      <c r="CJ58" s="1130">
        <f t="shared" si="170"/>
        <v>3875.0095999999994</v>
      </c>
      <c r="CK58" s="1130">
        <f t="shared" si="170"/>
        <v>4133.7359999999999</v>
      </c>
      <c r="CL58" s="1130">
        <f t="shared" si="170"/>
        <v>3946.18</v>
      </c>
      <c r="CM58" s="1130">
        <f t="shared" si="170"/>
        <v>5250.138714311759</v>
      </c>
      <c r="CN58" s="1130">
        <f t="shared" si="170"/>
        <v>5197.7338904899134</v>
      </c>
      <c r="CO58" s="1130">
        <f t="shared" si="170"/>
        <v>4732.8073210248676</v>
      </c>
      <c r="CP58" s="1130">
        <f t="shared" si="170"/>
        <v>29933.749999999996</v>
      </c>
      <c r="CQ58" s="1130">
        <f t="shared" si="170"/>
        <v>29933.749999999996</v>
      </c>
      <c r="CR58" s="1130">
        <f t="shared" si="170"/>
        <v>29933.749999999996</v>
      </c>
      <c r="CS58" s="1130">
        <f t="shared" si="170"/>
        <v>5498.6750000000002</v>
      </c>
      <c r="CT58" s="1131">
        <f t="shared" si="170"/>
        <v>4592.45</v>
      </c>
      <c r="CV58" s="1125" t="s">
        <v>977</v>
      </c>
      <c r="CW58" s="1128" t="s">
        <v>538</v>
      </c>
      <c r="CX58" s="1130">
        <f t="shared" ref="CX58" si="171">CX57*CX10</f>
        <v>1813.2</v>
      </c>
      <c r="CY58" s="1130">
        <f t="shared" ref="CY58" si="172">CY57*CY10</f>
        <v>1660</v>
      </c>
      <c r="CZ58" s="1130" t="e">
        <f t="shared" ref="CZ58" si="173">CZ57*CZ10</f>
        <v>#DIV/0!</v>
      </c>
      <c r="DA58" s="1130">
        <f t="shared" ref="DA58" si="174">DA57*DA10</f>
        <v>777.51157894736832</v>
      </c>
      <c r="DB58" s="1130">
        <f t="shared" ref="DB58" si="175">DB57*DB10</f>
        <v>848.93421052631595</v>
      </c>
      <c r="DC58" s="1130" t="e">
        <f t="shared" ref="DC58" si="176">DC57*DC10</f>
        <v>#DIV/0!</v>
      </c>
      <c r="DD58" s="1130">
        <f t="shared" ref="DD58" si="177">DD57*DD10</f>
        <v>322.70175438596493</v>
      </c>
      <c r="DE58" s="1130">
        <f t="shared" ref="DE58" si="178">DE57*DE10</f>
        <v>308.36842105263156</v>
      </c>
      <c r="DF58" s="1130">
        <f t="shared" ref="DF58" si="179">DF57*DF10</f>
        <v>275.10175438596491</v>
      </c>
      <c r="DG58" s="1130">
        <f t="shared" ref="DG58" si="180">DG57*DG10</f>
        <v>159.48355263157896</v>
      </c>
      <c r="DH58" s="1130">
        <f t="shared" ref="DH58" si="181">DH57*DH10</f>
        <v>153.59605263157894</v>
      </c>
      <c r="DI58" s="1130">
        <f t="shared" ref="DI58" si="182">DI57*DI10</f>
        <v>175.60855263157896</v>
      </c>
      <c r="DJ58" s="1130">
        <f t="shared" ref="DJ58" si="183">DJ57*DJ10</f>
        <v>353.46526315789475</v>
      </c>
      <c r="DK58" s="1130">
        <f t="shared" ref="DK58" si="184">DK57*DK10</f>
        <v>380.98526315789474</v>
      </c>
      <c r="DL58" s="1130">
        <f t="shared" ref="DL58" si="185">DL57*DL10</f>
        <v>493.62526315789472</v>
      </c>
      <c r="DM58" s="1130">
        <f t="shared" ref="DM58" si="186">DM57*DM10</f>
        <v>208.60999999999996</v>
      </c>
      <c r="DN58" s="1130">
        <f t="shared" ref="DN58" si="187">DN57*DN10</f>
        <v>203.04000000000002</v>
      </c>
      <c r="DO58" s="1130">
        <f t="shared" ref="DO58" si="188">DO57*DO10</f>
        <v>197.04</v>
      </c>
      <c r="DP58" s="1130">
        <f t="shared" ref="DP58" si="189">DP57*DP10</f>
        <v>385.125</v>
      </c>
      <c r="DQ58" s="1130">
        <f t="shared" ref="DQ58" si="190">DQ57*DQ10</f>
        <v>352.94708097832023</v>
      </c>
      <c r="DR58" s="1130">
        <f t="shared" ref="DR58" si="191">DR57*DR10</f>
        <v>264.75</v>
      </c>
      <c r="DT58" s="238"/>
      <c r="DU58" s="238"/>
      <c r="DV58" s="238"/>
      <c r="DW58" s="238"/>
      <c r="DX58" s="238"/>
      <c r="DY58" s="238"/>
      <c r="DZ58" s="238"/>
      <c r="EA58" s="238"/>
      <c r="EB58" s="238"/>
      <c r="EC58" s="238"/>
      <c r="ED58" s="238"/>
      <c r="EE58" s="238"/>
      <c r="EF58" s="238"/>
      <c r="EG58" s="238"/>
      <c r="EH58" s="238"/>
    </row>
    <row r="59" spans="1:169" s="235" customFormat="1" ht="21.5" thickBot="1" x14ac:dyDescent="0.3">
      <c r="B59" s="1126" t="s">
        <v>978</v>
      </c>
      <c r="C59" s="1122" t="s">
        <v>464</v>
      </c>
      <c r="D59" s="1135"/>
      <c r="E59" s="1136"/>
      <c r="F59" s="1137">
        <f>F37-F57</f>
        <v>443.95791199999985</v>
      </c>
      <c r="G59" s="1137">
        <f t="shared" ref="G59:BR59" si="192">G37-G57</f>
        <v>547.63501640000004</v>
      </c>
      <c r="H59" s="1137">
        <f t="shared" si="192"/>
        <v>602.31164058000002</v>
      </c>
      <c r="I59" s="1137">
        <f t="shared" si="192"/>
        <v>63.713833333333326</v>
      </c>
      <c r="J59" s="1137">
        <f t="shared" si="192"/>
        <v>88.006666666666689</v>
      </c>
      <c r="K59" s="1137">
        <f t="shared" si="192"/>
        <v>120.95266666666666</v>
      </c>
      <c r="L59" s="1137">
        <f t="shared" si="192"/>
        <v>199.19809166666664</v>
      </c>
      <c r="M59" s="1137">
        <f t="shared" si="192"/>
        <v>242.58410784313725</v>
      </c>
      <c r="N59" s="1137">
        <f t="shared" si="192"/>
        <v>94.294999999999931</v>
      </c>
      <c r="O59" s="1137">
        <f t="shared" si="192"/>
        <v>123.33599999999996</v>
      </c>
      <c r="P59" s="1137">
        <f t="shared" si="192"/>
        <v>153.0325</v>
      </c>
      <c r="Q59" s="1137">
        <f t="shared" si="192"/>
        <v>189.72899999999993</v>
      </c>
      <c r="R59" s="1137">
        <f t="shared" si="192"/>
        <v>218.76999999999995</v>
      </c>
      <c r="S59" s="1137">
        <f t="shared" si="192"/>
        <v>171.53124999999994</v>
      </c>
      <c r="T59" s="1137">
        <f t="shared" si="192"/>
        <v>178.33125000000013</v>
      </c>
      <c r="U59" s="1137">
        <f t="shared" si="192"/>
        <v>185.93749999999994</v>
      </c>
      <c r="V59" s="1137">
        <f t="shared" si="192"/>
        <v>196.35000000000002</v>
      </c>
      <c r="W59" s="1137">
        <f t="shared" si="192"/>
        <v>203.14999999999998</v>
      </c>
      <c r="X59" s="1137">
        <f t="shared" si="192"/>
        <v>71.711857142857127</v>
      </c>
      <c r="Y59" s="1137">
        <f t="shared" si="192"/>
        <v>118.64435714285707</v>
      </c>
      <c r="Z59" s="1137">
        <f t="shared" si="192"/>
        <v>163.18010714285703</v>
      </c>
      <c r="AA59" s="1137">
        <f t="shared" si="192"/>
        <v>234.00155714285705</v>
      </c>
      <c r="AB59" s="1137">
        <f t="shared" si="192"/>
        <v>272.8068571428571</v>
      </c>
      <c r="AC59" s="1137">
        <f t="shared" si="192"/>
        <v>-220.43750000000006</v>
      </c>
      <c r="AD59" s="1137">
        <f t="shared" si="192"/>
        <v>-161.49250000000006</v>
      </c>
      <c r="AE59" s="1137">
        <f t="shared" si="192"/>
        <v>-88.265000000000043</v>
      </c>
      <c r="AF59" s="1137">
        <f t="shared" si="192"/>
        <v>19.289999999999907</v>
      </c>
      <c r="AG59" s="1137">
        <f t="shared" si="192"/>
        <v>68.990000000000009</v>
      </c>
      <c r="AH59" s="1137">
        <f t="shared" si="192"/>
        <v>10.329583333333289</v>
      </c>
      <c r="AI59" s="1137">
        <f t="shared" si="192"/>
        <v>54.211833333333345</v>
      </c>
      <c r="AJ59" s="1137">
        <f t="shared" si="192"/>
        <v>86.714833333333331</v>
      </c>
      <c r="AK59" s="1137">
        <f t="shared" si="192"/>
        <v>137.52933333333328</v>
      </c>
      <c r="AL59" s="1137">
        <f t="shared" si="192"/>
        <v>192.31333333333328</v>
      </c>
      <c r="AM59" s="1137">
        <f t="shared" si="192"/>
        <v>28.926190476190527</v>
      </c>
      <c r="AN59" s="1137">
        <f t="shared" si="192"/>
        <v>84.06116297619036</v>
      </c>
      <c r="AO59" s="1137">
        <f t="shared" si="192"/>
        <v>128.14594797619043</v>
      </c>
      <c r="AP59" s="1137">
        <f t="shared" si="192"/>
        <v>183.85666047619043</v>
      </c>
      <c r="AQ59" s="1137">
        <f t="shared" si="192"/>
        <v>240.85869047619047</v>
      </c>
      <c r="AR59" s="1137">
        <f t="shared" si="192"/>
        <v>137.65</v>
      </c>
      <c r="AS59" s="1137">
        <f t="shared" si="192"/>
        <v>150.42750000000004</v>
      </c>
      <c r="AT59" s="1137">
        <f t="shared" si="192"/>
        <v>163.20500000000007</v>
      </c>
      <c r="AU59" s="1137">
        <f t="shared" si="192"/>
        <v>172.70500000000007</v>
      </c>
      <c r="AV59" s="1137">
        <f t="shared" si="192"/>
        <v>182.20500000000007</v>
      </c>
      <c r="AW59" s="1137">
        <f t="shared" si="192"/>
        <v>-99.137500000000159</v>
      </c>
      <c r="AX59" s="1137">
        <f t="shared" si="192"/>
        <v>-86.2650000000001</v>
      </c>
      <c r="AY59" s="1137">
        <f t="shared" si="192"/>
        <v>-65.330000000000155</v>
      </c>
      <c r="AZ59" s="1137">
        <f t="shared" si="192"/>
        <v>-47.767500000000155</v>
      </c>
      <c r="BA59" s="1137">
        <f t="shared" si="192"/>
        <v>-30.205000000000155</v>
      </c>
      <c r="BB59" s="1137">
        <f t="shared" si="192"/>
        <v>58.273916666666622</v>
      </c>
      <c r="BC59" s="1137">
        <f t="shared" si="192"/>
        <v>78.332666666666626</v>
      </c>
      <c r="BD59" s="1137">
        <f t="shared" si="192"/>
        <v>113.38066666666668</v>
      </c>
      <c r="BE59" s="1137">
        <f t="shared" si="192"/>
        <v>151.81</v>
      </c>
      <c r="BF59" s="1137">
        <f t="shared" si="192"/>
        <v>216.08000000000004</v>
      </c>
      <c r="BG59" s="1137">
        <f t="shared" si="192"/>
        <v>312.93999999999988</v>
      </c>
      <c r="BH59" s="1137">
        <f t="shared" si="192"/>
        <v>19.697500000000002</v>
      </c>
      <c r="BI59" s="1137">
        <f t="shared" si="192"/>
        <v>23.664549999999998</v>
      </c>
      <c r="BJ59" s="1137">
        <f t="shared" si="192"/>
        <v>31.145</v>
      </c>
      <c r="BK59" s="1137">
        <f t="shared" si="192"/>
        <v>39.212400000000002</v>
      </c>
      <c r="BL59" s="1137">
        <f t="shared" si="192"/>
        <v>41.501999999999988</v>
      </c>
      <c r="BM59" s="1137">
        <f t="shared" si="192"/>
        <v>7.4831499999999949</v>
      </c>
      <c r="BN59" s="1137">
        <f t="shared" si="192"/>
        <v>24.523277650000004</v>
      </c>
      <c r="BO59" s="1137">
        <f t="shared" si="192"/>
        <v>48.865202500000024</v>
      </c>
      <c r="BP59" s="1137">
        <f t="shared" si="192"/>
        <v>71.684085500000023</v>
      </c>
      <c r="BQ59" s="1137">
        <f t="shared" si="192"/>
        <v>93.404700000000005</v>
      </c>
      <c r="BR59" s="1137">
        <f t="shared" si="192"/>
        <v>16.349999999999998</v>
      </c>
      <c r="BS59" s="1137">
        <f t="shared" ref="BS59:CT59" si="193">BS37-BS57</f>
        <v>18.412949999999999</v>
      </c>
      <c r="BT59" s="1137">
        <f t="shared" si="193"/>
        <v>23.228999999999999</v>
      </c>
      <c r="BU59" s="1137">
        <f t="shared" si="193"/>
        <v>28.045049999999996</v>
      </c>
      <c r="BV59" s="1137">
        <f t="shared" si="193"/>
        <v>29.849999999999998</v>
      </c>
      <c r="BW59" s="1137">
        <f t="shared" si="193"/>
        <v>-3.1364999999999981</v>
      </c>
      <c r="BX59" s="1137">
        <f t="shared" si="193"/>
        <v>10.058539999999979</v>
      </c>
      <c r="BY59" s="1137">
        <f t="shared" si="193"/>
        <v>32.17170999999999</v>
      </c>
      <c r="BZ59" s="1137">
        <f t="shared" si="193"/>
        <v>40.666939999999997</v>
      </c>
      <c r="CA59" s="1137">
        <f t="shared" si="193"/>
        <v>49.443150000000003</v>
      </c>
      <c r="CB59" s="1137">
        <f t="shared" si="193"/>
        <v>-8.8099999999999987</v>
      </c>
      <c r="CC59" s="1137">
        <f t="shared" si="193"/>
        <v>1.0499999999999972</v>
      </c>
      <c r="CD59" s="1137">
        <f t="shared" si="193"/>
        <v>16.799999999999997</v>
      </c>
      <c r="CE59" s="1137">
        <f t="shared" si="193"/>
        <v>36.15</v>
      </c>
      <c r="CF59" s="1137">
        <f t="shared" si="193"/>
        <v>31.189999999999998</v>
      </c>
      <c r="CG59" s="1137">
        <f t="shared" si="193"/>
        <v>-728.7349999999999</v>
      </c>
      <c r="CH59" s="1137">
        <f t="shared" si="193"/>
        <v>-539.15999999999985</v>
      </c>
      <c r="CI59" s="1137">
        <f t="shared" si="193"/>
        <v>-287.28739999999993</v>
      </c>
      <c r="CJ59" s="1137">
        <f t="shared" si="193"/>
        <v>-66.393199999999993</v>
      </c>
      <c r="CK59" s="1137">
        <f t="shared" si="193"/>
        <v>-64.521200000000022</v>
      </c>
      <c r="CL59" s="1137">
        <f t="shared" si="193"/>
        <v>-41.687999999999988</v>
      </c>
      <c r="CM59" s="1137">
        <f t="shared" si="193"/>
        <v>-96.417584685505929</v>
      </c>
      <c r="CN59" s="1137">
        <f t="shared" si="193"/>
        <v>-83.836144421572683</v>
      </c>
      <c r="CO59" s="1137">
        <f t="shared" si="193"/>
        <v>-49.875166541070087</v>
      </c>
      <c r="CP59" s="1137">
        <f t="shared" si="193"/>
        <v>-10.444749999999999</v>
      </c>
      <c r="CQ59" s="1137">
        <f t="shared" si="193"/>
        <v>-8.9092499999999966</v>
      </c>
      <c r="CR59" s="1137">
        <f t="shared" si="193"/>
        <v>-7.1711499999999972</v>
      </c>
      <c r="CS59" s="1137">
        <f t="shared" si="193"/>
        <v>-1.5868000000000007</v>
      </c>
      <c r="CT59" s="1137">
        <f t="shared" si="193"/>
        <v>-0.25494999999999912</v>
      </c>
      <c r="CV59" s="1126" t="s">
        <v>978</v>
      </c>
      <c r="CW59" s="1122" t="s">
        <v>464</v>
      </c>
      <c r="CX59" s="1137">
        <f t="shared" ref="CX59:DM60" si="194">CX37-CX57</f>
        <v>246.79999999999995</v>
      </c>
      <c r="CY59" s="1137">
        <f t="shared" si="194"/>
        <v>530</v>
      </c>
      <c r="CZ59" s="1137" t="e">
        <f t="shared" si="194"/>
        <v>#DIV/0!</v>
      </c>
      <c r="DA59" s="1137">
        <f t="shared" si="194"/>
        <v>739.57368421052638</v>
      </c>
      <c r="DB59" s="1137">
        <f t="shared" si="194"/>
        <v>734.47368421052624</v>
      </c>
      <c r="DC59" s="1137" t="e">
        <f t="shared" si="194"/>
        <v>#DIV/0!</v>
      </c>
      <c r="DD59" s="1137">
        <f t="shared" si="194"/>
        <v>177.9736842105263</v>
      </c>
      <c r="DE59" s="1137">
        <f t="shared" si="194"/>
        <v>228.7236842105263</v>
      </c>
      <c r="DF59" s="1137">
        <f t="shared" si="194"/>
        <v>373.67368421052629</v>
      </c>
      <c r="DG59" s="1137">
        <f t="shared" si="194"/>
        <v>82.35526315789474</v>
      </c>
      <c r="DH59" s="1137">
        <f t="shared" si="194"/>
        <v>120.20526315789473</v>
      </c>
      <c r="DI59" s="1137">
        <f t="shared" si="194"/>
        <v>290.85526315789474</v>
      </c>
      <c r="DJ59" s="1137">
        <f t="shared" si="194"/>
        <v>223.85526315789474</v>
      </c>
      <c r="DK59" s="1137">
        <f t="shared" si="194"/>
        <v>312.35526315789474</v>
      </c>
      <c r="DL59" s="1137">
        <f t="shared" si="194"/>
        <v>614.3552631578948</v>
      </c>
      <c r="DM59" s="1137">
        <f t="shared" si="194"/>
        <v>44.162000000000006</v>
      </c>
      <c r="DN59" s="1137">
        <f t="shared" ref="CY59:DR60" si="195">DN37-DN57</f>
        <v>52.605599999999995</v>
      </c>
      <c r="DO59" s="1137">
        <f t="shared" si="195"/>
        <v>60.45</v>
      </c>
      <c r="DP59" s="1137">
        <f t="shared" si="195"/>
        <v>4.0700000000000074</v>
      </c>
      <c r="DQ59" s="1137">
        <f t="shared" si="195"/>
        <v>12.629331197265643</v>
      </c>
      <c r="DR59" s="1137">
        <f t="shared" si="195"/>
        <v>15.090000000000003</v>
      </c>
      <c r="DT59" s="238"/>
      <c r="DU59" s="238"/>
      <c r="DV59" s="238"/>
      <c r="DW59" s="238"/>
      <c r="DX59" s="238"/>
      <c r="DY59" s="238"/>
      <c r="DZ59" s="238"/>
      <c r="EA59" s="238"/>
      <c r="EB59" s="238"/>
      <c r="EC59" s="238"/>
      <c r="ED59" s="238"/>
      <c r="EE59" s="238"/>
      <c r="EF59" s="238"/>
      <c r="EG59" s="238"/>
      <c r="EH59" s="238"/>
    </row>
    <row r="60" spans="1:169" s="235" customFormat="1" ht="35.5" customHeight="1" thickBot="1" x14ac:dyDescent="0.3">
      <c r="B60" s="1126" t="s">
        <v>978</v>
      </c>
      <c r="C60" s="1122" t="s">
        <v>538</v>
      </c>
      <c r="D60" s="1132"/>
      <c r="E60" s="1132"/>
      <c r="F60" s="1133">
        <f>F38-F58</f>
        <v>621.5410767999997</v>
      </c>
      <c r="G60" s="1133">
        <f t="shared" ref="G60:BR60" si="196">G38-G58</f>
        <v>821.45252460000006</v>
      </c>
      <c r="H60" s="1133">
        <f t="shared" si="196"/>
        <v>963.6986249280003</v>
      </c>
      <c r="I60" s="1133">
        <f t="shared" si="196"/>
        <v>95.570750000000032</v>
      </c>
      <c r="J60" s="1133">
        <f t="shared" si="196"/>
        <v>145.21100000000001</v>
      </c>
      <c r="K60" s="1133">
        <f t="shared" si="196"/>
        <v>217.71480000000003</v>
      </c>
      <c r="L60" s="1133">
        <f t="shared" si="196"/>
        <v>438.23580166666659</v>
      </c>
      <c r="M60" s="1133">
        <f t="shared" si="196"/>
        <v>557.94344803921558</v>
      </c>
      <c r="N60" s="1133">
        <f t="shared" si="196"/>
        <v>235.73749999999984</v>
      </c>
      <c r="O60" s="1133">
        <f t="shared" si="196"/>
        <v>339.17399999999986</v>
      </c>
      <c r="P60" s="1133">
        <f t="shared" si="196"/>
        <v>459.09749999999997</v>
      </c>
      <c r="Q60" s="1133">
        <f t="shared" si="196"/>
        <v>664.05149999999981</v>
      </c>
      <c r="R60" s="1133">
        <f t="shared" si="196"/>
        <v>875.07999999999981</v>
      </c>
      <c r="S60" s="1133">
        <f t="shared" si="196"/>
        <v>428.82812499999977</v>
      </c>
      <c r="T60" s="1133">
        <f t="shared" si="196"/>
        <v>517.16062500000032</v>
      </c>
      <c r="U60" s="1133">
        <f t="shared" si="196"/>
        <v>557.81249999999989</v>
      </c>
      <c r="V60" s="1133">
        <f t="shared" si="196"/>
        <v>598.86750000000006</v>
      </c>
      <c r="W60" s="1133">
        <f t="shared" si="196"/>
        <v>629.76499999999987</v>
      </c>
      <c r="X60" s="1133">
        <f t="shared" si="196"/>
        <v>100.39660000000003</v>
      </c>
      <c r="Y60" s="1133">
        <f t="shared" si="196"/>
        <v>177.96653571428567</v>
      </c>
      <c r="Z60" s="1133">
        <f t="shared" si="196"/>
        <v>269.24717678571409</v>
      </c>
      <c r="AA60" s="1133">
        <f t="shared" si="196"/>
        <v>468.0031142857141</v>
      </c>
      <c r="AB60" s="1133">
        <f t="shared" si="196"/>
        <v>572.89439999999979</v>
      </c>
      <c r="AC60" s="1133">
        <f t="shared" si="196"/>
        <v>-661.31250000000023</v>
      </c>
      <c r="AD60" s="1133">
        <f t="shared" si="196"/>
        <v>-557.48095890410968</v>
      </c>
      <c r="AE60" s="1133">
        <f t="shared" si="196"/>
        <v>-358.4654311039485</v>
      </c>
      <c r="AF60" s="1133">
        <f t="shared" si="196"/>
        <v>88.786849315068139</v>
      </c>
      <c r="AG60" s="1133">
        <f t="shared" si="196"/>
        <v>327.7025000000001</v>
      </c>
      <c r="AH60" s="1133">
        <f t="shared" si="196"/>
        <v>11.36254166666663</v>
      </c>
      <c r="AI60" s="1133">
        <f t="shared" si="196"/>
        <v>70.475383333333355</v>
      </c>
      <c r="AJ60" s="1133">
        <f t="shared" si="196"/>
        <v>138.74373333333335</v>
      </c>
      <c r="AK60" s="1133">
        <f t="shared" si="196"/>
        <v>261.30573333333331</v>
      </c>
      <c r="AL60" s="1133">
        <f t="shared" si="196"/>
        <v>423.08933333333323</v>
      </c>
      <c r="AM60" s="1133">
        <f t="shared" si="196"/>
        <v>26.033571428571463</v>
      </c>
      <c r="AN60" s="1133">
        <f t="shared" si="196"/>
        <v>84.06116297619036</v>
      </c>
      <c r="AO60" s="1133">
        <f t="shared" si="196"/>
        <v>160.18243497023803</v>
      </c>
      <c r="AP60" s="1133">
        <f t="shared" si="196"/>
        <v>275.78499071428564</v>
      </c>
      <c r="AQ60" s="1133">
        <f t="shared" si="196"/>
        <v>385.37390476190478</v>
      </c>
      <c r="AR60" s="1133">
        <f t="shared" si="196"/>
        <v>357.89000000000004</v>
      </c>
      <c r="AS60" s="1133">
        <f t="shared" si="196"/>
        <v>413.67562500000008</v>
      </c>
      <c r="AT60" s="1133">
        <f t="shared" si="196"/>
        <v>489.61500000000024</v>
      </c>
      <c r="AU60" s="1133">
        <f t="shared" si="196"/>
        <v>561.29125000000022</v>
      </c>
      <c r="AV60" s="1133">
        <f t="shared" si="196"/>
        <v>619.49700000000018</v>
      </c>
      <c r="AW60" s="1133">
        <f t="shared" si="196"/>
        <v>-297.41250000000036</v>
      </c>
      <c r="AX60" s="1133">
        <f t="shared" si="196"/>
        <v>-297.79150684931528</v>
      </c>
      <c r="AY60" s="1133">
        <f t="shared" si="196"/>
        <v>-265.32087026591512</v>
      </c>
      <c r="AZ60" s="1133">
        <f t="shared" si="196"/>
        <v>-219.86136986301449</v>
      </c>
      <c r="BA60" s="1133">
        <f t="shared" si="196"/>
        <v>-151.025000000001</v>
      </c>
      <c r="BB60" s="1133">
        <f t="shared" si="196"/>
        <v>52.44652499999998</v>
      </c>
      <c r="BC60" s="1133">
        <f t="shared" si="196"/>
        <v>78.332666666666626</v>
      </c>
      <c r="BD60" s="1133">
        <f t="shared" si="196"/>
        <v>124.71873333333335</v>
      </c>
      <c r="BE60" s="1133">
        <f t="shared" si="196"/>
        <v>227.71499999999997</v>
      </c>
      <c r="BF60" s="1133">
        <f t="shared" si="196"/>
        <v>270.10000000000002</v>
      </c>
      <c r="BG60" s="1133">
        <f t="shared" si="196"/>
        <v>782.3499999999998</v>
      </c>
      <c r="BH60" s="1133">
        <f t="shared" si="196"/>
        <v>236.37</v>
      </c>
      <c r="BI60" s="1133">
        <f t="shared" si="196"/>
        <v>354.96825000000001</v>
      </c>
      <c r="BJ60" s="1133">
        <f t="shared" si="196"/>
        <v>467.17500000000001</v>
      </c>
      <c r="BK60" s="1133">
        <f t="shared" si="196"/>
        <v>588.18600000000015</v>
      </c>
      <c r="BL60" s="1133">
        <f t="shared" si="196"/>
        <v>747.03599999999972</v>
      </c>
      <c r="BM60" s="1133">
        <f t="shared" si="196"/>
        <v>52.382049999999936</v>
      </c>
      <c r="BN60" s="1133">
        <f t="shared" si="196"/>
        <v>196.18622120000003</v>
      </c>
      <c r="BO60" s="1133">
        <f t="shared" si="196"/>
        <v>488.65202500000032</v>
      </c>
      <c r="BP60" s="1133">
        <f t="shared" si="196"/>
        <v>788.52494050000018</v>
      </c>
      <c r="BQ60" s="1133">
        <f t="shared" si="196"/>
        <v>1214.2611000000002</v>
      </c>
      <c r="BR60" s="1133">
        <f t="shared" si="196"/>
        <v>392.4</v>
      </c>
      <c r="BS60" s="1133">
        <f t="shared" ref="BS60:CU60" si="197">BS38-BS58</f>
        <v>478.73669999999998</v>
      </c>
      <c r="BT60" s="1133">
        <f t="shared" si="197"/>
        <v>650.41199999999992</v>
      </c>
      <c r="BU60" s="1133">
        <f t="shared" si="197"/>
        <v>841.35149999999999</v>
      </c>
      <c r="BV60" s="1133">
        <f t="shared" si="197"/>
        <v>955.19999999999993</v>
      </c>
      <c r="BW60" s="1133">
        <f t="shared" si="197"/>
        <v>-9.4094999999999942</v>
      </c>
      <c r="BX60" s="1133">
        <f t="shared" si="197"/>
        <v>70.409779999999841</v>
      </c>
      <c r="BY60" s="1133">
        <f t="shared" si="197"/>
        <v>241.28782499999988</v>
      </c>
      <c r="BZ60" s="1133">
        <f t="shared" si="197"/>
        <v>325.33551999999997</v>
      </c>
      <c r="CA60" s="1133">
        <f t="shared" si="197"/>
        <v>444.98835000000008</v>
      </c>
      <c r="CB60" s="1133">
        <f t="shared" si="197"/>
        <v>-132.14999999999998</v>
      </c>
      <c r="CC60" s="1133">
        <f t="shared" si="197"/>
        <v>15.749999999999943</v>
      </c>
      <c r="CD60" s="1133">
        <f t="shared" si="197"/>
        <v>252</v>
      </c>
      <c r="CE60" s="1133">
        <f t="shared" si="197"/>
        <v>542.25</v>
      </c>
      <c r="CF60" s="1133">
        <f t="shared" si="197"/>
        <v>467.85</v>
      </c>
      <c r="CG60" s="1133">
        <f t="shared" si="197"/>
        <v>-14574.699999999997</v>
      </c>
      <c r="CH60" s="1133">
        <f t="shared" si="197"/>
        <v>-10783.199999999993</v>
      </c>
      <c r="CI60" s="1133">
        <f t="shared" si="197"/>
        <v>-5745.7479999999996</v>
      </c>
      <c r="CJ60" s="1133">
        <f t="shared" si="197"/>
        <v>-1859.0095999999999</v>
      </c>
      <c r="CK60" s="1133">
        <f t="shared" si="197"/>
        <v>-1935.6360000000004</v>
      </c>
      <c r="CL60" s="1133">
        <f t="shared" si="197"/>
        <v>-1459.08</v>
      </c>
      <c r="CM60" s="1133">
        <f t="shared" si="197"/>
        <v>-2314.0220324521424</v>
      </c>
      <c r="CN60" s="1133">
        <f t="shared" si="197"/>
        <v>-2095.903610539317</v>
      </c>
      <c r="CO60" s="1133">
        <f t="shared" si="197"/>
        <v>-1371.5670798794272</v>
      </c>
      <c r="CP60" s="1133">
        <f t="shared" si="197"/>
        <v>-10444.75</v>
      </c>
      <c r="CQ60" s="1133">
        <f t="shared" si="197"/>
        <v>-8909.2499999999964</v>
      </c>
      <c r="CR60" s="1133">
        <f t="shared" si="197"/>
        <v>-7171.1499999999978</v>
      </c>
      <c r="CS60" s="1133">
        <f t="shared" si="197"/>
        <v>-1586.8000000000006</v>
      </c>
      <c r="CT60" s="1134">
        <f t="shared" si="197"/>
        <v>-254.94999999999982</v>
      </c>
      <c r="CU60" s="1127">
        <f t="shared" si="197"/>
        <v>4763.1250000000009</v>
      </c>
      <c r="CV60" s="1126" t="s">
        <v>978</v>
      </c>
      <c r="CW60" s="1122" t="s">
        <v>538</v>
      </c>
      <c r="CX60" s="1133">
        <f t="shared" si="194"/>
        <v>246.79999999999995</v>
      </c>
      <c r="CY60" s="1133">
        <f t="shared" si="195"/>
        <v>530</v>
      </c>
      <c r="CZ60" s="1133" t="e">
        <f t="shared" si="195"/>
        <v>#DIV/0!</v>
      </c>
      <c r="DA60" s="1133">
        <f t="shared" si="195"/>
        <v>887.48842105263168</v>
      </c>
      <c r="DB60" s="1133">
        <f t="shared" si="195"/>
        <v>954.81578947368405</v>
      </c>
      <c r="DC60" s="1133" t="e">
        <f t="shared" si="195"/>
        <v>#DIV/0!</v>
      </c>
      <c r="DD60" s="1133">
        <f t="shared" si="195"/>
        <v>237.29824561403507</v>
      </c>
      <c r="DE60" s="1133">
        <f t="shared" si="195"/>
        <v>304.9649122807017</v>
      </c>
      <c r="DF60" s="1133">
        <f t="shared" si="195"/>
        <v>498.23157894736835</v>
      </c>
      <c r="DG60" s="1133">
        <f t="shared" si="195"/>
        <v>61.766447368421041</v>
      </c>
      <c r="DH60" s="1133">
        <f t="shared" si="195"/>
        <v>90.153947368421058</v>
      </c>
      <c r="DI60" s="1133">
        <f t="shared" si="195"/>
        <v>218.14144736842104</v>
      </c>
      <c r="DJ60" s="1133">
        <f t="shared" si="195"/>
        <v>286.53473684210525</v>
      </c>
      <c r="DK60" s="1133">
        <f t="shared" si="195"/>
        <v>399.81473684210533</v>
      </c>
      <c r="DL60" s="1133">
        <f t="shared" si="195"/>
        <v>786.37473684210522</v>
      </c>
      <c r="DM60" s="1133">
        <f t="shared" si="195"/>
        <v>203.14519999999999</v>
      </c>
      <c r="DN60" s="1133">
        <f t="shared" si="195"/>
        <v>247.24631999999997</v>
      </c>
      <c r="DO60" s="1133">
        <f t="shared" si="195"/>
        <v>290.15999999999997</v>
      </c>
      <c r="DP60" s="1133">
        <f t="shared" si="195"/>
        <v>26.455000000000041</v>
      </c>
      <c r="DQ60" s="1133">
        <f t="shared" si="195"/>
        <v>84.616519021679835</v>
      </c>
      <c r="DR60" s="1133">
        <f t="shared" si="195"/>
        <v>75.450000000000045</v>
      </c>
      <c r="DT60" s="238"/>
      <c r="DU60" s="238"/>
      <c r="DV60" s="238"/>
      <c r="DW60" s="238"/>
      <c r="DX60" s="238"/>
      <c r="DY60" s="238"/>
      <c r="DZ60" s="238"/>
      <c r="EA60" s="238"/>
      <c r="EB60" s="238"/>
      <c r="EC60" s="238"/>
      <c r="ED60" s="238"/>
      <c r="EE60" s="238"/>
      <c r="EF60" s="238"/>
      <c r="EG60" s="238"/>
      <c r="EH60" s="238"/>
    </row>
    <row r="61" spans="1:169" s="235" customFormat="1" x14ac:dyDescent="0.25">
      <c r="DT61" s="238"/>
      <c r="DU61" s="238"/>
      <c r="DV61" s="238"/>
      <c r="DW61" s="238"/>
      <c r="DX61" s="238"/>
      <c r="DY61" s="238"/>
      <c r="DZ61" s="238"/>
      <c r="EA61" s="238"/>
      <c r="EB61" s="238"/>
      <c r="EC61" s="238"/>
      <c r="ED61" s="238"/>
      <c r="EE61" s="238"/>
      <c r="EF61" s="238"/>
      <c r="EG61" s="238"/>
      <c r="EH61" s="238"/>
    </row>
    <row r="62" spans="1:169" s="235" customFormat="1" x14ac:dyDescent="0.25">
      <c r="DT62" s="238"/>
      <c r="DU62" s="238"/>
      <c r="DV62" s="238"/>
      <c r="DW62" s="238"/>
      <c r="DX62" s="238"/>
      <c r="DY62" s="238"/>
      <c r="DZ62" s="238"/>
      <c r="EA62" s="238"/>
      <c r="EB62" s="238"/>
      <c r="EC62" s="238"/>
      <c r="ED62" s="238"/>
      <c r="EE62" s="238"/>
      <c r="EF62" s="238"/>
      <c r="EG62" s="238"/>
      <c r="EH62" s="238"/>
    </row>
    <row r="63" spans="1:169" s="235" customFormat="1" x14ac:dyDescent="0.25">
      <c r="DT63" s="238"/>
      <c r="DU63" s="238"/>
      <c r="DV63" s="238"/>
      <c r="DW63" s="238"/>
      <c r="DX63" s="238"/>
      <c r="DY63" s="238"/>
      <c r="DZ63" s="238"/>
      <c r="EA63" s="238"/>
      <c r="EB63" s="238"/>
      <c r="EC63" s="238"/>
      <c r="ED63" s="238"/>
      <c r="EE63" s="238"/>
      <c r="EF63" s="238"/>
      <c r="EG63" s="238"/>
      <c r="EH63" s="238"/>
    </row>
    <row r="64" spans="1:169" s="235" customFormat="1" x14ac:dyDescent="0.25">
      <c r="DT64" s="238"/>
      <c r="DU64" s="238"/>
      <c r="DV64" s="238"/>
      <c r="DW64" s="238"/>
      <c r="DX64" s="238"/>
      <c r="DY64" s="238"/>
      <c r="DZ64" s="238"/>
      <c r="EA64" s="238"/>
      <c r="EB64" s="238"/>
      <c r="EC64" s="238"/>
      <c r="ED64" s="238"/>
      <c r="EE64" s="238"/>
      <c r="EF64" s="238"/>
      <c r="EG64" s="238"/>
      <c r="EH64" s="238"/>
    </row>
    <row r="65" spans="124:138" s="235" customFormat="1" x14ac:dyDescent="0.25">
      <c r="DT65" s="238"/>
      <c r="DU65" s="238"/>
      <c r="DV65" s="238"/>
      <c r="DW65" s="238"/>
      <c r="DX65" s="238"/>
      <c r="DY65" s="238"/>
      <c r="DZ65" s="238"/>
      <c r="EA65" s="238"/>
      <c r="EB65" s="238"/>
      <c r="EC65" s="238"/>
      <c r="ED65" s="238"/>
      <c r="EE65" s="238"/>
      <c r="EF65" s="238"/>
      <c r="EG65" s="238"/>
      <c r="EH65" s="238"/>
    </row>
    <row r="66" spans="124:138" s="235" customFormat="1" x14ac:dyDescent="0.25"/>
    <row r="67" spans="124:138" s="235" customFormat="1" x14ac:dyDescent="0.25"/>
    <row r="68" spans="124:138" s="235" customFormat="1" x14ac:dyDescent="0.25"/>
    <row r="69" spans="124:138" s="235" customFormat="1" x14ac:dyDescent="0.25"/>
    <row r="70" spans="124:138" s="235" customFormat="1" x14ac:dyDescent="0.25"/>
    <row r="71" spans="124:138" s="235" customFormat="1" x14ac:dyDescent="0.25"/>
    <row r="72" spans="124:138" s="235" customFormat="1" x14ac:dyDescent="0.25"/>
    <row r="73" spans="124:138" s="235" customFormat="1" x14ac:dyDescent="0.25"/>
    <row r="74" spans="124:138" s="235" customFormat="1" x14ac:dyDescent="0.25"/>
    <row r="75" spans="124:138" s="235" customFormat="1" x14ac:dyDescent="0.25"/>
    <row r="76" spans="124:138" s="235" customFormat="1" x14ac:dyDescent="0.25"/>
    <row r="77" spans="124:138" s="235" customFormat="1" x14ac:dyDescent="0.25"/>
    <row r="78" spans="124:138" s="235" customFormat="1" x14ac:dyDescent="0.25"/>
    <row r="79" spans="124:138" s="235" customFormat="1" x14ac:dyDescent="0.25"/>
    <row r="80" spans="124:138" s="235" customFormat="1" x14ac:dyDescent="0.25"/>
    <row r="81" s="235" customFormat="1" x14ac:dyDescent="0.25"/>
    <row r="82" s="235" customFormat="1" x14ac:dyDescent="0.25"/>
    <row r="83" s="235" customFormat="1" x14ac:dyDescent="0.25"/>
    <row r="84" s="235" customFormat="1" x14ac:dyDescent="0.25"/>
    <row r="85" s="235" customFormat="1" x14ac:dyDescent="0.25"/>
    <row r="86" s="235" customFormat="1" x14ac:dyDescent="0.25"/>
    <row r="87" s="235" customFormat="1" x14ac:dyDescent="0.25"/>
    <row r="88" s="235" customFormat="1" x14ac:dyDescent="0.25"/>
    <row r="89" s="235" customFormat="1" x14ac:dyDescent="0.25"/>
    <row r="90" s="235" customFormat="1" x14ac:dyDescent="0.25"/>
    <row r="91" s="235" customFormat="1" x14ac:dyDescent="0.25"/>
    <row r="92" s="235" customFormat="1" x14ac:dyDescent="0.25"/>
    <row r="93" s="235" customFormat="1" x14ac:dyDescent="0.25"/>
    <row r="94" s="235" customFormat="1" x14ac:dyDescent="0.25"/>
    <row r="95" s="235" customFormat="1" x14ac:dyDescent="0.25"/>
    <row r="96" s="235" customFormat="1" x14ac:dyDescent="0.25"/>
    <row r="97" s="235" customFormat="1" x14ac:dyDescent="0.25"/>
    <row r="98" s="235" customFormat="1" x14ac:dyDescent="0.25"/>
    <row r="99" s="235" customFormat="1" x14ac:dyDescent="0.25"/>
    <row r="100" s="235" customFormat="1" x14ac:dyDescent="0.25"/>
    <row r="101" s="235" customFormat="1" x14ac:dyDescent="0.25"/>
    <row r="102" s="235" customFormat="1" x14ac:dyDescent="0.25"/>
    <row r="103" s="235" customFormat="1" x14ac:dyDescent="0.25"/>
    <row r="104" s="235" customFormat="1" x14ac:dyDescent="0.25"/>
    <row r="105" s="235" customFormat="1" x14ac:dyDescent="0.25"/>
    <row r="106" s="235" customFormat="1" x14ac:dyDescent="0.25"/>
    <row r="107" s="235" customFormat="1" x14ac:dyDescent="0.25"/>
    <row r="108" s="235" customFormat="1" x14ac:dyDescent="0.25"/>
    <row r="109" s="235" customFormat="1" x14ac:dyDescent="0.25"/>
    <row r="110" s="235" customFormat="1" x14ac:dyDescent="0.25"/>
    <row r="111" s="235" customFormat="1" x14ac:dyDescent="0.25"/>
    <row r="112" s="235" customFormat="1" x14ac:dyDescent="0.25"/>
    <row r="113" s="235" customFormat="1" x14ac:dyDescent="0.25"/>
    <row r="114" s="235" customFormat="1" x14ac:dyDescent="0.25"/>
    <row r="115" s="235" customFormat="1" x14ac:dyDescent="0.25"/>
    <row r="116" s="235" customFormat="1" x14ac:dyDescent="0.25"/>
    <row r="117" s="235" customFormat="1" x14ac:dyDescent="0.25"/>
    <row r="118" s="235" customFormat="1" x14ac:dyDescent="0.25"/>
    <row r="119" s="235" customFormat="1" x14ac:dyDescent="0.25"/>
    <row r="120" s="235" customFormat="1" x14ac:dyDescent="0.25"/>
    <row r="121" s="235" customFormat="1" x14ac:dyDescent="0.25"/>
    <row r="122" s="235" customFormat="1" x14ac:dyDescent="0.25"/>
    <row r="123" s="235" customFormat="1" x14ac:dyDescent="0.25"/>
    <row r="124" s="235" customFormat="1" x14ac:dyDescent="0.25"/>
  </sheetData>
  <mergeCells count="51">
    <mergeCell ref="BB3:BD3"/>
    <mergeCell ref="BE3:BG3"/>
    <mergeCell ref="D3:H3"/>
    <mergeCell ref="I3:M3"/>
    <mergeCell ref="N3:R3"/>
    <mergeCell ref="S3:W3"/>
    <mergeCell ref="X3:AB3"/>
    <mergeCell ref="AC3:AG3"/>
    <mergeCell ref="CX3:DC3"/>
    <mergeCell ref="B4:C4"/>
    <mergeCell ref="D4:H4"/>
    <mergeCell ref="I4:M4"/>
    <mergeCell ref="AW4:BA4"/>
    <mergeCell ref="BB4:BD4"/>
    <mergeCell ref="BH3:BL3"/>
    <mergeCell ref="BM3:BQ3"/>
    <mergeCell ref="BR3:BV3"/>
    <mergeCell ref="BW3:CA3"/>
    <mergeCell ref="CB3:CF3"/>
    <mergeCell ref="CG3:CI3"/>
    <mergeCell ref="AH3:AL3"/>
    <mergeCell ref="AM3:AQ3"/>
    <mergeCell ref="AR3:AV3"/>
    <mergeCell ref="AW3:BA3"/>
    <mergeCell ref="CM4:CO4"/>
    <mergeCell ref="CJ3:CL3"/>
    <mergeCell ref="CM3:CO3"/>
    <mergeCell ref="CP3:CR3"/>
    <mergeCell ref="CS3:CU3"/>
    <mergeCell ref="DU4:DV4"/>
    <mergeCell ref="DW4:EA4"/>
    <mergeCell ref="EB4:EF4"/>
    <mergeCell ref="DZ6:EA6"/>
    <mergeCell ref="EB6:EC6"/>
    <mergeCell ref="EE6:EF6"/>
    <mergeCell ref="B46:B47"/>
    <mergeCell ref="B49:B50"/>
    <mergeCell ref="B37:B38"/>
    <mergeCell ref="DM4:DO4"/>
    <mergeCell ref="DP4:DR4"/>
    <mergeCell ref="CP4:CR4"/>
    <mergeCell ref="CX4:CZ4"/>
    <mergeCell ref="DA4:DC4"/>
    <mergeCell ref="DD4:DF4"/>
    <mergeCell ref="DG4:DI4"/>
    <mergeCell ref="DJ4:DL4"/>
    <mergeCell ref="BE4:BG4"/>
    <mergeCell ref="BH4:BL4"/>
    <mergeCell ref="BW4:CA4"/>
    <mergeCell ref="CG4:CI4"/>
    <mergeCell ref="CJ4:CL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3683F-29F5-4E86-BFF1-3C96392CC890}">
  <dimension ref="A1:GE122"/>
  <sheetViews>
    <sheetView workbookViewId="0"/>
  </sheetViews>
  <sheetFormatPr defaultColWidth="8.81640625" defaultRowHeight="10.5" x14ac:dyDescent="0.25"/>
  <cols>
    <col min="1" max="1" width="4.453125" style="235" customWidth="1"/>
    <col min="2" max="2" width="18.453125" style="2" customWidth="1"/>
    <col min="3" max="3" width="12.1796875" style="2" customWidth="1"/>
    <col min="4" max="5" width="0" style="2" hidden="1" customWidth="1"/>
    <col min="6" max="6" width="8.81640625" style="2" customWidth="1"/>
    <col min="7" max="10" width="8.81640625" style="2" hidden="1" customWidth="1"/>
    <col min="11" max="11" width="8.81640625" style="2"/>
    <col min="12" max="15" width="8.81640625" style="2" hidden="1" customWidth="1"/>
    <col min="16" max="16" width="8.81640625" style="2"/>
    <col min="17" max="20" width="0" style="2" hidden="1" customWidth="1"/>
    <col min="21" max="21" width="8.81640625" style="2"/>
    <col min="22" max="25" width="0" style="2" hidden="1" customWidth="1"/>
    <col min="26" max="26" width="8.81640625" style="2"/>
    <col min="27" max="30" width="0" style="2" hidden="1" customWidth="1"/>
    <col min="31" max="31" width="8.81640625" style="2"/>
    <col min="32" max="35" width="0" style="2" hidden="1" customWidth="1"/>
    <col min="36" max="36" width="8.81640625" style="2"/>
    <col min="37" max="40" width="0" style="2" hidden="1" customWidth="1"/>
    <col min="41" max="41" width="8.81640625" style="2"/>
    <col min="42" max="45" width="0" style="2" hidden="1" customWidth="1"/>
    <col min="46" max="46" width="8.81640625" style="2"/>
    <col min="47" max="50" width="0" style="2" hidden="1" customWidth="1"/>
    <col min="51" max="51" width="8.81640625" style="2"/>
    <col min="52" max="54" width="0" style="2" hidden="1" customWidth="1"/>
    <col min="55" max="55" width="8.81640625" style="2"/>
    <col min="56" max="57" width="0" style="2" hidden="1" customWidth="1"/>
    <col min="58" max="58" width="8.81640625" style="2"/>
    <col min="59" max="61" width="0" style="2" hidden="1" customWidth="1"/>
    <col min="62" max="62" width="8.81640625" style="2"/>
    <col min="63" max="66" width="0" style="2" hidden="1" customWidth="1"/>
    <col min="67" max="67" width="8.81640625" style="2"/>
    <col min="68" max="71" width="0" style="2" hidden="1" customWidth="1"/>
    <col min="72" max="72" width="8.81640625" style="2"/>
    <col min="73" max="76" width="0" style="2" hidden="1" customWidth="1"/>
    <col min="77" max="77" width="8.81640625" style="2"/>
    <col min="78" max="81" width="0" style="2" hidden="1" customWidth="1"/>
    <col min="82" max="82" width="8.81640625" style="2"/>
    <col min="83" max="85" width="0" style="2" hidden="1" customWidth="1"/>
    <col min="86" max="86" width="8.81640625" style="2"/>
    <col min="87" max="88" width="0" style="2" hidden="1" customWidth="1"/>
    <col min="89" max="89" width="8.81640625" style="2"/>
    <col min="90" max="91" width="0" style="2" hidden="1" customWidth="1"/>
    <col min="92" max="92" width="8.81640625" style="2"/>
    <col min="93" max="94" width="0" style="2" hidden="1" customWidth="1"/>
    <col min="95" max="95" width="8.81640625" style="2"/>
    <col min="96" max="97" width="0" style="2" hidden="1" customWidth="1"/>
    <col min="98" max="98" width="8.81640625" style="2"/>
    <col min="99" max="99" width="0" style="2" hidden="1" customWidth="1"/>
    <col min="100" max="100" width="6.1796875" style="235" customWidth="1"/>
    <col min="101" max="101" width="6.453125" style="235" customWidth="1"/>
    <col min="102" max="103" width="8.81640625" style="2"/>
    <col min="104" max="104" width="10.453125" style="2" customWidth="1"/>
    <col min="105" max="106" width="8.81640625" style="2"/>
    <col min="107" max="107" width="10.453125" style="2" customWidth="1"/>
    <col min="108" max="109" width="8.81640625" style="2"/>
    <col min="110" max="110" width="10.54296875" style="2" customWidth="1"/>
    <col min="111" max="112" width="8.81640625" style="2"/>
    <col min="113" max="113" width="10.54296875" style="2" customWidth="1"/>
    <col min="114" max="115" width="8.81640625" style="2"/>
    <col min="116" max="116" width="10.81640625" style="2" customWidth="1"/>
    <col min="117" max="118" width="8.81640625" style="2"/>
    <col min="119" max="119" width="10.81640625" style="2" customWidth="1"/>
    <col min="120" max="121" width="8.81640625" style="2"/>
    <col min="122" max="122" width="10.54296875" style="2" customWidth="1"/>
    <col min="123" max="124" width="8.81640625" style="235"/>
    <col min="125" max="125" width="28.81640625" style="2" customWidth="1"/>
    <col min="126" max="126" width="8.81640625" style="2"/>
    <col min="127" max="127" width="9.453125" style="2" hidden="1" customWidth="1"/>
    <col min="128" max="128" width="0" style="2" hidden="1" customWidth="1"/>
    <col min="129" max="129" width="8.81640625" style="2"/>
    <col min="130" max="133" width="0" style="2" hidden="1" customWidth="1"/>
    <col min="134" max="134" width="8.81640625" style="2"/>
    <col min="135" max="136" width="0" style="2" hidden="1" customWidth="1"/>
    <col min="137" max="169" width="8.81640625" style="235"/>
    <col min="170" max="16384" width="8.81640625" style="2"/>
  </cols>
  <sheetData>
    <row r="1" spans="1:187" s="235" customFormat="1" x14ac:dyDescent="0.25"/>
    <row r="2" spans="1:187" s="235" customFormat="1" x14ac:dyDescent="0.25">
      <c r="B2" s="539" t="s">
        <v>283</v>
      </c>
      <c r="C2" s="290"/>
      <c r="D2" s="290"/>
      <c r="E2" s="524"/>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524"/>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524" t="s">
        <v>284</v>
      </c>
      <c r="CY2" s="290"/>
      <c r="CZ2" s="290"/>
      <c r="DA2" s="290"/>
      <c r="DB2" s="525"/>
      <c r="DC2" s="290"/>
      <c r="DD2" s="290"/>
      <c r="DE2" s="290"/>
      <c r="DF2" s="290"/>
      <c r="DG2" s="290"/>
      <c r="DH2" s="290"/>
      <c r="DI2" s="290"/>
      <c r="DJ2" s="290"/>
      <c r="DK2" s="290"/>
      <c r="DL2" s="290"/>
      <c r="DM2" s="290"/>
      <c r="DN2" s="290"/>
      <c r="DO2" s="290"/>
      <c r="DP2" s="290"/>
      <c r="DQ2" s="290"/>
      <c r="DR2" s="290"/>
      <c r="DU2" s="237" t="s">
        <v>285</v>
      </c>
    </row>
    <row r="3" spans="1:187" s="235" customFormat="1" ht="11" thickBot="1" x14ac:dyDescent="0.3">
      <c r="B3" s="526" t="s">
        <v>286</v>
      </c>
      <c r="C3" s="525"/>
      <c r="D3" s="1477" t="s">
        <v>287</v>
      </c>
      <c r="E3" s="1477"/>
      <c r="F3" s="1477"/>
      <c r="G3" s="1477"/>
      <c r="H3" s="1477"/>
      <c r="I3" s="1477" t="s">
        <v>288</v>
      </c>
      <c r="J3" s="1477"/>
      <c r="K3" s="1477"/>
      <c r="L3" s="1477"/>
      <c r="M3" s="1477"/>
      <c r="N3" s="1477" t="s">
        <v>289</v>
      </c>
      <c r="O3" s="1477"/>
      <c r="P3" s="1477"/>
      <c r="Q3" s="1477"/>
      <c r="R3" s="1477"/>
      <c r="S3" s="1477" t="s">
        <v>290</v>
      </c>
      <c r="T3" s="1477"/>
      <c r="U3" s="1477"/>
      <c r="V3" s="1477"/>
      <c r="W3" s="1477"/>
      <c r="X3" s="1477" t="s">
        <v>291</v>
      </c>
      <c r="Y3" s="1477"/>
      <c r="Z3" s="1477"/>
      <c r="AA3" s="1477"/>
      <c r="AB3" s="1477"/>
      <c r="AC3" s="1477" t="s">
        <v>292</v>
      </c>
      <c r="AD3" s="1477"/>
      <c r="AE3" s="1477"/>
      <c r="AF3" s="1477"/>
      <c r="AG3" s="1477"/>
      <c r="AH3" s="1477" t="s">
        <v>293</v>
      </c>
      <c r="AI3" s="1477"/>
      <c r="AJ3" s="1477"/>
      <c r="AK3" s="1477"/>
      <c r="AL3" s="1477"/>
      <c r="AM3" s="1477" t="s">
        <v>294</v>
      </c>
      <c r="AN3" s="1477"/>
      <c r="AO3" s="1477"/>
      <c r="AP3" s="1477"/>
      <c r="AQ3" s="1477"/>
      <c r="AR3" s="1477" t="s">
        <v>295</v>
      </c>
      <c r="AS3" s="1477"/>
      <c r="AT3" s="1477"/>
      <c r="AU3" s="1477"/>
      <c r="AV3" s="1477"/>
      <c r="AW3" s="1477" t="s">
        <v>296</v>
      </c>
      <c r="AX3" s="1477"/>
      <c r="AY3" s="1477"/>
      <c r="AZ3" s="1477"/>
      <c r="BA3" s="1477"/>
      <c r="BB3" s="1476" t="s">
        <v>297</v>
      </c>
      <c r="BC3" s="1476"/>
      <c r="BD3" s="1476"/>
      <c r="BE3" s="1476" t="s">
        <v>297</v>
      </c>
      <c r="BF3" s="1476"/>
      <c r="BG3" s="1476"/>
      <c r="BH3" s="1478" t="s">
        <v>298</v>
      </c>
      <c r="BI3" s="1478"/>
      <c r="BJ3" s="1478"/>
      <c r="BK3" s="1478"/>
      <c r="BL3" s="1478"/>
      <c r="BM3" s="1478" t="s">
        <v>299</v>
      </c>
      <c r="BN3" s="1478"/>
      <c r="BO3" s="1478"/>
      <c r="BP3" s="1478"/>
      <c r="BQ3" s="1478"/>
      <c r="BR3" s="1478" t="s">
        <v>300</v>
      </c>
      <c r="BS3" s="1478"/>
      <c r="BT3" s="1478"/>
      <c r="BU3" s="1478"/>
      <c r="BV3" s="1478"/>
      <c r="BW3" s="1478" t="s">
        <v>301</v>
      </c>
      <c r="BX3" s="1478"/>
      <c r="BY3" s="1478"/>
      <c r="BZ3" s="1478"/>
      <c r="CA3" s="1478"/>
      <c r="CB3" s="1478" t="s">
        <v>302</v>
      </c>
      <c r="CC3" s="1478"/>
      <c r="CD3" s="1478"/>
      <c r="CE3" s="1478"/>
      <c r="CF3" s="1478"/>
      <c r="CG3" s="1478" t="s">
        <v>303</v>
      </c>
      <c r="CH3" s="1478"/>
      <c r="CI3" s="1478"/>
      <c r="CJ3" s="1478" t="s">
        <v>304</v>
      </c>
      <c r="CK3" s="1478"/>
      <c r="CL3" s="1478"/>
      <c r="CM3" s="1478" t="s">
        <v>305</v>
      </c>
      <c r="CN3" s="1478"/>
      <c r="CO3" s="1478"/>
      <c r="CP3" s="1478" t="s">
        <v>306</v>
      </c>
      <c r="CQ3" s="1478"/>
      <c r="CR3" s="1478"/>
      <c r="CS3" s="1478" t="s">
        <v>307</v>
      </c>
      <c r="CT3" s="1478"/>
      <c r="CU3" s="1478"/>
      <c r="CV3" s="527"/>
      <c r="CW3" s="528"/>
      <c r="CX3" s="1478" t="s">
        <v>308</v>
      </c>
      <c r="CY3" s="1478"/>
      <c r="CZ3" s="1478"/>
      <c r="DA3" s="1478"/>
      <c r="DB3" s="1478"/>
      <c r="DC3" s="1478"/>
      <c r="DD3" s="525"/>
      <c r="DE3" s="525"/>
      <c r="DF3" s="525"/>
      <c r="DG3" s="525"/>
      <c r="DH3" s="525"/>
      <c r="DI3" s="525"/>
      <c r="DJ3" s="525"/>
      <c r="DK3" s="525"/>
      <c r="DL3" s="525"/>
      <c r="DM3" s="525"/>
      <c r="DN3" s="525"/>
      <c r="DO3" s="525"/>
      <c r="DP3" s="525"/>
      <c r="DQ3" s="525"/>
      <c r="DR3" s="527"/>
    </row>
    <row r="4" spans="1:187" s="846" customFormat="1" ht="72" customHeight="1" thickBot="1" x14ac:dyDescent="0.3">
      <c r="A4" s="840"/>
      <c r="B4" s="1479" t="s">
        <v>309</v>
      </c>
      <c r="C4" s="1480"/>
      <c r="D4" s="1481" t="s">
        <v>274</v>
      </c>
      <c r="E4" s="1482"/>
      <c r="F4" s="1482"/>
      <c r="G4" s="1482"/>
      <c r="H4" s="1483"/>
      <c r="I4" s="1484" t="s">
        <v>221</v>
      </c>
      <c r="J4" s="1485"/>
      <c r="K4" s="1485"/>
      <c r="L4" s="1485"/>
      <c r="M4" s="1486"/>
      <c r="N4" s="442"/>
      <c r="O4" s="443"/>
      <c r="P4" s="443" t="s">
        <v>233</v>
      </c>
      <c r="Q4" s="443"/>
      <c r="R4" s="444"/>
      <c r="S4" s="442"/>
      <c r="T4" s="443"/>
      <c r="U4" s="443" t="s">
        <v>227</v>
      </c>
      <c r="V4" s="443"/>
      <c r="W4" s="444"/>
      <c r="X4" s="442"/>
      <c r="Y4" s="443"/>
      <c r="Z4" s="443" t="s">
        <v>218</v>
      </c>
      <c r="AA4" s="443"/>
      <c r="AB4" s="444"/>
      <c r="AC4" s="442"/>
      <c r="AD4" s="443"/>
      <c r="AE4" s="443" t="s">
        <v>224</v>
      </c>
      <c r="AF4" s="443"/>
      <c r="AG4" s="444"/>
      <c r="AH4" s="442"/>
      <c r="AI4" s="443"/>
      <c r="AJ4" s="443" t="s">
        <v>310</v>
      </c>
      <c r="AK4" s="443"/>
      <c r="AL4" s="444"/>
      <c r="AM4" s="442"/>
      <c r="AN4" s="443"/>
      <c r="AO4" s="443" t="s">
        <v>311</v>
      </c>
      <c r="AP4" s="443"/>
      <c r="AQ4" s="444"/>
      <c r="AR4" s="442"/>
      <c r="AS4" s="443"/>
      <c r="AT4" s="443" t="s">
        <v>229</v>
      </c>
      <c r="AU4" s="443"/>
      <c r="AV4" s="444"/>
      <c r="AW4" s="1484" t="s">
        <v>231</v>
      </c>
      <c r="AX4" s="1485"/>
      <c r="AY4" s="1485"/>
      <c r="AZ4" s="1485"/>
      <c r="BA4" s="1486"/>
      <c r="BB4" s="1484" t="s">
        <v>258</v>
      </c>
      <c r="BC4" s="1485"/>
      <c r="BD4" s="1486"/>
      <c r="BE4" s="1484" t="s">
        <v>260</v>
      </c>
      <c r="BF4" s="1485"/>
      <c r="BG4" s="1486"/>
      <c r="BH4" s="1484" t="s">
        <v>241</v>
      </c>
      <c r="BI4" s="1485"/>
      <c r="BJ4" s="1485"/>
      <c r="BK4" s="1485"/>
      <c r="BL4" s="1486"/>
      <c r="BM4" s="442"/>
      <c r="BN4" s="443"/>
      <c r="BO4" s="443" t="s">
        <v>312</v>
      </c>
      <c r="BP4" s="443"/>
      <c r="BQ4" s="444"/>
      <c r="BR4" s="442"/>
      <c r="BS4" s="443"/>
      <c r="BT4" s="443" t="s">
        <v>313</v>
      </c>
      <c r="BU4" s="443"/>
      <c r="BV4" s="444"/>
      <c r="BW4" s="1484" t="s">
        <v>250</v>
      </c>
      <c r="BX4" s="1485"/>
      <c r="BY4" s="1485"/>
      <c r="BZ4" s="1485"/>
      <c r="CA4" s="1486"/>
      <c r="CB4" s="442"/>
      <c r="CC4" s="443"/>
      <c r="CD4" s="443" t="s">
        <v>252</v>
      </c>
      <c r="CE4" s="443"/>
      <c r="CF4" s="444"/>
      <c r="CG4" s="1484" t="s">
        <v>314</v>
      </c>
      <c r="CH4" s="1485"/>
      <c r="CI4" s="1486"/>
      <c r="CJ4" s="1484" t="s">
        <v>315</v>
      </c>
      <c r="CK4" s="1485"/>
      <c r="CL4" s="1486"/>
      <c r="CM4" s="1484" t="s">
        <v>316</v>
      </c>
      <c r="CN4" s="1485"/>
      <c r="CO4" s="1486"/>
      <c r="CP4" s="1484" t="s">
        <v>317</v>
      </c>
      <c r="CQ4" s="1485"/>
      <c r="CR4" s="1486"/>
      <c r="CS4" s="442"/>
      <c r="CT4" s="444" t="s">
        <v>318</v>
      </c>
      <c r="CU4" s="841"/>
      <c r="CV4" s="842"/>
      <c r="CW4" s="843"/>
      <c r="CX4" s="1481" t="s">
        <v>319</v>
      </c>
      <c r="CY4" s="1482"/>
      <c r="CZ4" s="1483"/>
      <c r="DA4" s="1481" t="s">
        <v>320</v>
      </c>
      <c r="DB4" s="1482"/>
      <c r="DC4" s="1483"/>
      <c r="DD4" s="1481" t="s">
        <v>321</v>
      </c>
      <c r="DE4" s="1482"/>
      <c r="DF4" s="1483"/>
      <c r="DG4" s="1481" t="s">
        <v>322</v>
      </c>
      <c r="DH4" s="1482"/>
      <c r="DI4" s="1483"/>
      <c r="DJ4" s="1481" t="s">
        <v>323</v>
      </c>
      <c r="DK4" s="1482"/>
      <c r="DL4" s="1483"/>
      <c r="DM4" s="1481" t="s">
        <v>324</v>
      </c>
      <c r="DN4" s="1482"/>
      <c r="DO4" s="1483"/>
      <c r="DP4" s="1481" t="s">
        <v>325</v>
      </c>
      <c r="DQ4" s="1482"/>
      <c r="DR4" s="1483"/>
      <c r="DS4" s="840"/>
      <c r="DT4" s="840"/>
      <c r="DU4" s="1487" t="s">
        <v>326</v>
      </c>
      <c r="DV4" s="1488"/>
      <c r="DW4" s="1484" t="s">
        <v>327</v>
      </c>
      <c r="DX4" s="1485"/>
      <c r="DY4" s="1485"/>
      <c r="DZ4" s="1485"/>
      <c r="EA4" s="1486"/>
      <c r="EB4" s="1485" t="s">
        <v>328</v>
      </c>
      <c r="EC4" s="1485"/>
      <c r="ED4" s="1485"/>
      <c r="EE4" s="1485"/>
      <c r="EF4" s="1486"/>
      <c r="EG4" s="844"/>
      <c r="EH4" s="239"/>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5"/>
      <c r="FO4" s="845"/>
      <c r="FP4" s="845"/>
      <c r="FQ4" s="845"/>
      <c r="FR4" s="845"/>
      <c r="FS4" s="845"/>
      <c r="FT4" s="845"/>
      <c r="FU4" s="845"/>
      <c r="FV4" s="845"/>
      <c r="FW4" s="845"/>
      <c r="FX4" s="845"/>
      <c r="FY4" s="845"/>
      <c r="FZ4" s="845"/>
      <c r="GA4" s="845"/>
      <c r="GB4" s="845"/>
      <c r="GC4" s="845"/>
      <c r="GD4" s="845"/>
      <c r="GE4" s="845"/>
    </row>
    <row r="5" spans="1:187" s="45" customFormat="1" ht="168" x14ac:dyDescent="0.25">
      <c r="A5" s="238"/>
      <c r="B5" s="515" t="s">
        <v>329</v>
      </c>
      <c r="C5" s="516"/>
      <c r="D5" s="540" t="s">
        <v>330</v>
      </c>
      <c r="E5" s="541" t="s">
        <v>331</v>
      </c>
      <c r="F5" s="541" t="s">
        <v>332</v>
      </c>
      <c r="G5" s="541" t="s">
        <v>333</v>
      </c>
      <c r="H5" s="542" t="s">
        <v>334</v>
      </c>
      <c r="I5" s="517" t="s">
        <v>335</v>
      </c>
      <c r="J5" s="518" t="s">
        <v>336</v>
      </c>
      <c r="K5" s="518" t="s">
        <v>332</v>
      </c>
      <c r="L5" s="518" t="s">
        <v>337</v>
      </c>
      <c r="M5" s="516" t="s">
        <v>338</v>
      </c>
      <c r="N5" s="517" t="s">
        <v>339</v>
      </c>
      <c r="O5" s="518" t="s">
        <v>340</v>
      </c>
      <c r="P5" s="518" t="s">
        <v>332</v>
      </c>
      <c r="Q5" s="518" t="s">
        <v>341</v>
      </c>
      <c r="R5" s="516" t="s">
        <v>342</v>
      </c>
      <c r="S5" s="517" t="s">
        <v>343</v>
      </c>
      <c r="T5" s="518" t="s">
        <v>344</v>
      </c>
      <c r="U5" s="518" t="s">
        <v>332</v>
      </c>
      <c r="V5" s="518" t="s">
        <v>345</v>
      </c>
      <c r="W5" s="516" t="s">
        <v>346</v>
      </c>
      <c r="X5" s="517" t="s">
        <v>347</v>
      </c>
      <c r="Y5" s="518" t="s">
        <v>348</v>
      </c>
      <c r="Z5" s="518" t="s">
        <v>332</v>
      </c>
      <c r="AA5" s="518" t="s">
        <v>349</v>
      </c>
      <c r="AB5" s="516" t="s">
        <v>350</v>
      </c>
      <c r="AC5" s="517" t="s">
        <v>351</v>
      </c>
      <c r="AD5" s="518" t="s">
        <v>352</v>
      </c>
      <c r="AE5" s="518" t="s">
        <v>332</v>
      </c>
      <c r="AF5" s="518" t="s">
        <v>353</v>
      </c>
      <c r="AG5" s="516" t="s">
        <v>354</v>
      </c>
      <c r="AH5" s="517" t="s">
        <v>355</v>
      </c>
      <c r="AI5" s="518" t="s">
        <v>356</v>
      </c>
      <c r="AJ5" s="518" t="s">
        <v>332</v>
      </c>
      <c r="AK5" s="518" t="s">
        <v>357</v>
      </c>
      <c r="AL5" s="516" t="s">
        <v>358</v>
      </c>
      <c r="AM5" s="517" t="s">
        <v>359</v>
      </c>
      <c r="AN5" s="518" t="s">
        <v>360</v>
      </c>
      <c r="AO5" s="518" t="s">
        <v>332</v>
      </c>
      <c r="AP5" s="518" t="s">
        <v>361</v>
      </c>
      <c r="AQ5" s="516" t="s">
        <v>362</v>
      </c>
      <c r="AR5" s="517" t="s">
        <v>363</v>
      </c>
      <c r="AS5" s="518" t="s">
        <v>364</v>
      </c>
      <c r="AT5" s="518" t="s">
        <v>332</v>
      </c>
      <c r="AU5" s="518" t="s">
        <v>365</v>
      </c>
      <c r="AV5" s="516" t="s">
        <v>366</v>
      </c>
      <c r="AW5" s="517" t="s">
        <v>367</v>
      </c>
      <c r="AX5" s="518" t="s">
        <v>368</v>
      </c>
      <c r="AY5" s="518" t="s">
        <v>332</v>
      </c>
      <c r="AZ5" s="518" t="s">
        <v>369</v>
      </c>
      <c r="BA5" s="516" t="s">
        <v>370</v>
      </c>
      <c r="BB5" s="517" t="s">
        <v>371</v>
      </c>
      <c r="BC5" s="518" t="s">
        <v>332</v>
      </c>
      <c r="BD5" s="516" t="s">
        <v>372</v>
      </c>
      <c r="BE5" s="517" t="s">
        <v>373</v>
      </c>
      <c r="BF5" s="518" t="s">
        <v>332</v>
      </c>
      <c r="BG5" s="516" t="s">
        <v>374</v>
      </c>
      <c r="BH5" s="517" t="s">
        <v>375</v>
      </c>
      <c r="BI5" s="518" t="s">
        <v>376</v>
      </c>
      <c r="BJ5" s="518" t="s">
        <v>332</v>
      </c>
      <c r="BK5" s="518" t="s">
        <v>377</v>
      </c>
      <c r="BL5" s="516" t="s">
        <v>378</v>
      </c>
      <c r="BM5" s="517" t="s">
        <v>379</v>
      </c>
      <c r="BN5" s="518" t="s">
        <v>380</v>
      </c>
      <c r="BO5" s="518" t="s">
        <v>332</v>
      </c>
      <c r="BP5" s="518" t="s">
        <v>381</v>
      </c>
      <c r="BQ5" s="516" t="s">
        <v>382</v>
      </c>
      <c r="BR5" s="517" t="s">
        <v>383</v>
      </c>
      <c r="BS5" s="518" t="s">
        <v>384</v>
      </c>
      <c r="BT5" s="518" t="s">
        <v>332</v>
      </c>
      <c r="BU5" s="518" t="s">
        <v>385</v>
      </c>
      <c r="BV5" s="516" t="s">
        <v>386</v>
      </c>
      <c r="BW5" s="517" t="s">
        <v>387</v>
      </c>
      <c r="BX5" s="518" t="s">
        <v>387</v>
      </c>
      <c r="BY5" s="518" t="s">
        <v>332</v>
      </c>
      <c r="BZ5" s="518" t="s">
        <v>388</v>
      </c>
      <c r="CA5" s="516" t="s">
        <v>388</v>
      </c>
      <c r="CB5" s="517" t="s">
        <v>389</v>
      </c>
      <c r="CC5" s="518" t="s">
        <v>389</v>
      </c>
      <c r="CD5" s="518" t="s">
        <v>332</v>
      </c>
      <c r="CE5" s="518" t="s">
        <v>390</v>
      </c>
      <c r="CF5" s="516" t="s">
        <v>390</v>
      </c>
      <c r="CG5" s="517" t="s">
        <v>391</v>
      </c>
      <c r="CH5" s="518" t="s">
        <v>332</v>
      </c>
      <c r="CI5" s="516" t="s">
        <v>392</v>
      </c>
      <c r="CJ5" s="517" t="s">
        <v>393</v>
      </c>
      <c r="CK5" s="518" t="s">
        <v>332</v>
      </c>
      <c r="CL5" s="516" t="s">
        <v>394</v>
      </c>
      <c r="CM5" s="517" t="s">
        <v>395</v>
      </c>
      <c r="CN5" s="518" t="s">
        <v>332</v>
      </c>
      <c r="CO5" s="516" t="s">
        <v>396</v>
      </c>
      <c r="CP5" s="517" t="s">
        <v>397</v>
      </c>
      <c r="CQ5" s="518" t="s">
        <v>332</v>
      </c>
      <c r="CR5" s="516" t="s">
        <v>398</v>
      </c>
      <c r="CS5" s="517" t="s">
        <v>399</v>
      </c>
      <c r="CT5" s="516" t="s">
        <v>332</v>
      </c>
      <c r="CU5" s="516" t="s">
        <v>399</v>
      </c>
      <c r="CV5" s="543"/>
      <c r="CW5" s="544"/>
      <c r="CX5" s="517" t="s">
        <v>400</v>
      </c>
      <c r="CY5" s="518" t="s">
        <v>332</v>
      </c>
      <c r="CZ5" s="516" t="s">
        <v>400</v>
      </c>
      <c r="DA5" s="517" t="s">
        <v>401</v>
      </c>
      <c r="DB5" s="518" t="s">
        <v>332</v>
      </c>
      <c r="DC5" s="516" t="s">
        <v>402</v>
      </c>
      <c r="DD5" s="517" t="s">
        <v>403</v>
      </c>
      <c r="DE5" s="518" t="s">
        <v>332</v>
      </c>
      <c r="DF5" s="516" t="s">
        <v>404</v>
      </c>
      <c r="DG5" s="517" t="s">
        <v>405</v>
      </c>
      <c r="DH5" s="518" t="s">
        <v>332</v>
      </c>
      <c r="DI5" s="516" t="s">
        <v>406</v>
      </c>
      <c r="DJ5" s="517" t="s">
        <v>405</v>
      </c>
      <c r="DK5" s="518" t="s">
        <v>332</v>
      </c>
      <c r="DL5" s="516" t="s">
        <v>407</v>
      </c>
      <c r="DM5" s="517" t="s">
        <v>405</v>
      </c>
      <c r="DN5" s="518" t="s">
        <v>408</v>
      </c>
      <c r="DO5" s="516" t="s">
        <v>409</v>
      </c>
      <c r="DP5" s="517" t="s">
        <v>405</v>
      </c>
      <c r="DQ5" s="518" t="s">
        <v>408</v>
      </c>
      <c r="DR5" s="516" t="s">
        <v>410</v>
      </c>
      <c r="DS5" s="238"/>
      <c r="DT5" s="238"/>
      <c r="DU5" s="570"/>
      <c r="DV5" s="571"/>
      <c r="DW5" s="572" t="s">
        <v>411</v>
      </c>
      <c r="DX5" s="573" t="s">
        <v>412</v>
      </c>
      <c r="DY5" s="573" t="s">
        <v>413</v>
      </c>
      <c r="DZ5" s="574" t="s">
        <v>414</v>
      </c>
      <c r="EA5" s="575" t="s">
        <v>415</v>
      </c>
      <c r="EB5" s="574" t="s">
        <v>411</v>
      </c>
      <c r="EC5" s="574" t="s">
        <v>412</v>
      </c>
      <c r="ED5" s="574" t="s">
        <v>413</v>
      </c>
      <c r="EE5" s="574" t="s">
        <v>414</v>
      </c>
      <c r="EF5" s="575" t="s">
        <v>415</v>
      </c>
      <c r="EG5" s="561"/>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row>
    <row r="6" spans="1:187" s="45" customFormat="1" ht="30.65" customHeight="1" thickBot="1" x14ac:dyDescent="0.3">
      <c r="A6" s="238"/>
      <c r="B6" s="519" t="s">
        <v>416</v>
      </c>
      <c r="C6" s="520"/>
      <c r="D6" s="521" t="s">
        <v>411</v>
      </c>
      <c r="E6" s="522" t="s">
        <v>412</v>
      </c>
      <c r="F6" s="522" t="s">
        <v>413</v>
      </c>
      <c r="G6" s="522" t="s">
        <v>414</v>
      </c>
      <c r="H6" s="523" t="s">
        <v>415</v>
      </c>
      <c r="I6" s="521" t="s">
        <v>411</v>
      </c>
      <c r="J6" s="522" t="s">
        <v>412</v>
      </c>
      <c r="K6" s="522" t="s">
        <v>413</v>
      </c>
      <c r="L6" s="522" t="s">
        <v>414</v>
      </c>
      <c r="M6" s="523" t="s">
        <v>415</v>
      </c>
      <c r="N6" s="521" t="s">
        <v>411</v>
      </c>
      <c r="O6" s="522" t="s">
        <v>412</v>
      </c>
      <c r="P6" s="522" t="s">
        <v>413</v>
      </c>
      <c r="Q6" s="522" t="s">
        <v>414</v>
      </c>
      <c r="R6" s="523" t="s">
        <v>415</v>
      </c>
      <c r="S6" s="521" t="s">
        <v>411</v>
      </c>
      <c r="T6" s="522" t="s">
        <v>412</v>
      </c>
      <c r="U6" s="522" t="s">
        <v>413</v>
      </c>
      <c r="V6" s="522" t="s">
        <v>414</v>
      </c>
      <c r="W6" s="523" t="s">
        <v>415</v>
      </c>
      <c r="X6" s="521" t="s">
        <v>411</v>
      </c>
      <c r="Y6" s="522" t="s">
        <v>412</v>
      </c>
      <c r="Z6" s="522" t="s">
        <v>413</v>
      </c>
      <c r="AA6" s="522" t="s">
        <v>414</v>
      </c>
      <c r="AB6" s="523" t="s">
        <v>415</v>
      </c>
      <c r="AC6" s="521" t="s">
        <v>411</v>
      </c>
      <c r="AD6" s="522" t="s">
        <v>412</v>
      </c>
      <c r="AE6" s="522" t="s">
        <v>413</v>
      </c>
      <c r="AF6" s="522" t="s">
        <v>414</v>
      </c>
      <c r="AG6" s="523" t="s">
        <v>415</v>
      </c>
      <c r="AH6" s="521" t="s">
        <v>411</v>
      </c>
      <c r="AI6" s="522" t="s">
        <v>412</v>
      </c>
      <c r="AJ6" s="522" t="s">
        <v>413</v>
      </c>
      <c r="AK6" s="522" t="s">
        <v>414</v>
      </c>
      <c r="AL6" s="523" t="s">
        <v>415</v>
      </c>
      <c r="AM6" s="521" t="s">
        <v>411</v>
      </c>
      <c r="AN6" s="522" t="s">
        <v>412</v>
      </c>
      <c r="AO6" s="522" t="s">
        <v>413</v>
      </c>
      <c r="AP6" s="522" t="s">
        <v>414</v>
      </c>
      <c r="AQ6" s="523" t="s">
        <v>415</v>
      </c>
      <c r="AR6" s="521" t="s">
        <v>411</v>
      </c>
      <c r="AS6" s="522" t="s">
        <v>412</v>
      </c>
      <c r="AT6" s="522" t="s">
        <v>413</v>
      </c>
      <c r="AU6" s="522" t="s">
        <v>414</v>
      </c>
      <c r="AV6" s="523" t="s">
        <v>415</v>
      </c>
      <c r="AW6" s="521" t="s">
        <v>411</v>
      </c>
      <c r="AX6" s="522" t="s">
        <v>412</v>
      </c>
      <c r="AY6" s="522" t="s">
        <v>413</v>
      </c>
      <c r="AZ6" s="522" t="s">
        <v>414</v>
      </c>
      <c r="BA6" s="523" t="s">
        <v>415</v>
      </c>
      <c r="BB6" s="521" t="s">
        <v>412</v>
      </c>
      <c r="BC6" s="522" t="s">
        <v>413</v>
      </c>
      <c r="BD6" s="523" t="s">
        <v>414</v>
      </c>
      <c r="BE6" s="521" t="s">
        <v>412</v>
      </c>
      <c r="BF6" s="522" t="s">
        <v>413</v>
      </c>
      <c r="BG6" s="523" t="s">
        <v>414</v>
      </c>
      <c r="BH6" s="521" t="s">
        <v>411</v>
      </c>
      <c r="BI6" s="522" t="s">
        <v>412</v>
      </c>
      <c r="BJ6" s="522" t="s">
        <v>413</v>
      </c>
      <c r="BK6" s="522" t="s">
        <v>414</v>
      </c>
      <c r="BL6" s="523" t="s">
        <v>415</v>
      </c>
      <c r="BM6" s="521" t="s">
        <v>411</v>
      </c>
      <c r="BN6" s="522" t="s">
        <v>412</v>
      </c>
      <c r="BO6" s="522" t="s">
        <v>413</v>
      </c>
      <c r="BP6" s="522" t="s">
        <v>414</v>
      </c>
      <c r="BQ6" s="523" t="s">
        <v>415</v>
      </c>
      <c r="BR6" s="521" t="s">
        <v>411</v>
      </c>
      <c r="BS6" s="522" t="s">
        <v>412</v>
      </c>
      <c r="BT6" s="522" t="s">
        <v>413</v>
      </c>
      <c r="BU6" s="522" t="s">
        <v>414</v>
      </c>
      <c r="BV6" s="523" t="s">
        <v>415</v>
      </c>
      <c r="BW6" s="521" t="s">
        <v>411</v>
      </c>
      <c r="BX6" s="522" t="s">
        <v>412</v>
      </c>
      <c r="BY6" s="522" t="s">
        <v>413</v>
      </c>
      <c r="BZ6" s="522" t="s">
        <v>414</v>
      </c>
      <c r="CA6" s="523" t="s">
        <v>415</v>
      </c>
      <c r="CB6" s="521" t="s">
        <v>411</v>
      </c>
      <c r="CC6" s="522" t="s">
        <v>412</v>
      </c>
      <c r="CD6" s="522" t="s">
        <v>413</v>
      </c>
      <c r="CE6" s="522" t="s">
        <v>414</v>
      </c>
      <c r="CF6" s="523" t="s">
        <v>415</v>
      </c>
      <c r="CG6" s="521" t="s">
        <v>412</v>
      </c>
      <c r="CH6" s="522" t="s">
        <v>413</v>
      </c>
      <c r="CI6" s="523" t="s">
        <v>414</v>
      </c>
      <c r="CJ6" s="521" t="s">
        <v>412</v>
      </c>
      <c r="CK6" s="522" t="s">
        <v>413</v>
      </c>
      <c r="CL6" s="523" t="s">
        <v>414</v>
      </c>
      <c r="CM6" s="521" t="s">
        <v>412</v>
      </c>
      <c r="CN6" s="522" t="s">
        <v>413</v>
      </c>
      <c r="CO6" s="523" t="s">
        <v>414</v>
      </c>
      <c r="CP6" s="521" t="s">
        <v>412</v>
      </c>
      <c r="CQ6" s="522" t="s">
        <v>413</v>
      </c>
      <c r="CR6" s="523" t="s">
        <v>414</v>
      </c>
      <c r="CS6" s="521" t="s">
        <v>412</v>
      </c>
      <c r="CT6" s="523" t="s">
        <v>413</v>
      </c>
      <c r="CU6" s="523" t="s">
        <v>414</v>
      </c>
      <c r="CV6" s="545"/>
      <c r="CW6" s="533"/>
      <c r="CX6" s="521" t="s">
        <v>417</v>
      </c>
      <c r="CY6" s="522" t="s">
        <v>418</v>
      </c>
      <c r="CZ6" s="891" t="s">
        <v>75</v>
      </c>
      <c r="DA6" s="521" t="s">
        <v>417</v>
      </c>
      <c r="DB6" s="522" t="s">
        <v>418</v>
      </c>
      <c r="DC6" s="891" t="s">
        <v>75</v>
      </c>
      <c r="DD6" s="521" t="s">
        <v>417</v>
      </c>
      <c r="DE6" s="522" t="s">
        <v>418</v>
      </c>
      <c r="DF6" s="891" t="s">
        <v>75</v>
      </c>
      <c r="DG6" s="521" t="s">
        <v>417</v>
      </c>
      <c r="DH6" s="522" t="s">
        <v>418</v>
      </c>
      <c r="DI6" s="891" t="s">
        <v>75</v>
      </c>
      <c r="DJ6" s="521" t="s">
        <v>417</v>
      </c>
      <c r="DK6" s="522" t="s">
        <v>418</v>
      </c>
      <c r="DL6" s="891" t="s">
        <v>75</v>
      </c>
      <c r="DM6" s="521" t="s">
        <v>417</v>
      </c>
      <c r="DN6" s="522" t="s">
        <v>418</v>
      </c>
      <c r="DO6" s="891" t="s">
        <v>75</v>
      </c>
      <c r="DP6" s="521" t="s">
        <v>417</v>
      </c>
      <c r="DQ6" s="522" t="s">
        <v>418</v>
      </c>
      <c r="DR6" s="891" t="s">
        <v>75</v>
      </c>
      <c r="DS6" s="238"/>
      <c r="DT6" s="238"/>
      <c r="DU6" s="576" t="s">
        <v>419</v>
      </c>
      <c r="DV6" s="577"/>
      <c r="DW6" s="578" t="s">
        <v>420</v>
      </c>
      <c r="DX6" s="579"/>
      <c r="DY6" s="579" t="s">
        <v>421</v>
      </c>
      <c r="DZ6" s="1489" t="s">
        <v>422</v>
      </c>
      <c r="EA6" s="1490"/>
      <c r="EB6" s="1489" t="s">
        <v>423</v>
      </c>
      <c r="EC6" s="1489"/>
      <c r="ED6" s="579" t="s">
        <v>421</v>
      </c>
      <c r="EE6" s="1489" t="s">
        <v>422</v>
      </c>
      <c r="EF6" s="1490"/>
      <c r="EG6" s="561"/>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row>
    <row r="7" spans="1:187" s="45" customFormat="1" x14ac:dyDescent="0.25">
      <c r="A7" s="238"/>
      <c r="B7" s="445" t="s">
        <v>424</v>
      </c>
      <c r="C7" s="446" t="s">
        <v>425</v>
      </c>
      <c r="D7" s="447">
        <v>779.00886864000006</v>
      </c>
      <c r="E7" s="448">
        <v>927.14227320000009</v>
      </c>
      <c r="F7" s="448">
        <v>1117.4151519999998</v>
      </c>
      <c r="G7" s="448">
        <v>1326.1814940000002</v>
      </c>
      <c r="H7" s="449">
        <v>1475.1573139200002</v>
      </c>
      <c r="I7" s="447">
        <v>177.90499999999997</v>
      </c>
      <c r="J7" s="448">
        <v>229.46000000000004</v>
      </c>
      <c r="K7" s="448">
        <v>300.43200000000002</v>
      </c>
      <c r="L7" s="448">
        <v>522.35956666666664</v>
      </c>
      <c r="M7" s="449">
        <v>637.21409803921551</v>
      </c>
      <c r="N7" s="447">
        <v>447.04999999999984</v>
      </c>
      <c r="O7" s="448">
        <v>562.31999999999994</v>
      </c>
      <c r="P7" s="448">
        <v>687.31499999999994</v>
      </c>
      <c r="Q7" s="448">
        <v>912.55499999999961</v>
      </c>
      <c r="R7" s="449">
        <v>1145.5599999999997</v>
      </c>
      <c r="S7" s="447">
        <v>475.18749999999983</v>
      </c>
      <c r="T7" s="448">
        <v>570.93750000000034</v>
      </c>
      <c r="U7" s="448">
        <v>612.14999999999986</v>
      </c>
      <c r="V7" s="448">
        <v>651.48</v>
      </c>
      <c r="W7" s="449">
        <v>683.2399999999999</v>
      </c>
      <c r="X7" s="447">
        <v>230.22699999999995</v>
      </c>
      <c r="Y7" s="448">
        <v>309.04928571428559</v>
      </c>
      <c r="Z7" s="448">
        <v>400.71546428571412</v>
      </c>
      <c r="AA7" s="448">
        <v>612.5167142857141</v>
      </c>
      <c r="AB7" s="449">
        <v>713.54399999999998</v>
      </c>
      <c r="AC7" s="447">
        <v>-164.34000000000009</v>
      </c>
      <c r="AD7" s="448">
        <v>-2.6926027397263255</v>
      </c>
      <c r="AE7" s="448">
        <v>259.43207091055569</v>
      </c>
      <c r="AF7" s="448">
        <v>660.44712328767082</v>
      </c>
      <c r="AG7" s="449">
        <v>895.80250000000012</v>
      </c>
      <c r="AH7" s="447">
        <v>75.403166666666621</v>
      </c>
      <c r="AI7" s="448">
        <v>139.85833333333335</v>
      </c>
      <c r="AJ7" s="448">
        <v>216.00533333333334</v>
      </c>
      <c r="AK7" s="448">
        <v>338.56733333333318</v>
      </c>
      <c r="AL7" s="449">
        <v>501.01333333333326</v>
      </c>
      <c r="AM7" s="447">
        <v>109.86857142857146</v>
      </c>
      <c r="AN7" s="448">
        <v>172.66734047619036</v>
      </c>
      <c r="AO7" s="448">
        <v>261.30905059523803</v>
      </c>
      <c r="AP7" s="448">
        <v>385.96798571428565</v>
      </c>
      <c r="AQ7" s="449">
        <v>497.70590476190478</v>
      </c>
      <c r="AR7" s="447">
        <v>458.35399999999998</v>
      </c>
      <c r="AS7" s="448">
        <v>519.93562500000007</v>
      </c>
      <c r="AT7" s="448">
        <v>605.5350000000002</v>
      </c>
      <c r="AU7" s="448">
        <v>686.87125000000015</v>
      </c>
      <c r="AV7" s="449">
        <v>750.87300000000016</v>
      </c>
      <c r="AW7" s="447">
        <v>258.89999999999952</v>
      </c>
      <c r="AX7" s="448">
        <v>342.34890410958866</v>
      </c>
      <c r="AY7" s="448">
        <v>470.27139403706616</v>
      </c>
      <c r="AZ7" s="448">
        <v>593.96054794520489</v>
      </c>
      <c r="BA7" s="449">
        <v>711.47499999999923</v>
      </c>
      <c r="BB7" s="447">
        <v>90.870899999999963</v>
      </c>
      <c r="BC7" s="448">
        <v>118.99666666666661</v>
      </c>
      <c r="BD7" s="449">
        <v>169.44913333333335</v>
      </c>
      <c r="BE7" s="447">
        <v>361.23</v>
      </c>
      <c r="BF7" s="448">
        <f>BF50</f>
        <v>378.77499999999998</v>
      </c>
      <c r="BG7" s="449">
        <v>999.6999999999997</v>
      </c>
      <c r="BH7" s="447">
        <v>279.84000000000003</v>
      </c>
      <c r="BI7" s="448">
        <v>403.14749999999998</v>
      </c>
      <c r="BJ7" s="448">
        <v>517.89</v>
      </c>
      <c r="BK7" s="448">
        <v>636.72750000000008</v>
      </c>
      <c r="BL7" s="449">
        <v>799.19999999999982</v>
      </c>
      <c r="BM7" s="447">
        <v>169.42099999999996</v>
      </c>
      <c r="BN7" s="448">
        <v>325.68384800000001</v>
      </c>
      <c r="BO7" s="448">
        <v>642.71350000000007</v>
      </c>
      <c r="BP7" s="448">
        <v>951.16131000000019</v>
      </c>
      <c r="BQ7" s="449">
        <v>1400.568</v>
      </c>
      <c r="BR7" s="447">
        <v>475.19999999999993</v>
      </c>
      <c r="BS7" s="448">
        <v>571.0379999999999</v>
      </c>
      <c r="BT7" s="448">
        <v>745.07999999999993</v>
      </c>
      <c r="BU7" s="448">
        <v>937.70999999999992</v>
      </c>
      <c r="BV7" s="449">
        <v>1065.5999999999999</v>
      </c>
      <c r="BW7" s="447">
        <v>29.403000000000006</v>
      </c>
      <c r="BX7" s="448">
        <v>160.97227999999984</v>
      </c>
      <c r="BY7" s="448">
        <v>338.31907499999994</v>
      </c>
      <c r="BZ7" s="448">
        <v>428.83551999999997</v>
      </c>
      <c r="CA7" s="449">
        <v>561.42585000000008</v>
      </c>
      <c r="CB7" s="447">
        <v>-38.999999999999972</v>
      </c>
      <c r="CC7" s="448">
        <v>108.89999999999998</v>
      </c>
      <c r="CD7" s="448">
        <v>345.15</v>
      </c>
      <c r="CE7" s="448">
        <v>635.4</v>
      </c>
      <c r="CF7" s="449">
        <v>561</v>
      </c>
      <c r="CG7" s="447">
        <v>3634.4000000000005</v>
      </c>
      <c r="CH7" s="448">
        <v>6784.2000000000007</v>
      </c>
      <c r="CI7" s="449">
        <v>10474.68</v>
      </c>
      <c r="CJ7" s="447">
        <v>93.85599999999971</v>
      </c>
      <c r="CK7" s="448">
        <v>147.0599999999996</v>
      </c>
      <c r="CL7" s="449">
        <v>501.90000000000009</v>
      </c>
      <c r="CM7" s="447">
        <v>355.80260346399234</v>
      </c>
      <c r="CN7" s="448">
        <v>543.72126389460607</v>
      </c>
      <c r="CO7" s="449">
        <v>1009.5604370761114</v>
      </c>
      <c r="CP7" s="447">
        <v>4763.9999999999973</v>
      </c>
      <c r="CQ7" s="448">
        <v>6299.5</v>
      </c>
      <c r="CR7" s="449">
        <v>8037.5999999999995</v>
      </c>
      <c r="CS7" s="447">
        <v>1247.3749999999995</v>
      </c>
      <c r="CT7" s="449">
        <v>2094.5000000000005</v>
      </c>
      <c r="CU7" s="449">
        <v>2915.9250000000006</v>
      </c>
      <c r="CV7" s="545"/>
      <c r="CW7" s="533"/>
      <c r="CX7" s="447">
        <f>CX50</f>
        <v>992</v>
      </c>
      <c r="CY7" s="448">
        <f t="shared" ref="CY7:DR7" si="0">CY50</f>
        <v>1220</v>
      </c>
      <c r="CZ7" s="449" t="e">
        <f t="shared" si="0"/>
        <v>#DIV/0!</v>
      </c>
      <c r="DA7" s="447">
        <f t="shared" si="0"/>
        <v>1088.9684210526314</v>
      </c>
      <c r="DB7" s="448">
        <f t="shared" si="0"/>
        <v>1164.1157894736841</v>
      </c>
      <c r="DC7" s="449" t="e">
        <f t="shared" si="0"/>
        <v>#DIV/0!</v>
      </c>
      <c r="DD7" s="447">
        <f t="shared" si="0"/>
        <v>283.29824561403507</v>
      </c>
      <c r="DE7" s="448">
        <f t="shared" si="0"/>
        <v>343.29824561403507</v>
      </c>
      <c r="DF7" s="449">
        <f t="shared" si="0"/>
        <v>605.55957894736821</v>
      </c>
      <c r="DG7" s="447">
        <f t="shared" si="0"/>
        <v>74.703947368421055</v>
      </c>
      <c r="DH7" s="448">
        <f t="shared" si="0"/>
        <v>103.95394736842105</v>
      </c>
      <c r="DI7" s="449">
        <f t="shared" si="0"/>
        <v>297.05704736842102</v>
      </c>
      <c r="DJ7" s="447">
        <f t="shared" si="0"/>
        <v>374.8547368421053</v>
      </c>
      <c r="DK7" s="448">
        <f t="shared" si="0"/>
        <v>502.8547368421053</v>
      </c>
      <c r="DL7" s="449">
        <f t="shared" si="0"/>
        <v>1360.3459368421054</v>
      </c>
      <c r="DM7" s="447">
        <f t="shared" si="0"/>
        <v>250.75519999999997</v>
      </c>
      <c r="DN7" s="448">
        <f t="shared" si="0"/>
        <v>290.48631999999998</v>
      </c>
      <c r="DO7" s="449">
        <f t="shared" si="0"/>
        <v>496.09199999999993</v>
      </c>
      <c r="DP7" s="447">
        <f t="shared" si="0"/>
        <v>138.58000000000004</v>
      </c>
      <c r="DQ7" s="448">
        <f t="shared" si="0"/>
        <v>180.22542280078133</v>
      </c>
      <c r="DR7" s="449">
        <f t="shared" si="0"/>
        <v>103.16</v>
      </c>
      <c r="DS7" s="238"/>
      <c r="DT7" s="238"/>
      <c r="DU7" s="592" t="s">
        <v>426</v>
      </c>
      <c r="DV7" s="593" t="s">
        <v>427</v>
      </c>
      <c r="DW7" s="146">
        <v>7500</v>
      </c>
      <c r="DX7" s="133">
        <v>8000</v>
      </c>
      <c r="DY7" s="133">
        <v>8000</v>
      </c>
      <c r="DZ7" s="133">
        <v>8000</v>
      </c>
      <c r="EA7" s="147">
        <v>8500</v>
      </c>
      <c r="EB7" s="133">
        <v>5400</v>
      </c>
      <c r="EC7" s="133">
        <v>5450</v>
      </c>
      <c r="ED7" s="133">
        <v>5450</v>
      </c>
      <c r="EE7" s="133">
        <v>5450</v>
      </c>
      <c r="EF7" s="147">
        <v>5500</v>
      </c>
      <c r="EG7" s="289"/>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row>
    <row r="8" spans="1:187" s="45" customFormat="1" x14ac:dyDescent="0.25">
      <c r="A8" s="238"/>
      <c r="B8" s="468" t="s">
        <v>428</v>
      </c>
      <c r="C8" s="36" t="s">
        <v>429</v>
      </c>
      <c r="D8" s="127">
        <v>0.71599999999999997</v>
      </c>
      <c r="E8" s="128">
        <v>0.77566666666666673</v>
      </c>
      <c r="F8" s="128">
        <v>0.83533333333333326</v>
      </c>
      <c r="G8" s="128">
        <v>0.89500000000000002</v>
      </c>
      <c r="H8" s="129">
        <v>0.95466666666666677</v>
      </c>
      <c r="I8" s="127">
        <v>1.125</v>
      </c>
      <c r="J8" s="128">
        <v>1.2374999999999998</v>
      </c>
      <c r="K8" s="128">
        <v>1.35</v>
      </c>
      <c r="L8" s="128">
        <v>1.6500000000000001</v>
      </c>
      <c r="M8" s="129">
        <v>1.7249999999999999</v>
      </c>
      <c r="N8" s="127">
        <v>1.625</v>
      </c>
      <c r="O8" s="128">
        <v>1.7875000000000001</v>
      </c>
      <c r="P8" s="128">
        <v>1.9500000000000002</v>
      </c>
      <c r="Q8" s="128">
        <v>2.2749999999999999</v>
      </c>
      <c r="R8" s="129">
        <v>2.6</v>
      </c>
      <c r="S8" s="127">
        <v>1.625</v>
      </c>
      <c r="T8" s="128">
        <v>1.885</v>
      </c>
      <c r="U8" s="128">
        <v>1.9500000000000002</v>
      </c>
      <c r="V8" s="128">
        <v>1.9824999999999999</v>
      </c>
      <c r="W8" s="129">
        <v>2.0150000000000001</v>
      </c>
      <c r="X8" s="127">
        <v>1.0499999999999998</v>
      </c>
      <c r="Y8" s="128">
        <v>1.125</v>
      </c>
      <c r="Z8" s="128">
        <v>1.2374999999999998</v>
      </c>
      <c r="AA8" s="128">
        <v>1.5</v>
      </c>
      <c r="AB8" s="129">
        <v>1.5750000000000002</v>
      </c>
      <c r="AC8" s="127">
        <v>1.5</v>
      </c>
      <c r="AD8" s="128">
        <v>1.7087671232876711</v>
      </c>
      <c r="AE8" s="128">
        <v>2.0103142626913777</v>
      </c>
      <c r="AF8" s="128">
        <v>2.2783561643835619</v>
      </c>
      <c r="AG8" s="129">
        <v>2.375</v>
      </c>
      <c r="AH8" s="127">
        <v>0.82500000000000007</v>
      </c>
      <c r="AI8" s="128">
        <v>0.97500000000000009</v>
      </c>
      <c r="AJ8" s="128">
        <v>1.2000000000000002</v>
      </c>
      <c r="AK8" s="128">
        <v>1.4249999999999998</v>
      </c>
      <c r="AL8" s="129">
        <v>1.6500000000000001</v>
      </c>
      <c r="AM8" s="127">
        <v>0.67500000000000004</v>
      </c>
      <c r="AN8" s="128">
        <v>0.75</v>
      </c>
      <c r="AO8" s="128">
        <v>0.9375</v>
      </c>
      <c r="AP8" s="128">
        <v>1.125</v>
      </c>
      <c r="AQ8" s="129">
        <v>1.2000000000000002</v>
      </c>
      <c r="AR8" s="127">
        <v>1.6900000000000002</v>
      </c>
      <c r="AS8" s="128">
        <v>1.7875000000000001</v>
      </c>
      <c r="AT8" s="128">
        <v>1.9500000000000002</v>
      </c>
      <c r="AU8" s="128">
        <v>2.1125000000000003</v>
      </c>
      <c r="AV8" s="129">
        <v>2.21</v>
      </c>
      <c r="AW8" s="127">
        <v>1.9500000000000002</v>
      </c>
      <c r="AX8" s="128">
        <v>2.2438356164383562</v>
      </c>
      <c r="AY8" s="128">
        <v>2.6398066075745366</v>
      </c>
      <c r="AZ8" s="128">
        <v>2.9917808219178088</v>
      </c>
      <c r="BA8" s="129">
        <v>3.25</v>
      </c>
      <c r="BB8" s="127">
        <v>0.72000000000000008</v>
      </c>
      <c r="BC8" s="128">
        <v>0.8</v>
      </c>
      <c r="BD8" s="129">
        <v>0.88000000000000012</v>
      </c>
      <c r="BE8" s="127">
        <v>1.2000000000000002</v>
      </c>
      <c r="BF8" s="128">
        <v>1</v>
      </c>
      <c r="BG8" s="129">
        <v>2</v>
      </c>
      <c r="BH8" s="127">
        <v>1.32</v>
      </c>
      <c r="BI8" s="128">
        <v>1.65</v>
      </c>
      <c r="BJ8" s="128">
        <v>1.65</v>
      </c>
      <c r="BK8" s="128">
        <v>1.65</v>
      </c>
      <c r="BL8" s="129">
        <v>1.98</v>
      </c>
      <c r="BM8" s="127">
        <v>0.77</v>
      </c>
      <c r="BN8" s="128">
        <v>0.88</v>
      </c>
      <c r="BO8" s="128">
        <v>1.1000000000000001</v>
      </c>
      <c r="BP8" s="128">
        <v>1.21</v>
      </c>
      <c r="BQ8" s="129">
        <v>1.43</v>
      </c>
      <c r="BR8" s="127">
        <v>0.96</v>
      </c>
      <c r="BS8" s="128">
        <v>1.04</v>
      </c>
      <c r="BT8" s="128">
        <v>1.1200000000000001</v>
      </c>
      <c r="BU8" s="128">
        <v>1.2</v>
      </c>
      <c r="BV8" s="129">
        <v>1.28</v>
      </c>
      <c r="BW8" s="127">
        <v>0.24</v>
      </c>
      <c r="BX8" s="128">
        <v>0.56000000000000005</v>
      </c>
      <c r="BY8" s="128">
        <v>0.6</v>
      </c>
      <c r="BZ8" s="128">
        <v>0.64</v>
      </c>
      <c r="CA8" s="129">
        <v>0.72</v>
      </c>
      <c r="CB8" s="127">
        <v>0.89999999999999991</v>
      </c>
      <c r="CC8" s="128">
        <v>0.89999999999999991</v>
      </c>
      <c r="CD8" s="128">
        <v>0.89999999999999991</v>
      </c>
      <c r="CE8" s="128">
        <v>0.89999999999999991</v>
      </c>
      <c r="CF8" s="129">
        <v>0.89999999999999991</v>
      </c>
      <c r="CG8" s="127">
        <v>8.8000000000000007</v>
      </c>
      <c r="CH8" s="128">
        <v>8.8000000000000007</v>
      </c>
      <c r="CI8" s="129">
        <v>8.8000000000000007</v>
      </c>
      <c r="CJ8" s="127">
        <v>4.7600000000000007</v>
      </c>
      <c r="CK8" s="128">
        <v>5.1000000000000005</v>
      </c>
      <c r="CL8" s="129">
        <v>5.95</v>
      </c>
      <c r="CM8" s="127">
        <v>4.8000000000000007</v>
      </c>
      <c r="CN8" s="128">
        <v>5</v>
      </c>
      <c r="CO8" s="129">
        <v>5.5</v>
      </c>
      <c r="CP8" s="127">
        <v>17</v>
      </c>
      <c r="CQ8" s="128">
        <v>17</v>
      </c>
      <c r="CR8" s="129">
        <v>17</v>
      </c>
      <c r="CS8" s="127">
        <v>17</v>
      </c>
      <c r="CT8" s="129">
        <v>17</v>
      </c>
      <c r="CU8" s="129">
        <v>17</v>
      </c>
      <c r="CV8" s="545"/>
      <c r="CW8" s="533"/>
      <c r="CX8" s="874">
        <v>1</v>
      </c>
      <c r="CY8" s="879">
        <v>1</v>
      </c>
      <c r="CZ8" s="880">
        <v>1</v>
      </c>
      <c r="DA8" s="874">
        <v>0.71599999999999997</v>
      </c>
      <c r="DB8" s="879">
        <v>0.77566666666666673</v>
      </c>
      <c r="DC8" s="880">
        <v>0.83533333333333326</v>
      </c>
      <c r="DD8" s="874">
        <v>1</v>
      </c>
      <c r="DE8" s="879">
        <v>1</v>
      </c>
      <c r="DF8" s="880">
        <v>1</v>
      </c>
      <c r="DG8" s="874">
        <v>0.5625</v>
      </c>
      <c r="DH8" s="879">
        <v>0.5625</v>
      </c>
      <c r="DI8" s="880">
        <v>0.5625</v>
      </c>
      <c r="DJ8" s="874">
        <v>0.96</v>
      </c>
      <c r="DK8" s="879">
        <v>0.96</v>
      </c>
      <c r="DL8" s="880">
        <v>0.96</v>
      </c>
      <c r="DM8" s="874">
        <v>0.50600000000000001</v>
      </c>
      <c r="DN8" s="879">
        <v>0.51700000000000002</v>
      </c>
      <c r="DO8" s="880">
        <v>0.52800000000000002</v>
      </c>
      <c r="DP8" s="874">
        <v>0.52</v>
      </c>
      <c r="DQ8" s="879">
        <v>0.53600000000000003</v>
      </c>
      <c r="DR8" s="880">
        <v>0.4</v>
      </c>
      <c r="DS8" s="238"/>
      <c r="DT8" s="238"/>
      <c r="DU8" s="580" t="s">
        <v>430</v>
      </c>
      <c r="DV8" s="156" t="s">
        <v>431</v>
      </c>
      <c r="DW8" s="139">
        <v>27.5</v>
      </c>
      <c r="DX8" s="131">
        <v>27.5</v>
      </c>
      <c r="DY8" s="131">
        <v>28</v>
      </c>
      <c r="DZ8" s="131">
        <v>28.5</v>
      </c>
      <c r="EA8" s="140">
        <v>29</v>
      </c>
      <c r="EB8" s="131">
        <v>35</v>
      </c>
      <c r="EC8" s="131">
        <v>35.5</v>
      </c>
      <c r="ED8" s="131">
        <v>36</v>
      </c>
      <c r="EE8" s="131">
        <v>36.5</v>
      </c>
      <c r="EF8" s="140">
        <v>37</v>
      </c>
      <c r="EG8" s="560"/>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row>
    <row r="9" spans="1:187" s="45" customFormat="1" x14ac:dyDescent="0.25">
      <c r="A9" s="238"/>
      <c r="B9" s="46" t="s">
        <v>216</v>
      </c>
      <c r="C9" s="19" t="s">
        <v>432</v>
      </c>
      <c r="D9" s="127">
        <v>16.291318855999997</v>
      </c>
      <c r="E9" s="128">
        <v>15.96192272</v>
      </c>
      <c r="F9" s="128">
        <v>15.673926400000001</v>
      </c>
      <c r="G9" s="128">
        <v>15.365930079999998</v>
      </c>
      <c r="H9" s="129">
        <v>15.079333576</v>
      </c>
      <c r="I9" s="127">
        <v>70.254599999999996</v>
      </c>
      <c r="J9" s="128">
        <v>70.14800000000001</v>
      </c>
      <c r="K9" s="128">
        <v>70.019199999999998</v>
      </c>
      <c r="L9" s="128">
        <v>69.865009999999998</v>
      </c>
      <c r="M9" s="129">
        <v>69.779399999999995</v>
      </c>
      <c r="N9" s="127">
        <v>32.549999999999997</v>
      </c>
      <c r="O9" s="128">
        <v>32.4512</v>
      </c>
      <c r="P9" s="128">
        <v>32.343000000000004</v>
      </c>
      <c r="Q9" s="128">
        <v>32.094799999999999</v>
      </c>
      <c r="R9" s="129">
        <v>31.995999999999999</v>
      </c>
      <c r="S9" s="127">
        <v>31.842500000000001</v>
      </c>
      <c r="T9" s="128">
        <v>31.782500000000002</v>
      </c>
      <c r="U9" s="128">
        <v>31.715</v>
      </c>
      <c r="V9" s="128">
        <v>31.6</v>
      </c>
      <c r="W9" s="129">
        <v>31.54</v>
      </c>
      <c r="X9" s="127">
        <v>71.2928</v>
      </c>
      <c r="Y9" s="128">
        <v>71.159800000000004</v>
      </c>
      <c r="Z9" s="128">
        <v>70.985699999999994</v>
      </c>
      <c r="AA9" s="128">
        <v>70.836640000000003</v>
      </c>
      <c r="AB9" s="129">
        <v>70.684799999999996</v>
      </c>
      <c r="AC9" s="127">
        <v>35.040999999999997</v>
      </c>
      <c r="AD9" s="128">
        <v>34.835000000000001</v>
      </c>
      <c r="AE9" s="128">
        <v>34.526000000000003</v>
      </c>
      <c r="AF9" s="128">
        <v>33.880000000000003</v>
      </c>
      <c r="AG9" s="129">
        <v>33.700000000000003</v>
      </c>
      <c r="AH9" s="127">
        <v>70.412500000000009</v>
      </c>
      <c r="AI9" s="128">
        <v>70.288200000000003</v>
      </c>
      <c r="AJ9" s="128">
        <v>70.159800000000004</v>
      </c>
      <c r="AK9" s="128">
        <v>70.007199999999997</v>
      </c>
      <c r="AL9" s="129">
        <v>69.876000000000005</v>
      </c>
      <c r="AM9" s="127">
        <v>71.400000000000006</v>
      </c>
      <c r="AN9" s="128">
        <v>71.300977000000003</v>
      </c>
      <c r="AO9" s="128">
        <v>71.126979000000006</v>
      </c>
      <c r="AP9" s="128">
        <v>70.977484000000004</v>
      </c>
      <c r="AQ9" s="129">
        <v>70.90100000000001</v>
      </c>
      <c r="AR9" s="127">
        <v>28.276399999999999</v>
      </c>
      <c r="AS9" s="128">
        <v>28.145299999999999</v>
      </c>
      <c r="AT9" s="128">
        <v>28.014199999999995</v>
      </c>
      <c r="AU9" s="128">
        <v>28.014199999999995</v>
      </c>
      <c r="AV9" s="129">
        <v>28.014199999999995</v>
      </c>
      <c r="AW9" s="127">
        <v>32.781800000000004</v>
      </c>
      <c r="AX9" s="128">
        <v>32.646899999999995</v>
      </c>
      <c r="AY9" s="128">
        <v>32.436999999999998</v>
      </c>
      <c r="AZ9" s="128">
        <v>32.362000000000002</v>
      </c>
      <c r="BA9" s="129">
        <v>32.286999999999999</v>
      </c>
      <c r="BB9" s="127">
        <v>57.342500000000001</v>
      </c>
      <c r="BC9" s="128">
        <v>57.307200000000002</v>
      </c>
      <c r="BD9" s="129">
        <v>57.307200000000002</v>
      </c>
      <c r="BE9" s="127">
        <v>23.307200000000002</v>
      </c>
      <c r="BF9" s="128">
        <v>23.231999999999999</v>
      </c>
      <c r="BG9" s="129">
        <v>23.192799999999998</v>
      </c>
      <c r="BH9" s="127">
        <v>3.6830000000000003</v>
      </c>
      <c r="BI9" s="128">
        <v>3.8343899999999995</v>
      </c>
      <c r="BJ9" s="128">
        <v>3.8214000000000001</v>
      </c>
      <c r="BK9" s="128">
        <v>3.8029499999999996</v>
      </c>
      <c r="BL9" s="129">
        <v>4.0304000000000002</v>
      </c>
      <c r="BM9" s="127">
        <v>6.5907799999999996</v>
      </c>
      <c r="BN9" s="128">
        <v>6.5815165799999997</v>
      </c>
      <c r="BO9" s="128">
        <v>6.5679330000000009</v>
      </c>
      <c r="BP9" s="128">
        <v>6.5571326000000001</v>
      </c>
      <c r="BQ9" s="129">
        <v>6.5492400000000002</v>
      </c>
      <c r="BR9" s="127">
        <v>2.46</v>
      </c>
      <c r="BS9" s="128">
        <v>2.4617400000000003</v>
      </c>
      <c r="BT9" s="128">
        <v>2.4588000000000001</v>
      </c>
      <c r="BU9" s="128">
        <v>2.4558600000000004</v>
      </c>
      <c r="BV9" s="129">
        <v>2.46</v>
      </c>
      <c r="BW9" s="127">
        <v>6.0250000000000004</v>
      </c>
      <c r="BX9" s="128">
        <v>6.0150000000000006</v>
      </c>
      <c r="BY9" s="128">
        <v>5.97</v>
      </c>
      <c r="BZ9" s="128">
        <v>6.0350000000000001</v>
      </c>
      <c r="CA9" s="129">
        <v>6.0250000000000004</v>
      </c>
      <c r="CB9" s="127">
        <v>0.44799999999999995</v>
      </c>
      <c r="CC9" s="128">
        <v>0.44560000000000005</v>
      </c>
      <c r="CD9" s="128">
        <v>0.44560000000000005</v>
      </c>
      <c r="CE9" s="128">
        <v>0.44560000000000005</v>
      </c>
      <c r="CF9" s="129">
        <v>0.44799999999999995</v>
      </c>
      <c r="CG9" s="127">
        <v>28.454000000000001</v>
      </c>
      <c r="CH9" s="128">
        <v>27.896000000000001</v>
      </c>
      <c r="CI9" s="129">
        <v>26.684719999999999</v>
      </c>
      <c r="CJ9" s="127">
        <v>3.5729600000000001</v>
      </c>
      <c r="CK9" s="128">
        <v>3.5673599999999999</v>
      </c>
      <c r="CL9" s="129">
        <v>3.3344</v>
      </c>
      <c r="CM9" s="127">
        <v>2.1502617319963537</v>
      </c>
      <c r="CN9" s="128">
        <v>2.0464872128447924</v>
      </c>
      <c r="CO9" s="129">
        <v>1.7103125847776941</v>
      </c>
      <c r="CP9" s="127">
        <v>0.45849999999999996</v>
      </c>
      <c r="CQ9" s="128">
        <v>0.45849999999999996</v>
      </c>
      <c r="CR9" s="129">
        <v>0.45849999999999996</v>
      </c>
      <c r="CS9" s="127">
        <v>8.1290000000000015E-2</v>
      </c>
      <c r="CT9" s="129">
        <v>7.2859999999999994E-2</v>
      </c>
      <c r="CU9" s="129">
        <v>6.4943999999999988E-2</v>
      </c>
      <c r="CV9" s="545"/>
      <c r="CW9" s="534"/>
      <c r="CX9" s="127">
        <f t="shared" ref="CX9:DC9" si="1">((CX22)+(CX46/2))*4%</f>
        <v>81.36</v>
      </c>
      <c r="CY9" s="128">
        <f t="shared" si="1"/>
        <v>79.400000000000006</v>
      </c>
      <c r="CZ9" s="129" t="e">
        <f t="shared" si="1"/>
        <v>#DIV/0!</v>
      </c>
      <c r="DA9" s="127">
        <f t="shared" si="1"/>
        <v>19.600526315789477</v>
      </c>
      <c r="DB9" s="128">
        <f t="shared" si="1"/>
        <v>19.840526315789475</v>
      </c>
      <c r="DC9" s="129" t="e">
        <f t="shared" si="1"/>
        <v>#DIV/0!</v>
      </c>
      <c r="DD9" s="899">
        <v>68.950526315789475</v>
      </c>
      <c r="DE9" s="900">
        <v>68.85052631578948</v>
      </c>
      <c r="DF9" s="901">
        <v>68.650526315789477</v>
      </c>
      <c r="DG9" s="899">
        <v>68.707894736842107</v>
      </c>
      <c r="DH9" s="900">
        <v>68.527894736842114</v>
      </c>
      <c r="DI9" s="901">
        <v>68.90789473684211</v>
      </c>
      <c r="DJ9" s="127">
        <f>((DJ22)+(DJ46/2))*4%</f>
        <v>27.302894736842106</v>
      </c>
      <c r="DK9" s="128">
        <f>((DK22)+(DK46/2))*4%</f>
        <v>27.502894736842105</v>
      </c>
      <c r="DL9" s="901">
        <v>27.502894736842105</v>
      </c>
      <c r="DM9" s="899">
        <v>7.8968000000000007</v>
      </c>
      <c r="DN9" s="900">
        <v>7.8768000000000011</v>
      </c>
      <c r="DO9" s="901">
        <v>7.8568000000000007</v>
      </c>
      <c r="DP9" s="899">
        <v>6.6160000000000005</v>
      </c>
      <c r="DQ9" s="900">
        <v>6.5441736632812502</v>
      </c>
      <c r="DR9" s="901">
        <v>6.5360000000000005</v>
      </c>
      <c r="DS9" s="238"/>
      <c r="DT9" s="238"/>
      <c r="DU9" s="581" t="s">
        <v>433</v>
      </c>
      <c r="DV9" s="157" t="s">
        <v>434</v>
      </c>
      <c r="DW9" s="144">
        <v>131</v>
      </c>
      <c r="DX9" s="132">
        <v>131</v>
      </c>
      <c r="DY9" s="132">
        <v>132</v>
      </c>
      <c r="DZ9" s="132">
        <v>134</v>
      </c>
      <c r="EA9" s="145">
        <v>134</v>
      </c>
      <c r="EB9" s="132">
        <v>75</v>
      </c>
      <c r="EC9" s="132">
        <v>75</v>
      </c>
      <c r="ED9" s="132">
        <v>76</v>
      </c>
      <c r="EE9" s="132">
        <v>77</v>
      </c>
      <c r="EF9" s="145">
        <v>77</v>
      </c>
      <c r="EG9" s="560"/>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row>
    <row r="10" spans="1:187" s="45" customFormat="1" x14ac:dyDescent="0.25">
      <c r="A10" s="238"/>
      <c r="B10" s="465" t="s">
        <v>435</v>
      </c>
      <c r="C10" s="19" t="s">
        <v>436</v>
      </c>
      <c r="D10" s="29">
        <v>1.2</v>
      </c>
      <c r="E10" s="18">
        <v>1.3</v>
      </c>
      <c r="F10" s="18">
        <v>1.4</v>
      </c>
      <c r="G10" s="18">
        <v>1.5</v>
      </c>
      <c r="H10" s="19">
        <v>1.6</v>
      </c>
      <c r="I10" s="29">
        <v>1.5</v>
      </c>
      <c r="J10" s="18">
        <v>1.65</v>
      </c>
      <c r="K10" s="18">
        <v>1.8</v>
      </c>
      <c r="L10" s="18">
        <v>2.2000000000000002</v>
      </c>
      <c r="M10" s="19">
        <v>2.2999999999999998</v>
      </c>
      <c r="N10" s="29">
        <v>2.5</v>
      </c>
      <c r="O10" s="18">
        <v>2.75</v>
      </c>
      <c r="P10" s="18">
        <v>3</v>
      </c>
      <c r="Q10" s="18">
        <v>3.5</v>
      </c>
      <c r="R10" s="19">
        <v>4</v>
      </c>
      <c r="S10" s="29">
        <v>2.5</v>
      </c>
      <c r="T10" s="18">
        <v>2.9</v>
      </c>
      <c r="U10" s="18">
        <v>3</v>
      </c>
      <c r="V10" s="18">
        <v>3.05</v>
      </c>
      <c r="W10" s="19">
        <v>3.1</v>
      </c>
      <c r="X10" s="29">
        <v>1.4</v>
      </c>
      <c r="Y10" s="18">
        <v>1.5</v>
      </c>
      <c r="Z10" s="18">
        <v>1.65</v>
      </c>
      <c r="AA10" s="18">
        <v>2</v>
      </c>
      <c r="AB10" s="19">
        <v>2.1</v>
      </c>
      <c r="AC10" s="24">
        <v>3</v>
      </c>
      <c r="AD10" s="23">
        <v>3.4520547945205475</v>
      </c>
      <c r="AE10" s="23">
        <v>4.0612409347300558</v>
      </c>
      <c r="AF10" s="23">
        <v>4.6027397260273979</v>
      </c>
      <c r="AG10" s="25">
        <v>4.75</v>
      </c>
      <c r="AH10" s="24">
        <v>1.1000000000000001</v>
      </c>
      <c r="AI10" s="18">
        <v>1.3</v>
      </c>
      <c r="AJ10" s="18">
        <v>1.6</v>
      </c>
      <c r="AK10" s="18">
        <v>1.9</v>
      </c>
      <c r="AL10" s="19">
        <v>2.2000000000000002</v>
      </c>
      <c r="AM10" s="29">
        <v>0.9</v>
      </c>
      <c r="AN10" s="18">
        <v>1</v>
      </c>
      <c r="AO10" s="18">
        <v>1.25</v>
      </c>
      <c r="AP10" s="18">
        <v>1.5</v>
      </c>
      <c r="AQ10" s="19">
        <v>1.6</v>
      </c>
      <c r="AR10" s="29">
        <v>2.6</v>
      </c>
      <c r="AS10" s="18">
        <v>2.75</v>
      </c>
      <c r="AT10" s="18">
        <v>3</v>
      </c>
      <c r="AU10" s="18">
        <v>3.25</v>
      </c>
      <c r="AV10" s="19">
        <v>3.4</v>
      </c>
      <c r="AW10" s="24">
        <v>3</v>
      </c>
      <c r="AX10" s="23">
        <v>3.4520547945205475</v>
      </c>
      <c r="AY10" s="23">
        <v>4.0612409347300558</v>
      </c>
      <c r="AZ10" s="23">
        <v>4.6027397260273979</v>
      </c>
      <c r="BA10" s="25">
        <v>5</v>
      </c>
      <c r="BB10" s="29">
        <v>0.9</v>
      </c>
      <c r="BC10" s="18">
        <v>1</v>
      </c>
      <c r="BD10" s="19">
        <v>1.1000000000000001</v>
      </c>
      <c r="BE10" s="29">
        <v>1.5</v>
      </c>
      <c r="BF10" s="18">
        <f>BF8/BF11</f>
        <v>1.25</v>
      </c>
      <c r="BG10" s="19">
        <v>2.5</v>
      </c>
      <c r="BH10" s="29">
        <v>12</v>
      </c>
      <c r="BI10" s="18">
        <v>15</v>
      </c>
      <c r="BJ10" s="18">
        <v>15</v>
      </c>
      <c r="BK10" s="18">
        <v>15</v>
      </c>
      <c r="BL10" s="19">
        <v>18</v>
      </c>
      <c r="BM10" s="29">
        <v>7</v>
      </c>
      <c r="BN10" s="18">
        <v>8</v>
      </c>
      <c r="BO10" s="18">
        <v>10</v>
      </c>
      <c r="BP10" s="18">
        <v>11</v>
      </c>
      <c r="BQ10" s="19">
        <v>13</v>
      </c>
      <c r="BR10" s="29">
        <v>24</v>
      </c>
      <c r="BS10" s="18">
        <v>26</v>
      </c>
      <c r="BT10" s="18">
        <v>28</v>
      </c>
      <c r="BU10" s="18">
        <v>30</v>
      </c>
      <c r="BV10" s="19">
        <v>32</v>
      </c>
      <c r="BW10" s="29">
        <v>3</v>
      </c>
      <c r="BX10" s="18">
        <v>7</v>
      </c>
      <c r="BY10" s="18">
        <v>7.5</v>
      </c>
      <c r="BZ10" s="18">
        <v>8</v>
      </c>
      <c r="CA10" s="19">
        <v>9</v>
      </c>
      <c r="CB10" s="29">
        <v>15</v>
      </c>
      <c r="CC10" s="18">
        <v>15</v>
      </c>
      <c r="CD10" s="18">
        <v>15</v>
      </c>
      <c r="CE10" s="18">
        <v>15</v>
      </c>
      <c r="CF10" s="19">
        <v>15</v>
      </c>
      <c r="CG10" s="29">
        <v>20</v>
      </c>
      <c r="CH10" s="18">
        <v>20</v>
      </c>
      <c r="CI10" s="19">
        <v>20</v>
      </c>
      <c r="CJ10" s="29">
        <v>28</v>
      </c>
      <c r="CK10" s="18">
        <v>30</v>
      </c>
      <c r="CL10" s="19">
        <v>35</v>
      </c>
      <c r="CM10" s="29">
        <v>24</v>
      </c>
      <c r="CN10" s="18">
        <v>25</v>
      </c>
      <c r="CO10" s="19">
        <v>27.5</v>
      </c>
      <c r="CP10" s="29">
        <v>1000</v>
      </c>
      <c r="CQ10" s="18">
        <v>1000</v>
      </c>
      <c r="CR10" s="19">
        <v>1000</v>
      </c>
      <c r="CS10" s="29">
        <v>1000</v>
      </c>
      <c r="CT10" s="19">
        <v>1000</v>
      </c>
      <c r="CU10" s="19">
        <v>1000</v>
      </c>
      <c r="CV10" s="534"/>
      <c r="CW10" s="534"/>
      <c r="CX10" s="111">
        <f>CX8/CX11</f>
        <v>1</v>
      </c>
      <c r="CY10" s="112">
        <f t="shared" ref="CY10:DR10" si="2">CY8/CY11</f>
        <v>1</v>
      </c>
      <c r="CZ10" s="99">
        <f t="shared" si="2"/>
        <v>1</v>
      </c>
      <c r="DA10" s="111">
        <f t="shared" si="2"/>
        <v>1.2</v>
      </c>
      <c r="DB10" s="112">
        <f t="shared" si="2"/>
        <v>1.3</v>
      </c>
      <c r="DC10" s="99">
        <f t="shared" si="2"/>
        <v>1.4</v>
      </c>
      <c r="DD10" s="102">
        <f t="shared" si="2"/>
        <v>1.3333333333333333</v>
      </c>
      <c r="DE10" s="103">
        <f t="shared" si="2"/>
        <v>1.3333333333333333</v>
      </c>
      <c r="DF10" s="243">
        <f t="shared" si="2"/>
        <v>1.3333333333333333</v>
      </c>
      <c r="DG10" s="111">
        <f t="shared" si="2"/>
        <v>0.75</v>
      </c>
      <c r="DH10" s="112">
        <f t="shared" si="2"/>
        <v>0.75</v>
      </c>
      <c r="DI10" s="99">
        <f t="shared" si="2"/>
        <v>0.75</v>
      </c>
      <c r="DJ10" s="111">
        <f t="shared" si="2"/>
        <v>1.28</v>
      </c>
      <c r="DK10" s="112">
        <f t="shared" si="2"/>
        <v>1.28</v>
      </c>
      <c r="DL10" s="99">
        <f t="shared" si="2"/>
        <v>1.28</v>
      </c>
      <c r="DM10" s="111">
        <f t="shared" si="2"/>
        <v>4.5999999999999996</v>
      </c>
      <c r="DN10" s="112">
        <f t="shared" si="2"/>
        <v>4.7</v>
      </c>
      <c r="DO10" s="99">
        <f t="shared" si="2"/>
        <v>4.8</v>
      </c>
      <c r="DP10" s="111">
        <f t="shared" si="2"/>
        <v>6.5</v>
      </c>
      <c r="DQ10" s="112">
        <f t="shared" si="2"/>
        <v>6.7</v>
      </c>
      <c r="DR10" s="99">
        <f t="shared" si="2"/>
        <v>5</v>
      </c>
      <c r="DS10" s="238"/>
      <c r="DT10" s="238"/>
      <c r="DU10" s="581" t="s">
        <v>437</v>
      </c>
      <c r="DV10" s="157" t="s">
        <v>438</v>
      </c>
      <c r="DW10" s="144">
        <v>420</v>
      </c>
      <c r="DX10" s="132">
        <v>410</v>
      </c>
      <c r="DY10" s="132">
        <v>400</v>
      </c>
      <c r="DZ10" s="132">
        <v>385</v>
      </c>
      <c r="EA10" s="145">
        <v>375</v>
      </c>
      <c r="EB10" s="132">
        <v>410</v>
      </c>
      <c r="EC10" s="132">
        <v>400</v>
      </c>
      <c r="ED10" s="132">
        <v>385</v>
      </c>
      <c r="EE10" s="132">
        <v>370</v>
      </c>
      <c r="EF10" s="145">
        <v>365</v>
      </c>
      <c r="EG10" s="560"/>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row>
    <row r="11" spans="1:187" s="45" customFormat="1" ht="11" thickBot="1" x14ac:dyDescent="0.3">
      <c r="A11" s="238"/>
      <c r="B11" s="469" t="s">
        <v>439</v>
      </c>
      <c r="C11" s="450" t="s">
        <v>440</v>
      </c>
      <c r="D11" s="451">
        <v>0.59666666666666668</v>
      </c>
      <c r="E11" s="452">
        <v>0.59666666666666668</v>
      </c>
      <c r="F11" s="452">
        <v>0.59666666666666668</v>
      </c>
      <c r="G11" s="452">
        <v>0.59666666666666668</v>
      </c>
      <c r="H11" s="450">
        <v>0.59666666666666668</v>
      </c>
      <c r="I11" s="451">
        <v>0.75</v>
      </c>
      <c r="J11" s="452">
        <v>0.75</v>
      </c>
      <c r="K11" s="452">
        <v>0.75</v>
      </c>
      <c r="L11" s="452">
        <v>0.75</v>
      </c>
      <c r="M11" s="450">
        <v>0.75</v>
      </c>
      <c r="N11" s="451">
        <v>0.65</v>
      </c>
      <c r="O11" s="452">
        <v>0.65</v>
      </c>
      <c r="P11" s="452">
        <v>0.65</v>
      </c>
      <c r="Q11" s="452">
        <v>0.65</v>
      </c>
      <c r="R11" s="450">
        <v>0.65</v>
      </c>
      <c r="S11" s="451">
        <v>0.65</v>
      </c>
      <c r="T11" s="452">
        <v>0.65</v>
      </c>
      <c r="U11" s="452">
        <v>0.65</v>
      </c>
      <c r="V11" s="452">
        <v>0.65</v>
      </c>
      <c r="W11" s="450">
        <v>0.65</v>
      </c>
      <c r="X11" s="451">
        <v>0.75</v>
      </c>
      <c r="Y11" s="452">
        <v>0.75</v>
      </c>
      <c r="Z11" s="452">
        <v>0.75</v>
      </c>
      <c r="AA11" s="452">
        <v>0.75</v>
      </c>
      <c r="AB11" s="450">
        <v>0.75</v>
      </c>
      <c r="AC11" s="451">
        <v>0.5</v>
      </c>
      <c r="AD11" s="452">
        <v>0.495</v>
      </c>
      <c r="AE11" s="452">
        <v>0.495</v>
      </c>
      <c r="AF11" s="452">
        <v>0.495</v>
      </c>
      <c r="AG11" s="450">
        <v>0.5</v>
      </c>
      <c r="AH11" s="451">
        <v>0.75</v>
      </c>
      <c r="AI11" s="452">
        <v>0.75</v>
      </c>
      <c r="AJ11" s="452">
        <v>0.75</v>
      </c>
      <c r="AK11" s="452">
        <v>0.75</v>
      </c>
      <c r="AL11" s="450">
        <v>0.75</v>
      </c>
      <c r="AM11" s="451">
        <v>0.75</v>
      </c>
      <c r="AN11" s="452">
        <v>0.75</v>
      </c>
      <c r="AO11" s="452">
        <v>0.75</v>
      </c>
      <c r="AP11" s="452">
        <v>0.75</v>
      </c>
      <c r="AQ11" s="450">
        <v>0.75</v>
      </c>
      <c r="AR11" s="451">
        <v>0.65</v>
      </c>
      <c r="AS11" s="452">
        <v>0.65</v>
      </c>
      <c r="AT11" s="452">
        <v>0.65</v>
      </c>
      <c r="AU11" s="452">
        <v>0.65</v>
      </c>
      <c r="AV11" s="450">
        <v>0.65</v>
      </c>
      <c r="AW11" s="451">
        <v>0.65</v>
      </c>
      <c r="AX11" s="452">
        <v>0.65</v>
      </c>
      <c r="AY11" s="452">
        <v>0.65</v>
      </c>
      <c r="AZ11" s="452">
        <v>0.65</v>
      </c>
      <c r="BA11" s="450">
        <v>0.65</v>
      </c>
      <c r="BB11" s="451">
        <v>0.8</v>
      </c>
      <c r="BC11" s="452">
        <v>0.8</v>
      </c>
      <c r="BD11" s="450">
        <v>0.8</v>
      </c>
      <c r="BE11" s="451">
        <v>0.8</v>
      </c>
      <c r="BF11" s="452">
        <v>0.8</v>
      </c>
      <c r="BG11" s="450">
        <v>0.8</v>
      </c>
      <c r="BH11" s="451">
        <v>0.11</v>
      </c>
      <c r="BI11" s="452">
        <v>0.11</v>
      </c>
      <c r="BJ11" s="452">
        <v>0.11</v>
      </c>
      <c r="BK11" s="452">
        <v>0.11</v>
      </c>
      <c r="BL11" s="450">
        <v>0.11</v>
      </c>
      <c r="BM11" s="451">
        <v>0.11</v>
      </c>
      <c r="BN11" s="452">
        <v>0.11</v>
      </c>
      <c r="BO11" s="452">
        <v>0.11</v>
      </c>
      <c r="BP11" s="452">
        <v>0.11</v>
      </c>
      <c r="BQ11" s="450">
        <v>0.11</v>
      </c>
      <c r="BR11" s="451">
        <v>0.04</v>
      </c>
      <c r="BS11" s="452">
        <v>0.04</v>
      </c>
      <c r="BT11" s="452">
        <v>0.04</v>
      </c>
      <c r="BU11" s="452">
        <v>0.04</v>
      </c>
      <c r="BV11" s="450">
        <v>0.04</v>
      </c>
      <c r="BW11" s="451">
        <v>0.08</v>
      </c>
      <c r="BX11" s="452">
        <v>0.08</v>
      </c>
      <c r="BY11" s="452">
        <v>0.08</v>
      </c>
      <c r="BZ11" s="452">
        <v>0.08</v>
      </c>
      <c r="CA11" s="450">
        <v>0.08</v>
      </c>
      <c r="CB11" s="451">
        <v>0.06</v>
      </c>
      <c r="CC11" s="452">
        <v>0.06</v>
      </c>
      <c r="CD11" s="452">
        <v>0.06</v>
      </c>
      <c r="CE11" s="452">
        <v>0.06</v>
      </c>
      <c r="CF11" s="450">
        <v>0.06</v>
      </c>
      <c r="CG11" s="451">
        <v>0.44</v>
      </c>
      <c r="CH11" s="452">
        <v>0.44</v>
      </c>
      <c r="CI11" s="450">
        <v>0.44</v>
      </c>
      <c r="CJ11" s="451">
        <v>0.17</v>
      </c>
      <c r="CK11" s="452">
        <v>0.17</v>
      </c>
      <c r="CL11" s="450">
        <v>0.17</v>
      </c>
      <c r="CM11" s="451">
        <v>0.2</v>
      </c>
      <c r="CN11" s="452">
        <v>0.2</v>
      </c>
      <c r="CO11" s="450">
        <v>0.2</v>
      </c>
      <c r="CP11" s="451">
        <v>1.7000000000000001E-2</v>
      </c>
      <c r="CQ11" s="452">
        <v>1.7000000000000001E-2</v>
      </c>
      <c r="CR11" s="450">
        <v>1.7000000000000001E-2</v>
      </c>
      <c r="CS11" s="451">
        <v>1.7000000000000001E-2</v>
      </c>
      <c r="CT11" s="450">
        <v>1.7000000000000001E-2</v>
      </c>
      <c r="CU11" s="450">
        <v>1.7000000000000001E-2</v>
      </c>
      <c r="CV11" s="546"/>
      <c r="CW11" s="547"/>
      <c r="CX11" s="875">
        <v>1</v>
      </c>
      <c r="CY11" s="890">
        <v>1</v>
      </c>
      <c r="CZ11" s="889">
        <v>1</v>
      </c>
      <c r="DA11" s="876">
        <v>0.59666666666666668</v>
      </c>
      <c r="DB11" s="877">
        <v>0.59666666666666668</v>
      </c>
      <c r="DC11" s="878">
        <v>0.59666666666666668</v>
      </c>
      <c r="DD11" s="876">
        <v>0.75</v>
      </c>
      <c r="DE11" s="877">
        <v>0.75</v>
      </c>
      <c r="DF11" s="878">
        <v>0.75</v>
      </c>
      <c r="DG11" s="876">
        <v>0.75</v>
      </c>
      <c r="DH11" s="877">
        <v>0.75</v>
      </c>
      <c r="DI11" s="878">
        <v>0.75</v>
      </c>
      <c r="DJ11" s="876">
        <v>0.75</v>
      </c>
      <c r="DK11" s="877">
        <v>0.75</v>
      </c>
      <c r="DL11" s="878">
        <v>0.75</v>
      </c>
      <c r="DM11" s="876">
        <v>0.11</v>
      </c>
      <c r="DN11" s="877">
        <v>0.11</v>
      </c>
      <c r="DO11" s="878">
        <v>0.11</v>
      </c>
      <c r="DP11" s="876">
        <v>0.08</v>
      </c>
      <c r="DQ11" s="877">
        <v>0.08</v>
      </c>
      <c r="DR11" s="878">
        <v>0.08</v>
      </c>
      <c r="DS11" s="238"/>
      <c r="DT11" s="238"/>
      <c r="DU11" s="582" t="s">
        <v>441</v>
      </c>
      <c r="DV11" s="41" t="s">
        <v>442</v>
      </c>
      <c r="DW11" s="37">
        <v>1500</v>
      </c>
      <c r="DX11" s="38">
        <v>1500</v>
      </c>
      <c r="DY11" s="38">
        <v>1500</v>
      </c>
      <c r="DZ11" s="38">
        <v>1500</v>
      </c>
      <c r="EA11" s="39">
        <v>1500</v>
      </c>
      <c r="EB11" s="38">
        <v>1150</v>
      </c>
      <c r="EC11" s="38">
        <v>1150</v>
      </c>
      <c r="ED11" s="38">
        <v>1150</v>
      </c>
      <c r="EE11" s="38">
        <v>1150</v>
      </c>
      <c r="EF11" s="39">
        <v>1150</v>
      </c>
      <c r="EG11" s="562"/>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row>
    <row r="12" spans="1:187" s="45" customFormat="1" ht="11" thickBot="1" x14ac:dyDescent="0.3">
      <c r="A12" s="238"/>
      <c r="B12" s="470"/>
      <c r="C12" s="25"/>
      <c r="D12" s="24"/>
      <c r="E12" s="23"/>
      <c r="F12" s="23"/>
      <c r="G12" s="23"/>
      <c r="H12" s="25"/>
      <c r="I12" s="24"/>
      <c r="J12" s="23"/>
      <c r="K12" s="23"/>
      <c r="L12" s="23"/>
      <c r="M12" s="25"/>
      <c r="N12" s="24"/>
      <c r="O12" s="23"/>
      <c r="P12" s="23"/>
      <c r="Q12" s="23"/>
      <c r="R12" s="25"/>
      <c r="S12" s="24"/>
      <c r="T12" s="23"/>
      <c r="U12" s="23"/>
      <c r="V12" s="23"/>
      <c r="W12" s="25"/>
      <c r="X12" s="24"/>
      <c r="Y12" s="23"/>
      <c r="Z12" s="23"/>
      <c r="AA12" s="23"/>
      <c r="AB12" s="25"/>
      <c r="AC12" s="24"/>
      <c r="AD12" s="23"/>
      <c r="AE12" s="23"/>
      <c r="AF12" s="23"/>
      <c r="AG12" s="25"/>
      <c r="AH12" s="24"/>
      <c r="AI12" s="23"/>
      <c r="AJ12" s="23"/>
      <c r="AK12" s="23"/>
      <c r="AL12" s="25"/>
      <c r="AM12" s="24"/>
      <c r="AN12" s="23"/>
      <c r="AO12" s="23"/>
      <c r="AP12" s="23"/>
      <c r="AQ12" s="25"/>
      <c r="AR12" s="24"/>
      <c r="AS12" s="23"/>
      <c r="AT12" s="23"/>
      <c r="AU12" s="23"/>
      <c r="AV12" s="25"/>
      <c r="AW12" s="24"/>
      <c r="AX12" s="23"/>
      <c r="AY12" s="23"/>
      <c r="AZ12" s="23"/>
      <c r="BA12" s="25"/>
      <c r="BB12" s="24"/>
      <c r="BC12" s="23"/>
      <c r="BD12" s="25"/>
      <c r="BE12" s="24"/>
      <c r="BF12" s="23"/>
      <c r="BG12" s="25"/>
      <c r="BH12" s="24"/>
      <c r="BI12" s="23"/>
      <c r="BJ12" s="23"/>
      <c r="BK12" s="23"/>
      <c r="BL12" s="25"/>
      <c r="BM12" s="24"/>
      <c r="BN12" s="23"/>
      <c r="BO12" s="23"/>
      <c r="BP12" s="23"/>
      <c r="BQ12" s="25"/>
      <c r="BR12" s="24"/>
      <c r="BS12" s="23"/>
      <c r="BT12" s="23"/>
      <c r="BU12" s="23"/>
      <c r="BV12" s="25"/>
      <c r="BW12" s="24"/>
      <c r="BX12" s="23"/>
      <c r="BY12" s="23"/>
      <c r="BZ12" s="23"/>
      <c r="CA12" s="25"/>
      <c r="CB12" s="24"/>
      <c r="CC12" s="23"/>
      <c r="CD12" s="23"/>
      <c r="CE12" s="23"/>
      <c r="CF12" s="25"/>
      <c r="CG12" s="24"/>
      <c r="CH12" s="23"/>
      <c r="CI12" s="25"/>
      <c r="CJ12" s="24"/>
      <c r="CK12" s="23"/>
      <c r="CL12" s="25"/>
      <c r="CM12" s="24"/>
      <c r="CN12" s="23"/>
      <c r="CO12" s="25"/>
      <c r="CP12" s="24"/>
      <c r="CQ12" s="23"/>
      <c r="CR12" s="25"/>
      <c r="CS12" s="24"/>
      <c r="CT12" s="25"/>
      <c r="CU12" s="25"/>
      <c r="CV12" s="546"/>
      <c r="CW12" s="547"/>
      <c r="CX12" s="850"/>
      <c r="CY12" s="851"/>
      <c r="CZ12" s="852"/>
      <c r="DA12" s="853"/>
      <c r="DB12" s="854"/>
      <c r="DC12" s="855"/>
      <c r="DD12" s="853"/>
      <c r="DE12" s="854"/>
      <c r="DF12" s="855"/>
      <c r="DG12" s="853"/>
      <c r="DH12" s="854"/>
      <c r="DI12" s="855"/>
      <c r="DJ12" s="853"/>
      <c r="DK12" s="854"/>
      <c r="DL12" s="855"/>
      <c r="DM12" s="853"/>
      <c r="DN12" s="854"/>
      <c r="DO12" s="855"/>
      <c r="DP12" s="853"/>
      <c r="DQ12" s="854"/>
      <c r="DR12" s="855"/>
      <c r="DS12" s="238"/>
      <c r="DT12" s="238"/>
      <c r="DU12" s="582"/>
      <c r="DV12" s="41"/>
      <c r="DW12" s="37"/>
      <c r="DX12" s="38"/>
      <c r="DY12" s="38"/>
      <c r="DZ12" s="38"/>
      <c r="EA12" s="39"/>
      <c r="EB12" s="38"/>
      <c r="EC12" s="38"/>
      <c r="ED12" s="38"/>
      <c r="EE12" s="38"/>
      <c r="EF12" s="39"/>
      <c r="EG12" s="562"/>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row>
    <row r="13" spans="1:187" s="45" customFormat="1" x14ac:dyDescent="0.25">
      <c r="A13" s="238"/>
      <c r="B13" s="453" t="s">
        <v>443</v>
      </c>
      <c r="C13" s="454" t="s">
        <v>444</v>
      </c>
      <c r="D13" s="455"/>
      <c r="E13" s="456"/>
      <c r="F13" s="456"/>
      <c r="G13" s="457"/>
      <c r="H13" s="458"/>
      <c r="I13" s="459"/>
      <c r="J13" s="456"/>
      <c r="K13" s="456"/>
      <c r="L13" s="457"/>
      <c r="M13" s="458"/>
      <c r="N13" s="459"/>
      <c r="O13" s="456"/>
      <c r="P13" s="456"/>
      <c r="Q13" s="457"/>
      <c r="R13" s="458"/>
      <c r="S13" s="459"/>
      <c r="T13" s="456"/>
      <c r="U13" s="460"/>
      <c r="V13" s="457"/>
      <c r="W13" s="458"/>
      <c r="X13" s="459"/>
      <c r="Y13" s="456"/>
      <c r="Z13" s="456"/>
      <c r="AA13" s="457"/>
      <c r="AB13" s="458"/>
      <c r="AC13" s="459"/>
      <c r="AD13" s="456"/>
      <c r="AE13" s="456"/>
      <c r="AF13" s="457"/>
      <c r="AG13" s="458"/>
      <c r="AH13" s="459"/>
      <c r="AI13" s="456"/>
      <c r="AJ13" s="456"/>
      <c r="AK13" s="457"/>
      <c r="AL13" s="458"/>
      <c r="AM13" s="459"/>
      <c r="AN13" s="456"/>
      <c r="AO13" s="456"/>
      <c r="AP13" s="457"/>
      <c r="AQ13" s="458"/>
      <c r="AR13" s="459"/>
      <c r="AS13" s="460" t="s">
        <v>445</v>
      </c>
      <c r="AT13" s="456"/>
      <c r="AU13" s="457"/>
      <c r="AV13" s="458"/>
      <c r="AW13" s="459"/>
      <c r="AX13" s="460" t="s">
        <v>446</v>
      </c>
      <c r="AY13" s="456"/>
      <c r="AZ13" s="457"/>
      <c r="BA13" s="458"/>
      <c r="BB13" s="445"/>
      <c r="BC13" s="461"/>
      <c r="BD13" s="458"/>
      <c r="BE13" s="445"/>
      <c r="BF13" s="460" t="s">
        <v>447</v>
      </c>
      <c r="BG13" s="458"/>
      <c r="BH13" s="459"/>
      <c r="BI13" s="456"/>
      <c r="BJ13" s="456"/>
      <c r="BK13" s="457"/>
      <c r="BL13" s="458"/>
      <c r="BM13" s="459"/>
      <c r="BN13" s="456"/>
      <c r="BO13" s="456"/>
      <c r="BP13" s="457"/>
      <c r="BQ13" s="458"/>
      <c r="BR13" s="459"/>
      <c r="BS13" s="456"/>
      <c r="BT13" s="456"/>
      <c r="BU13" s="457"/>
      <c r="BV13" s="458"/>
      <c r="BW13" s="459"/>
      <c r="BX13" s="456"/>
      <c r="BY13" s="456"/>
      <c r="BZ13" s="457"/>
      <c r="CA13" s="458"/>
      <c r="CB13" s="459"/>
      <c r="CC13" s="456"/>
      <c r="CD13" s="456"/>
      <c r="CE13" s="457"/>
      <c r="CF13" s="458"/>
      <c r="CG13" s="445"/>
      <c r="CH13" s="456"/>
      <c r="CI13" s="458"/>
      <c r="CJ13" s="445"/>
      <c r="CK13" s="456"/>
      <c r="CL13" s="458"/>
      <c r="CM13" s="445"/>
      <c r="CN13" s="456"/>
      <c r="CO13" s="458"/>
      <c r="CP13" s="445"/>
      <c r="CQ13" s="456"/>
      <c r="CR13" s="458"/>
      <c r="CS13" s="445"/>
      <c r="CT13" s="462"/>
      <c r="CU13" s="458"/>
      <c r="CV13" s="545"/>
      <c r="CW13" s="534"/>
      <c r="CX13" s="847"/>
      <c r="CY13" s="848"/>
      <c r="CZ13" s="849"/>
      <c r="DA13" s="856"/>
      <c r="DB13" s="857"/>
      <c r="DC13" s="849"/>
      <c r="DD13" s="847"/>
      <c r="DE13" s="848"/>
      <c r="DF13" s="849"/>
      <c r="DG13" s="847"/>
      <c r="DH13" s="848"/>
      <c r="DI13" s="849"/>
      <c r="DJ13" s="847"/>
      <c r="DK13" s="848"/>
      <c r="DL13" s="849"/>
      <c r="DM13" s="865"/>
      <c r="DN13" s="866"/>
      <c r="DO13" s="867"/>
      <c r="DP13" s="865"/>
      <c r="DQ13" s="866"/>
      <c r="DR13" s="867"/>
      <c r="DS13" s="238"/>
      <c r="DT13" s="238"/>
      <c r="DU13" s="582" t="s">
        <v>448</v>
      </c>
      <c r="DV13" s="41" t="s">
        <v>449</v>
      </c>
      <c r="DW13" s="161">
        <v>0.32</v>
      </c>
      <c r="DX13" s="162">
        <v>0.3</v>
      </c>
      <c r="DY13" s="162">
        <v>0.25</v>
      </c>
      <c r="DZ13" s="162">
        <v>0.2</v>
      </c>
      <c r="EA13" s="163">
        <v>0.2</v>
      </c>
      <c r="EB13" s="162">
        <v>0.32</v>
      </c>
      <c r="EC13" s="162">
        <v>0.3</v>
      </c>
      <c r="ED13" s="162">
        <v>0.25</v>
      </c>
      <c r="EE13" s="162">
        <v>0.2</v>
      </c>
      <c r="EF13" s="163">
        <v>0.2</v>
      </c>
      <c r="EG13" s="563"/>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row>
    <row r="14" spans="1:187" s="45" customFormat="1" ht="10.75" customHeight="1" x14ac:dyDescent="0.25">
      <c r="A14" s="238"/>
      <c r="B14" s="467" t="s">
        <v>450</v>
      </c>
      <c r="C14" s="28" t="s">
        <v>451</v>
      </c>
      <c r="D14" s="26">
        <v>36</v>
      </c>
      <c r="E14" s="27">
        <v>36</v>
      </c>
      <c r="F14" s="27">
        <v>36</v>
      </c>
      <c r="G14" s="27">
        <v>36</v>
      </c>
      <c r="H14" s="28">
        <v>36</v>
      </c>
      <c r="I14" s="26"/>
      <c r="J14" s="27"/>
      <c r="K14" s="27"/>
      <c r="L14" s="27"/>
      <c r="M14" s="28"/>
      <c r="N14" s="26">
        <v>18</v>
      </c>
      <c r="O14" s="27">
        <v>18</v>
      </c>
      <c r="P14" s="27">
        <v>18</v>
      </c>
      <c r="Q14" s="27">
        <v>18</v>
      </c>
      <c r="R14" s="28">
        <v>18</v>
      </c>
      <c r="S14" s="26">
        <v>18.5</v>
      </c>
      <c r="T14" s="27">
        <v>18.5</v>
      </c>
      <c r="U14" s="27">
        <v>18.5</v>
      </c>
      <c r="V14" s="27">
        <v>18.5</v>
      </c>
      <c r="W14" s="28">
        <v>18.5</v>
      </c>
      <c r="X14" s="26">
        <v>12</v>
      </c>
      <c r="Y14" s="27">
        <v>12</v>
      </c>
      <c r="Z14" s="27">
        <v>12</v>
      </c>
      <c r="AA14" s="27">
        <v>12</v>
      </c>
      <c r="AB14" s="28">
        <v>12</v>
      </c>
      <c r="AC14" s="26">
        <v>18</v>
      </c>
      <c r="AD14" s="27">
        <v>18</v>
      </c>
      <c r="AE14" s="27">
        <v>18</v>
      </c>
      <c r="AF14" s="27">
        <v>18</v>
      </c>
      <c r="AG14" s="28">
        <v>18</v>
      </c>
      <c r="AH14" s="26"/>
      <c r="AI14" s="27"/>
      <c r="AJ14" s="27"/>
      <c r="AK14" s="27"/>
      <c r="AL14" s="28"/>
      <c r="AM14" s="26">
        <v>12</v>
      </c>
      <c r="AN14" s="27">
        <v>12</v>
      </c>
      <c r="AO14" s="27">
        <v>12</v>
      </c>
      <c r="AP14" s="27">
        <v>12</v>
      </c>
      <c r="AQ14" s="28">
        <v>12</v>
      </c>
      <c r="AR14" s="26">
        <v>24</v>
      </c>
      <c r="AS14" s="27">
        <v>24</v>
      </c>
      <c r="AT14" s="27">
        <v>24</v>
      </c>
      <c r="AU14" s="27">
        <v>24</v>
      </c>
      <c r="AV14" s="28">
        <v>24</v>
      </c>
      <c r="AW14" s="26">
        <v>24</v>
      </c>
      <c r="AX14" s="27">
        <v>24</v>
      </c>
      <c r="AY14" s="27">
        <v>24</v>
      </c>
      <c r="AZ14" s="27">
        <v>24</v>
      </c>
      <c r="BA14" s="28">
        <v>24</v>
      </c>
      <c r="BB14" s="26">
        <v>8</v>
      </c>
      <c r="BC14" s="27">
        <v>8</v>
      </c>
      <c r="BD14" s="28">
        <v>8</v>
      </c>
      <c r="BE14" s="26"/>
      <c r="BF14" s="27" t="s">
        <v>452</v>
      </c>
      <c r="BG14" s="28"/>
      <c r="BH14" s="26"/>
      <c r="BI14" s="27"/>
      <c r="BJ14" s="27"/>
      <c r="BK14" s="27"/>
      <c r="BL14" s="28"/>
      <c r="BM14" s="26"/>
      <c r="BN14" s="27"/>
      <c r="BO14" s="27"/>
      <c r="BP14" s="27"/>
      <c r="BQ14" s="28"/>
      <c r="BR14" s="26"/>
      <c r="BS14" s="27"/>
      <c r="BT14" s="27"/>
      <c r="BU14" s="27"/>
      <c r="BV14" s="28"/>
      <c r="BW14" s="26"/>
      <c r="BX14" s="27"/>
      <c r="BY14" s="27"/>
      <c r="BZ14" s="27"/>
      <c r="CA14" s="28"/>
      <c r="CB14" s="26"/>
      <c r="CC14" s="27"/>
      <c r="CD14" s="27"/>
      <c r="CE14" s="27"/>
      <c r="CF14" s="28"/>
      <c r="CG14" s="26"/>
      <c r="CH14" s="27"/>
      <c r="CI14" s="28"/>
      <c r="CJ14" s="26"/>
      <c r="CK14" s="27"/>
      <c r="CL14" s="28"/>
      <c r="CM14" s="26"/>
      <c r="CN14" s="27"/>
      <c r="CO14" s="28"/>
      <c r="CP14" s="26"/>
      <c r="CQ14" s="27"/>
      <c r="CR14" s="28"/>
      <c r="CS14" s="26" t="s">
        <v>453</v>
      </c>
      <c r="CT14" s="28" t="s">
        <v>453</v>
      </c>
      <c r="CU14" s="28" t="s">
        <v>453</v>
      </c>
      <c r="CV14" s="545"/>
      <c r="CW14" s="534"/>
      <c r="CX14" s="884"/>
      <c r="CY14" s="885"/>
      <c r="CZ14" s="886"/>
      <c r="DA14" s="884"/>
      <c r="DB14" s="885">
        <v>27</v>
      </c>
      <c r="DC14" s="886"/>
      <c r="DD14" s="884"/>
      <c r="DE14" s="885"/>
      <c r="DF14" s="886"/>
      <c r="DG14" s="884"/>
      <c r="DH14" s="885"/>
      <c r="DI14" s="886"/>
      <c r="DJ14" s="884"/>
      <c r="DK14" s="885"/>
      <c r="DL14" s="886"/>
      <c r="DM14" s="847"/>
      <c r="DN14" s="848"/>
      <c r="DO14" s="849"/>
      <c r="DP14" s="847"/>
      <c r="DQ14" s="848"/>
      <c r="DR14" s="849"/>
      <c r="DS14" s="238"/>
      <c r="DT14" s="238"/>
      <c r="DU14" s="582" t="s">
        <v>454</v>
      </c>
      <c r="DV14" s="41" t="s">
        <v>442</v>
      </c>
      <c r="DW14" s="141">
        <v>5.3</v>
      </c>
      <c r="DX14" s="142">
        <v>5.25</v>
      </c>
      <c r="DY14" s="142">
        <v>4.6222222222222218</v>
      </c>
      <c r="DZ14" s="142">
        <v>4.3829787234042552</v>
      </c>
      <c r="EA14" s="143">
        <v>4.3829787234042552</v>
      </c>
      <c r="EB14" s="142">
        <v>5.25</v>
      </c>
      <c r="EC14" s="142">
        <v>5.2</v>
      </c>
      <c r="ED14" s="142">
        <v>4.5777777777777775</v>
      </c>
      <c r="EE14" s="142">
        <v>4.3191489361702127</v>
      </c>
      <c r="EF14" s="143">
        <v>4.3404255319148932</v>
      </c>
      <c r="EG14" s="560"/>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row>
    <row r="15" spans="1:187" s="45" customFormat="1" x14ac:dyDescent="0.25">
      <c r="A15" s="238"/>
      <c r="B15" s="467" t="s">
        <v>455</v>
      </c>
      <c r="C15" s="28" t="s">
        <v>456</v>
      </c>
      <c r="D15" s="26"/>
      <c r="E15" s="27"/>
      <c r="F15" s="27"/>
      <c r="G15" s="27"/>
      <c r="H15" s="28"/>
      <c r="I15" s="26">
        <v>270</v>
      </c>
      <c r="J15" s="27">
        <v>274</v>
      </c>
      <c r="K15" s="27">
        <v>280</v>
      </c>
      <c r="L15" s="27">
        <v>309</v>
      </c>
      <c r="M15" s="28">
        <v>340</v>
      </c>
      <c r="N15" s="26">
        <v>580</v>
      </c>
      <c r="O15" s="27">
        <v>591.20000000000005</v>
      </c>
      <c r="P15" s="27">
        <v>597.5</v>
      </c>
      <c r="Q15" s="27">
        <v>603.79999999999995</v>
      </c>
      <c r="R15" s="28">
        <v>615</v>
      </c>
      <c r="S15" s="26">
        <v>550</v>
      </c>
      <c r="T15" s="27">
        <v>550</v>
      </c>
      <c r="U15" s="27">
        <v>550</v>
      </c>
      <c r="V15" s="27">
        <v>550</v>
      </c>
      <c r="W15" s="28">
        <v>550</v>
      </c>
      <c r="X15" s="26">
        <v>355</v>
      </c>
      <c r="Y15" s="27">
        <v>363</v>
      </c>
      <c r="Z15" s="27">
        <v>371</v>
      </c>
      <c r="AA15" s="27">
        <v>385</v>
      </c>
      <c r="AB15" s="28">
        <v>395</v>
      </c>
      <c r="AC15" s="26">
        <v>515</v>
      </c>
      <c r="AD15" s="27">
        <v>538</v>
      </c>
      <c r="AE15" s="27">
        <v>560</v>
      </c>
      <c r="AF15" s="27">
        <v>581</v>
      </c>
      <c r="AG15" s="28">
        <v>600</v>
      </c>
      <c r="AH15" s="26">
        <v>260</v>
      </c>
      <c r="AI15" s="27">
        <v>267</v>
      </c>
      <c r="AJ15" s="27">
        <v>273</v>
      </c>
      <c r="AK15" s="27">
        <v>280</v>
      </c>
      <c r="AL15" s="28">
        <v>290</v>
      </c>
      <c r="AM15" s="26">
        <v>345</v>
      </c>
      <c r="AN15" s="27">
        <v>356</v>
      </c>
      <c r="AO15" s="27">
        <v>364</v>
      </c>
      <c r="AP15" s="27">
        <v>370</v>
      </c>
      <c r="AQ15" s="28">
        <v>380</v>
      </c>
      <c r="AR15" s="26">
        <v>485</v>
      </c>
      <c r="AS15" s="27">
        <v>490</v>
      </c>
      <c r="AT15" s="27">
        <v>495</v>
      </c>
      <c r="AU15" s="27">
        <v>500</v>
      </c>
      <c r="AV15" s="28">
        <v>505</v>
      </c>
      <c r="AW15" s="26">
        <v>546</v>
      </c>
      <c r="AX15" s="27">
        <v>551</v>
      </c>
      <c r="AY15" s="27">
        <v>556</v>
      </c>
      <c r="AZ15" s="27">
        <v>561</v>
      </c>
      <c r="BA15" s="28">
        <v>566</v>
      </c>
      <c r="BB15" s="26">
        <v>256</v>
      </c>
      <c r="BC15" s="27">
        <v>260</v>
      </c>
      <c r="BD15" s="28">
        <v>268</v>
      </c>
      <c r="BE15" s="26">
        <v>515</v>
      </c>
      <c r="BF15" s="27">
        <v>530</v>
      </c>
      <c r="BG15" s="28">
        <v>566</v>
      </c>
      <c r="BH15" s="26"/>
      <c r="BI15" s="27"/>
      <c r="BJ15" s="27"/>
      <c r="BK15" s="27"/>
      <c r="BL15" s="28"/>
      <c r="BM15" s="26">
        <v>40</v>
      </c>
      <c r="BN15" s="27">
        <v>40</v>
      </c>
      <c r="BO15" s="27">
        <v>40</v>
      </c>
      <c r="BP15" s="27">
        <v>40</v>
      </c>
      <c r="BQ15" s="28">
        <v>40</v>
      </c>
      <c r="BR15" s="26">
        <v>40</v>
      </c>
      <c r="BS15" s="27">
        <v>41</v>
      </c>
      <c r="BT15" s="27">
        <v>43</v>
      </c>
      <c r="BU15" s="27">
        <v>45</v>
      </c>
      <c r="BV15" s="28">
        <v>46</v>
      </c>
      <c r="BW15" s="26">
        <v>35</v>
      </c>
      <c r="BX15" s="27">
        <v>36</v>
      </c>
      <c r="BY15" s="27">
        <v>37</v>
      </c>
      <c r="BZ15" s="27">
        <v>38</v>
      </c>
      <c r="CA15" s="28">
        <v>39</v>
      </c>
      <c r="CB15" s="26"/>
      <c r="CC15" s="27"/>
      <c r="CD15" s="27"/>
      <c r="CE15" s="27"/>
      <c r="CF15" s="28"/>
      <c r="CG15" s="26"/>
      <c r="CH15" s="27"/>
      <c r="CI15" s="28"/>
      <c r="CJ15" s="26">
        <v>111</v>
      </c>
      <c r="CK15" s="27">
        <v>112</v>
      </c>
      <c r="CL15" s="28">
        <v>110</v>
      </c>
      <c r="CM15" s="26"/>
      <c r="CN15" s="27"/>
      <c r="CO15" s="28"/>
      <c r="CP15" s="26"/>
      <c r="CQ15" s="27"/>
      <c r="CR15" s="28"/>
      <c r="CS15" s="26">
        <v>2.27</v>
      </c>
      <c r="CT15" s="28">
        <v>2.27</v>
      </c>
      <c r="CU15" s="28">
        <v>2.27</v>
      </c>
      <c r="CV15" s="545"/>
      <c r="CW15" s="534"/>
      <c r="CX15" s="847"/>
      <c r="CY15" s="848"/>
      <c r="CZ15" s="849"/>
      <c r="DA15" s="847"/>
      <c r="DB15" s="848"/>
      <c r="DC15" s="849"/>
      <c r="DD15" s="847"/>
      <c r="DE15" s="848"/>
      <c r="DF15" s="849"/>
      <c r="DG15" s="847"/>
      <c r="DH15" s="848"/>
      <c r="DI15" s="849"/>
      <c r="DJ15" s="847"/>
      <c r="DK15" s="848"/>
      <c r="DL15" s="849"/>
      <c r="DM15" s="884">
        <f>38*0.46</f>
        <v>17.48</v>
      </c>
      <c r="DN15" s="885">
        <f t="shared" ref="DN15:DO15" si="3">38*0.46</f>
        <v>17.48</v>
      </c>
      <c r="DO15" s="886">
        <f t="shared" si="3"/>
        <v>17.48</v>
      </c>
      <c r="DP15" s="847"/>
      <c r="DQ15" s="848"/>
      <c r="DR15" s="849"/>
      <c r="DS15" s="238"/>
      <c r="DT15" s="238"/>
      <c r="DU15" s="581" t="s">
        <v>457</v>
      </c>
      <c r="DV15" s="157" t="s">
        <v>458</v>
      </c>
      <c r="DW15" s="164">
        <v>650</v>
      </c>
      <c r="DX15" s="136">
        <v>650</v>
      </c>
      <c r="DY15" s="136">
        <v>650</v>
      </c>
      <c r="DZ15" s="136">
        <v>650</v>
      </c>
      <c r="EA15" s="165">
        <v>650</v>
      </c>
      <c r="EB15" s="136">
        <v>375</v>
      </c>
      <c r="EC15" s="136">
        <v>375</v>
      </c>
      <c r="ED15" s="136">
        <v>375</v>
      </c>
      <c r="EE15" s="136">
        <v>375</v>
      </c>
      <c r="EF15" s="165">
        <v>375</v>
      </c>
      <c r="EG15" s="564"/>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row>
    <row r="16" spans="1:187" s="45" customFormat="1" x14ac:dyDescent="0.25">
      <c r="A16" s="238"/>
      <c r="B16" s="465" t="s">
        <v>459</v>
      </c>
      <c r="C16" s="34" t="s">
        <v>460</v>
      </c>
      <c r="D16" s="32"/>
      <c r="E16" s="33"/>
      <c r="F16" s="33"/>
      <c r="G16" s="33"/>
      <c r="H16" s="34"/>
      <c r="I16" s="32">
        <v>2</v>
      </c>
      <c r="J16" s="33">
        <v>2</v>
      </c>
      <c r="K16" s="33">
        <v>2</v>
      </c>
      <c r="L16" s="33">
        <v>2</v>
      </c>
      <c r="M16" s="34">
        <v>2</v>
      </c>
      <c r="N16" s="32">
        <v>1.85</v>
      </c>
      <c r="O16" s="33">
        <v>1.85</v>
      </c>
      <c r="P16" s="33">
        <v>1.85</v>
      </c>
      <c r="Q16" s="33">
        <v>1.85</v>
      </c>
      <c r="R16" s="34">
        <v>1.85</v>
      </c>
      <c r="S16" s="32">
        <v>1.9</v>
      </c>
      <c r="T16" s="33">
        <v>1.9</v>
      </c>
      <c r="U16" s="33">
        <v>1.9</v>
      </c>
      <c r="V16" s="33">
        <v>1.9</v>
      </c>
      <c r="W16" s="34">
        <v>1.9</v>
      </c>
      <c r="X16" s="32">
        <v>1.95</v>
      </c>
      <c r="Y16" s="33">
        <v>2</v>
      </c>
      <c r="Z16" s="33">
        <v>2</v>
      </c>
      <c r="AA16" s="33">
        <v>2.0499999999999998</v>
      </c>
      <c r="AB16" s="34">
        <v>2.0499999999999998</v>
      </c>
      <c r="AC16" s="32">
        <v>1.9</v>
      </c>
      <c r="AD16" s="33">
        <v>1.9</v>
      </c>
      <c r="AE16" s="33">
        <v>1.9</v>
      </c>
      <c r="AF16" s="33">
        <v>1.9</v>
      </c>
      <c r="AG16" s="34">
        <v>1.9</v>
      </c>
      <c r="AH16" s="32">
        <v>1.95</v>
      </c>
      <c r="AI16" s="33">
        <v>2</v>
      </c>
      <c r="AJ16" s="33">
        <v>2</v>
      </c>
      <c r="AK16" s="33">
        <v>2.0499999999999998</v>
      </c>
      <c r="AL16" s="34">
        <v>2.1</v>
      </c>
      <c r="AM16" s="32">
        <v>1.95</v>
      </c>
      <c r="AN16" s="33">
        <v>2</v>
      </c>
      <c r="AO16" s="33">
        <v>2</v>
      </c>
      <c r="AP16" s="33">
        <v>2.0499999999999998</v>
      </c>
      <c r="AQ16" s="34">
        <v>2.1</v>
      </c>
      <c r="AR16" s="32">
        <v>1.9</v>
      </c>
      <c r="AS16" s="33">
        <v>1.9</v>
      </c>
      <c r="AT16" s="33">
        <v>1.9</v>
      </c>
      <c r="AU16" s="33">
        <v>1.9</v>
      </c>
      <c r="AV16" s="34">
        <v>1.9</v>
      </c>
      <c r="AW16" s="32">
        <v>1.9</v>
      </c>
      <c r="AX16" s="33">
        <v>1.9</v>
      </c>
      <c r="AY16" s="33">
        <v>1.9</v>
      </c>
      <c r="AZ16" s="33">
        <v>1.9</v>
      </c>
      <c r="BA16" s="34">
        <v>1.9</v>
      </c>
      <c r="BB16" s="32">
        <v>1.9</v>
      </c>
      <c r="BC16" s="33">
        <v>1.9</v>
      </c>
      <c r="BD16" s="34">
        <v>1.95</v>
      </c>
      <c r="BE16" s="32">
        <v>1.8</v>
      </c>
      <c r="BF16" s="33">
        <v>1.85</v>
      </c>
      <c r="BG16" s="34">
        <v>1.9</v>
      </c>
      <c r="BH16" s="32"/>
      <c r="BI16" s="33"/>
      <c r="BJ16" s="33"/>
      <c r="BK16" s="33"/>
      <c r="BL16" s="34"/>
      <c r="BM16" s="32">
        <v>1.8</v>
      </c>
      <c r="BN16" s="33">
        <v>1.9474999999999998</v>
      </c>
      <c r="BO16" s="33">
        <v>2.0499999999999998</v>
      </c>
      <c r="BP16" s="33">
        <v>2.1524999999999999</v>
      </c>
      <c r="BQ16" s="34">
        <v>2.2999999999999998</v>
      </c>
      <c r="BR16" s="32">
        <v>2.25</v>
      </c>
      <c r="BS16" s="33">
        <v>2.25</v>
      </c>
      <c r="BT16" s="33">
        <v>2.25</v>
      </c>
      <c r="BU16" s="33">
        <v>2.25</v>
      </c>
      <c r="BV16" s="34">
        <v>2.25</v>
      </c>
      <c r="BW16" s="32">
        <v>1.9</v>
      </c>
      <c r="BX16" s="33">
        <v>1.9</v>
      </c>
      <c r="BY16" s="33">
        <v>1.9</v>
      </c>
      <c r="BZ16" s="33">
        <v>1.9</v>
      </c>
      <c r="CA16" s="34">
        <v>1.9</v>
      </c>
      <c r="CB16" s="32"/>
      <c r="CC16" s="33"/>
      <c r="CD16" s="33"/>
      <c r="CE16" s="33"/>
      <c r="CF16" s="34"/>
      <c r="CG16" s="32"/>
      <c r="CH16" s="33"/>
      <c r="CI16" s="34"/>
      <c r="CJ16" s="32">
        <v>1.1599999999999999</v>
      </c>
      <c r="CK16" s="33">
        <v>1.1599999999999999</v>
      </c>
      <c r="CL16" s="34">
        <v>1.1599999999999999</v>
      </c>
      <c r="CM16" s="32"/>
      <c r="CN16" s="33"/>
      <c r="CO16" s="34"/>
      <c r="CP16" s="32"/>
      <c r="CQ16" s="33"/>
      <c r="CR16" s="34"/>
      <c r="CS16" s="32">
        <v>2.0625</v>
      </c>
      <c r="CT16" s="34">
        <v>2.25</v>
      </c>
      <c r="CU16" s="34">
        <v>2.4375</v>
      </c>
      <c r="CV16" s="545"/>
      <c r="CW16" s="547"/>
      <c r="CX16" s="856"/>
      <c r="CY16" s="857"/>
      <c r="CZ16" s="858"/>
      <c r="DA16" s="856"/>
      <c r="DB16" s="857"/>
      <c r="DC16" s="858"/>
      <c r="DD16" s="856"/>
      <c r="DE16" s="857"/>
      <c r="DF16" s="858"/>
      <c r="DG16" s="856"/>
      <c r="DH16" s="857"/>
      <c r="DI16" s="858"/>
      <c r="DJ16" s="856"/>
      <c r="DK16" s="857"/>
      <c r="DL16" s="859" t="s">
        <v>461</v>
      </c>
      <c r="DM16" s="856"/>
      <c r="DN16" s="857"/>
      <c r="DO16" s="858"/>
      <c r="DP16" s="856"/>
      <c r="DQ16" s="857"/>
      <c r="DR16" s="858"/>
      <c r="DS16" s="238"/>
      <c r="DT16" s="238"/>
      <c r="DU16" s="581" t="s">
        <v>462</v>
      </c>
      <c r="DV16" s="157" t="s">
        <v>449</v>
      </c>
      <c r="DW16" s="166">
        <v>0.06</v>
      </c>
      <c r="DX16" s="167">
        <v>0.05</v>
      </c>
      <c r="DY16" s="167">
        <v>0.04</v>
      </c>
      <c r="DZ16" s="167">
        <v>0.03</v>
      </c>
      <c r="EA16" s="168">
        <v>0.03</v>
      </c>
      <c r="EB16" s="167">
        <v>0.05</v>
      </c>
      <c r="EC16" s="167">
        <v>0.04</v>
      </c>
      <c r="ED16" s="167">
        <v>0.03</v>
      </c>
      <c r="EE16" s="167">
        <v>1.4999999999999999E-2</v>
      </c>
      <c r="EF16" s="168">
        <v>0.02</v>
      </c>
      <c r="EG16" s="560"/>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row>
    <row r="17" spans="1:169" s="45" customFormat="1" x14ac:dyDescent="0.25">
      <c r="A17" s="238"/>
      <c r="B17" s="464" t="s">
        <v>463</v>
      </c>
      <c r="C17" s="13" t="s">
        <v>464</v>
      </c>
      <c r="D17" s="11">
        <v>1400</v>
      </c>
      <c r="E17" s="12">
        <v>1425</v>
      </c>
      <c r="F17" s="12">
        <v>1500</v>
      </c>
      <c r="G17" s="12">
        <v>1575</v>
      </c>
      <c r="H17" s="13">
        <v>1600</v>
      </c>
      <c r="I17" s="11">
        <v>540</v>
      </c>
      <c r="J17" s="12">
        <v>548</v>
      </c>
      <c r="K17" s="12">
        <v>560</v>
      </c>
      <c r="L17" s="12">
        <v>618</v>
      </c>
      <c r="M17" s="13">
        <v>680</v>
      </c>
      <c r="N17" s="11">
        <v>1073</v>
      </c>
      <c r="O17" s="12">
        <v>1093.72</v>
      </c>
      <c r="P17" s="12">
        <v>1105.375</v>
      </c>
      <c r="Q17" s="12">
        <v>1117.03</v>
      </c>
      <c r="R17" s="13">
        <v>1137.75</v>
      </c>
      <c r="S17" s="11">
        <v>1045</v>
      </c>
      <c r="T17" s="12">
        <v>1045</v>
      </c>
      <c r="U17" s="12">
        <v>1045</v>
      </c>
      <c r="V17" s="12">
        <v>1045</v>
      </c>
      <c r="W17" s="13">
        <v>1045</v>
      </c>
      <c r="X17" s="11">
        <v>692.25</v>
      </c>
      <c r="Y17" s="12">
        <v>726</v>
      </c>
      <c r="Z17" s="12">
        <v>742</v>
      </c>
      <c r="AA17" s="12">
        <v>789.24999999999989</v>
      </c>
      <c r="AB17" s="13">
        <v>809.74999999999989</v>
      </c>
      <c r="AC17" s="11">
        <v>978.5</v>
      </c>
      <c r="AD17" s="12">
        <v>1022.1999999999999</v>
      </c>
      <c r="AE17" s="12">
        <v>1064</v>
      </c>
      <c r="AF17" s="12">
        <v>1103.8999999999999</v>
      </c>
      <c r="AG17" s="13">
        <v>1140</v>
      </c>
      <c r="AH17" s="11">
        <v>507</v>
      </c>
      <c r="AI17" s="12">
        <v>534</v>
      </c>
      <c r="AJ17" s="12">
        <v>546</v>
      </c>
      <c r="AK17" s="12">
        <v>574</v>
      </c>
      <c r="AL17" s="13">
        <v>609</v>
      </c>
      <c r="AM17" s="11">
        <v>672.75</v>
      </c>
      <c r="AN17" s="12">
        <v>712</v>
      </c>
      <c r="AO17" s="12">
        <v>728</v>
      </c>
      <c r="AP17" s="12">
        <v>758.49999999999989</v>
      </c>
      <c r="AQ17" s="13">
        <v>798</v>
      </c>
      <c r="AR17" s="11">
        <v>921.5</v>
      </c>
      <c r="AS17" s="12">
        <v>931</v>
      </c>
      <c r="AT17" s="12">
        <v>940.5</v>
      </c>
      <c r="AU17" s="12">
        <v>950</v>
      </c>
      <c r="AV17" s="13">
        <v>959.5</v>
      </c>
      <c r="AW17" s="11">
        <v>1037.3999999999999</v>
      </c>
      <c r="AX17" s="12">
        <v>1046.8999999999999</v>
      </c>
      <c r="AY17" s="12">
        <v>1056.3999999999999</v>
      </c>
      <c r="AZ17" s="12">
        <v>1065.8999999999999</v>
      </c>
      <c r="BA17" s="13">
        <v>1075.3999999999999</v>
      </c>
      <c r="BB17" s="11">
        <v>486.4</v>
      </c>
      <c r="BC17" s="12">
        <v>494</v>
      </c>
      <c r="BD17" s="13">
        <v>522.6</v>
      </c>
      <c r="BE17" s="11">
        <v>927</v>
      </c>
      <c r="BF17" s="12">
        <v>980.5</v>
      </c>
      <c r="BG17" s="13">
        <v>1075.3999999999999</v>
      </c>
      <c r="BH17" s="11">
        <v>131</v>
      </c>
      <c r="BI17" s="12">
        <v>138</v>
      </c>
      <c r="BJ17" s="12">
        <v>145</v>
      </c>
      <c r="BK17" s="12">
        <v>152</v>
      </c>
      <c r="BL17" s="13">
        <v>160</v>
      </c>
      <c r="BM17" s="11">
        <v>72</v>
      </c>
      <c r="BN17" s="12">
        <v>77.899999999999991</v>
      </c>
      <c r="BO17" s="12">
        <v>82</v>
      </c>
      <c r="BP17" s="12">
        <v>86.1</v>
      </c>
      <c r="BQ17" s="13">
        <v>92</v>
      </c>
      <c r="BR17" s="11">
        <v>90</v>
      </c>
      <c r="BS17" s="12">
        <v>92.25</v>
      </c>
      <c r="BT17" s="12">
        <v>96.75</v>
      </c>
      <c r="BU17" s="12">
        <v>101.25</v>
      </c>
      <c r="BV17" s="13">
        <v>103.5</v>
      </c>
      <c r="BW17" s="11">
        <v>66.5</v>
      </c>
      <c r="BX17" s="12">
        <v>68.399999999999991</v>
      </c>
      <c r="BY17" s="12">
        <v>70.3</v>
      </c>
      <c r="BZ17" s="12">
        <v>72.2</v>
      </c>
      <c r="CA17" s="13">
        <v>74.099999999999994</v>
      </c>
      <c r="CB17" s="11">
        <v>35</v>
      </c>
      <c r="CC17" s="12">
        <v>41</v>
      </c>
      <c r="CD17" s="12">
        <v>53</v>
      </c>
      <c r="CE17" s="12">
        <v>65</v>
      </c>
      <c r="CF17" s="13">
        <v>70</v>
      </c>
      <c r="CG17" s="11">
        <v>55</v>
      </c>
      <c r="CH17" s="12">
        <v>55</v>
      </c>
      <c r="CI17" s="13">
        <v>55</v>
      </c>
      <c r="CJ17" s="11">
        <v>128.76</v>
      </c>
      <c r="CK17" s="12">
        <v>129.91999999999999</v>
      </c>
      <c r="CL17" s="13">
        <v>127.6</v>
      </c>
      <c r="CM17" s="11"/>
      <c r="CN17" s="12"/>
      <c r="CO17" s="13"/>
      <c r="CP17" s="32">
        <v>1.01</v>
      </c>
      <c r="CQ17" s="33">
        <v>1.01</v>
      </c>
      <c r="CR17" s="34">
        <v>1.01</v>
      </c>
      <c r="CS17" s="32">
        <v>4.6818749999999998</v>
      </c>
      <c r="CT17" s="34">
        <v>5.1074999999999999</v>
      </c>
      <c r="CU17" s="34">
        <v>5.5331250000000001</v>
      </c>
      <c r="CV17" s="545"/>
      <c r="CW17" s="534"/>
      <c r="CX17" s="884"/>
      <c r="CY17" s="885"/>
      <c r="CZ17" s="886"/>
      <c r="DA17" s="884">
        <v>1650</v>
      </c>
      <c r="DB17" s="885">
        <v>1650</v>
      </c>
      <c r="DC17" s="886">
        <v>1650</v>
      </c>
      <c r="DD17" s="884"/>
      <c r="DE17" s="885"/>
      <c r="DF17" s="886"/>
      <c r="DG17" s="884"/>
      <c r="DH17" s="885"/>
      <c r="DI17" s="886"/>
      <c r="DJ17" s="884"/>
      <c r="DK17" s="885"/>
      <c r="DL17" s="849" t="s">
        <v>465</v>
      </c>
      <c r="DM17" s="847">
        <f>4*DM15</f>
        <v>69.92</v>
      </c>
      <c r="DN17" s="848">
        <f t="shared" ref="DN17:DO17" si="4">4*DN15</f>
        <v>69.92</v>
      </c>
      <c r="DO17" s="849">
        <f t="shared" si="4"/>
        <v>69.92</v>
      </c>
      <c r="DP17" s="847">
        <v>64.400000000000006</v>
      </c>
      <c r="DQ17" s="848">
        <v>64.400000000000006</v>
      </c>
      <c r="DR17" s="849">
        <v>64.400000000000006</v>
      </c>
      <c r="DS17" s="238"/>
      <c r="DT17" s="238"/>
      <c r="DU17" s="581"/>
      <c r="DV17" s="157"/>
      <c r="DW17" s="144"/>
      <c r="DX17" s="132"/>
      <c r="DY17" s="132"/>
      <c r="DZ17" s="132"/>
      <c r="EA17" s="145"/>
      <c r="EB17" s="132"/>
      <c r="EC17" s="132"/>
      <c r="ED17" s="132"/>
      <c r="EE17" s="132"/>
      <c r="EF17" s="145"/>
      <c r="EG17" s="565"/>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row>
    <row r="18" spans="1:169" s="45" customFormat="1" ht="21" x14ac:dyDescent="0.25">
      <c r="A18" s="238"/>
      <c r="B18" s="464" t="s">
        <v>466</v>
      </c>
      <c r="C18" s="7" t="s">
        <v>467</v>
      </c>
      <c r="D18" s="11"/>
      <c r="E18" s="12"/>
      <c r="F18" s="12"/>
      <c r="G18" s="12"/>
      <c r="H18" s="13"/>
      <c r="I18" s="32">
        <v>0.85</v>
      </c>
      <c r="J18" s="33">
        <v>0.85</v>
      </c>
      <c r="K18" s="33">
        <v>0.87</v>
      </c>
      <c r="L18" s="33">
        <v>0.89</v>
      </c>
      <c r="M18" s="34">
        <v>0.85</v>
      </c>
      <c r="N18" s="11"/>
      <c r="O18" s="12"/>
      <c r="P18" s="12"/>
      <c r="Q18" s="12"/>
      <c r="R18" s="13"/>
      <c r="S18" s="11"/>
      <c r="T18" s="12"/>
      <c r="U18" s="12"/>
      <c r="V18" s="12"/>
      <c r="W18" s="13"/>
      <c r="X18" s="32">
        <v>0.82</v>
      </c>
      <c r="Y18" s="33">
        <v>0.83</v>
      </c>
      <c r="Z18" s="33">
        <v>0.85</v>
      </c>
      <c r="AA18" s="33">
        <v>0.87</v>
      </c>
      <c r="AB18" s="34">
        <v>0.88</v>
      </c>
      <c r="AC18" s="11"/>
      <c r="AD18" s="12"/>
      <c r="AE18" s="12"/>
      <c r="AF18" s="12"/>
      <c r="AG18" s="13"/>
      <c r="AH18" s="32">
        <v>0.82</v>
      </c>
      <c r="AI18" s="33">
        <v>0.84</v>
      </c>
      <c r="AJ18" s="33">
        <v>0.86</v>
      </c>
      <c r="AK18" s="33">
        <v>0.88</v>
      </c>
      <c r="AL18" s="34">
        <v>0.9</v>
      </c>
      <c r="AM18" s="32">
        <v>0.8</v>
      </c>
      <c r="AN18" s="33">
        <v>0.82</v>
      </c>
      <c r="AO18" s="33">
        <v>0.84</v>
      </c>
      <c r="AP18" s="33">
        <v>0.86</v>
      </c>
      <c r="AQ18" s="34">
        <v>0.88</v>
      </c>
      <c r="AR18" s="32"/>
      <c r="AS18" s="12"/>
      <c r="AT18" s="12"/>
      <c r="AU18" s="12"/>
      <c r="AV18" s="13"/>
      <c r="AW18" s="11"/>
      <c r="AX18" s="12"/>
      <c r="AY18" s="12"/>
      <c r="AZ18" s="12"/>
      <c r="BA18" s="13"/>
      <c r="BB18" s="32">
        <v>0.84</v>
      </c>
      <c r="BC18" s="33">
        <v>0.86</v>
      </c>
      <c r="BD18" s="34">
        <v>0.88</v>
      </c>
      <c r="BE18" s="11"/>
      <c r="BF18" s="12"/>
      <c r="BG18" s="13"/>
      <c r="BH18" s="11"/>
      <c r="BI18" s="12"/>
      <c r="BJ18" s="12"/>
      <c r="BK18" s="12"/>
      <c r="BL18" s="13"/>
      <c r="BM18" s="32">
        <v>1.35</v>
      </c>
      <c r="BN18" s="33">
        <v>1.47</v>
      </c>
      <c r="BO18" s="33">
        <v>1.66</v>
      </c>
      <c r="BP18" s="33">
        <v>1.84</v>
      </c>
      <c r="BQ18" s="34">
        <v>1.95</v>
      </c>
      <c r="BR18" s="11"/>
      <c r="BS18" s="12"/>
      <c r="BT18" s="12"/>
      <c r="BU18" s="12"/>
      <c r="BV18" s="13"/>
      <c r="BW18" s="32">
        <v>1.2</v>
      </c>
      <c r="BX18" s="33">
        <v>1.38</v>
      </c>
      <c r="BY18" s="33">
        <v>1.63</v>
      </c>
      <c r="BZ18" s="33">
        <v>1.79</v>
      </c>
      <c r="CA18" s="34">
        <v>1.85</v>
      </c>
      <c r="CB18" s="32">
        <v>0.9</v>
      </c>
      <c r="CC18" s="33">
        <v>0.96</v>
      </c>
      <c r="CD18" s="33">
        <v>1.1299999999999999</v>
      </c>
      <c r="CE18" s="33">
        <v>1.28</v>
      </c>
      <c r="CF18" s="34">
        <v>1.35</v>
      </c>
      <c r="CG18" s="11">
        <v>21.94</v>
      </c>
      <c r="CH18" s="12">
        <v>24.29</v>
      </c>
      <c r="CI18" s="13">
        <v>26.54</v>
      </c>
      <c r="CJ18" s="11"/>
      <c r="CK18" s="12"/>
      <c r="CL18" s="13"/>
      <c r="CM18" s="11"/>
      <c r="CN18" s="12"/>
      <c r="CO18" s="13"/>
      <c r="CP18" s="32">
        <v>23.5</v>
      </c>
      <c r="CQ18" s="33">
        <v>25</v>
      </c>
      <c r="CR18" s="34">
        <v>26.66</v>
      </c>
      <c r="CS18" s="11"/>
      <c r="CT18" s="13"/>
      <c r="CU18" s="13"/>
      <c r="CV18" s="545"/>
      <c r="CW18" s="534"/>
      <c r="CX18" s="847"/>
      <c r="CY18" s="848"/>
      <c r="CZ18" s="849"/>
      <c r="DA18" s="847"/>
      <c r="DB18" s="848"/>
      <c r="DC18" s="849"/>
      <c r="DD18" s="847"/>
      <c r="DE18" s="848"/>
      <c r="DF18" s="849"/>
      <c r="DG18" s="847"/>
      <c r="DH18" s="848"/>
      <c r="DI18" s="849"/>
      <c r="DJ18" s="847"/>
      <c r="DK18" s="848"/>
      <c r="DL18" s="849" t="s">
        <v>468</v>
      </c>
      <c r="DM18" s="905">
        <v>50</v>
      </c>
      <c r="DN18" s="906">
        <v>50</v>
      </c>
      <c r="DO18" s="907">
        <v>50</v>
      </c>
      <c r="DP18" s="905">
        <v>50</v>
      </c>
      <c r="DQ18" s="906">
        <v>50</v>
      </c>
      <c r="DR18" s="907">
        <v>50</v>
      </c>
      <c r="DS18" s="238"/>
      <c r="DT18" s="238"/>
      <c r="DU18" s="580"/>
      <c r="DV18" s="156"/>
      <c r="DW18" s="146"/>
      <c r="DX18" s="133"/>
      <c r="DY18" s="133"/>
      <c r="DZ18" s="133"/>
      <c r="EA18" s="147"/>
      <c r="EB18" s="133"/>
      <c r="EC18" s="133"/>
      <c r="ED18" s="133"/>
      <c r="EE18" s="133"/>
      <c r="EF18" s="147"/>
      <c r="EG18" s="560"/>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row>
    <row r="19" spans="1:169" s="45" customFormat="1" x14ac:dyDescent="0.25">
      <c r="A19" s="238"/>
      <c r="B19" s="464" t="s">
        <v>469</v>
      </c>
      <c r="C19" s="49" t="s">
        <v>449</v>
      </c>
      <c r="D19" s="50">
        <v>0.04</v>
      </c>
      <c r="E19" s="51">
        <v>0.03</v>
      </c>
      <c r="F19" s="51">
        <v>0.03</v>
      </c>
      <c r="G19" s="51">
        <v>0.03</v>
      </c>
      <c r="H19" s="52">
        <v>0.03</v>
      </c>
      <c r="I19" s="50"/>
      <c r="J19" s="51"/>
      <c r="K19" s="51"/>
      <c r="L19" s="51"/>
      <c r="M19" s="52"/>
      <c r="N19" s="50">
        <v>0.03</v>
      </c>
      <c r="O19" s="51">
        <v>0.03</v>
      </c>
      <c r="P19" s="51">
        <v>0.02</v>
      </c>
      <c r="Q19" s="51">
        <v>0.02</v>
      </c>
      <c r="R19" s="52">
        <v>0.02</v>
      </c>
      <c r="S19" s="53"/>
      <c r="T19" s="54"/>
      <c r="U19" s="54"/>
      <c r="V19" s="54"/>
      <c r="W19" s="55"/>
      <c r="X19" s="50"/>
      <c r="Y19" s="51"/>
      <c r="Z19" s="51"/>
      <c r="AA19" s="51"/>
      <c r="AB19" s="52"/>
      <c r="AC19" s="50"/>
      <c r="AD19" s="51"/>
      <c r="AE19" s="51"/>
      <c r="AF19" s="51"/>
      <c r="AG19" s="52"/>
      <c r="AH19" s="50"/>
      <c r="AI19" s="51"/>
      <c r="AJ19" s="51"/>
      <c r="AK19" s="51"/>
      <c r="AL19" s="52"/>
      <c r="AM19" s="50"/>
      <c r="AN19" s="51"/>
      <c r="AO19" s="51"/>
      <c r="AP19" s="51"/>
      <c r="AQ19" s="52"/>
      <c r="AR19" s="50"/>
      <c r="AS19" s="51"/>
      <c r="AT19" s="54"/>
      <c r="AU19" s="54"/>
      <c r="AV19" s="55"/>
      <c r="AW19" s="53"/>
      <c r="AX19" s="54"/>
      <c r="AY19" s="54"/>
      <c r="AZ19" s="51"/>
      <c r="BA19" s="52"/>
      <c r="BB19" s="50">
        <v>0.03</v>
      </c>
      <c r="BC19" s="51">
        <v>0.03</v>
      </c>
      <c r="BD19" s="52">
        <v>0.03</v>
      </c>
      <c r="BE19" s="50"/>
      <c r="BF19" s="51"/>
      <c r="BG19" s="52"/>
      <c r="BH19" s="50"/>
      <c r="BI19" s="51"/>
      <c r="BJ19" s="51"/>
      <c r="BK19" s="51"/>
      <c r="BL19" s="52"/>
      <c r="BM19" s="50">
        <v>0.05</v>
      </c>
      <c r="BN19" s="51">
        <v>0.05</v>
      </c>
      <c r="BO19" s="51">
        <v>0.05</v>
      </c>
      <c r="BP19" s="51">
        <v>0.05</v>
      </c>
      <c r="BQ19" s="52">
        <v>0.05</v>
      </c>
      <c r="BR19" s="50"/>
      <c r="BS19" s="51"/>
      <c r="BT19" s="51"/>
      <c r="BU19" s="51"/>
      <c r="BV19" s="52"/>
      <c r="BW19" s="50"/>
      <c r="BX19" s="51"/>
      <c r="BY19" s="51"/>
      <c r="BZ19" s="51"/>
      <c r="CA19" s="52"/>
      <c r="CB19" s="50">
        <v>0.08</v>
      </c>
      <c r="CC19" s="51">
        <v>0.08</v>
      </c>
      <c r="CD19" s="51">
        <v>0.08</v>
      </c>
      <c r="CE19" s="51">
        <v>0.08</v>
      </c>
      <c r="CF19" s="52">
        <v>0.08</v>
      </c>
      <c r="CG19" s="56">
        <v>0.06</v>
      </c>
      <c r="CH19" s="57">
        <v>5.1999999999999998E-2</v>
      </c>
      <c r="CI19" s="58">
        <v>4.7E-2</v>
      </c>
      <c r="CJ19" s="50"/>
      <c r="CK19" s="51"/>
      <c r="CL19" s="52"/>
      <c r="CM19" s="50"/>
      <c r="CN19" s="51"/>
      <c r="CO19" s="52"/>
      <c r="CP19" s="50">
        <v>0.06</v>
      </c>
      <c r="CQ19" s="57">
        <v>5.5E-2</v>
      </c>
      <c r="CR19" s="52">
        <v>0.04</v>
      </c>
      <c r="CS19" s="50">
        <v>0.1</v>
      </c>
      <c r="CT19" s="52">
        <v>0.1</v>
      </c>
      <c r="CU19" s="52">
        <v>0.1</v>
      </c>
      <c r="CV19" s="545"/>
      <c r="CW19" s="534"/>
      <c r="CX19" s="847"/>
      <c r="CY19" s="848"/>
      <c r="CZ19" s="849"/>
      <c r="DA19" s="847"/>
      <c r="DB19" s="848"/>
      <c r="DC19" s="849"/>
      <c r="DD19" s="847"/>
      <c r="DE19" s="848"/>
      <c r="DF19" s="849"/>
      <c r="DG19" s="847"/>
      <c r="DH19" s="848"/>
      <c r="DI19" s="849"/>
      <c r="DJ19" s="847"/>
      <c r="DK19" s="848"/>
      <c r="DL19" s="849" t="s">
        <v>470</v>
      </c>
      <c r="DM19" s="905">
        <v>60</v>
      </c>
      <c r="DN19" s="906">
        <v>60</v>
      </c>
      <c r="DO19" s="907">
        <v>60</v>
      </c>
      <c r="DP19" s="905">
        <v>30</v>
      </c>
      <c r="DQ19" s="906">
        <v>30</v>
      </c>
      <c r="DR19" s="907">
        <v>30</v>
      </c>
      <c r="DS19" s="238"/>
      <c r="DT19" s="238"/>
      <c r="DU19" s="583" t="s">
        <v>471</v>
      </c>
      <c r="DV19" s="147" t="s">
        <v>472</v>
      </c>
      <c r="DW19" s="144">
        <v>2062.5</v>
      </c>
      <c r="DX19" s="132">
        <v>2200</v>
      </c>
      <c r="DY19" s="132">
        <v>2240</v>
      </c>
      <c r="DZ19" s="132">
        <v>2280</v>
      </c>
      <c r="EA19" s="145">
        <v>2465</v>
      </c>
      <c r="EB19" s="132">
        <v>1890</v>
      </c>
      <c r="EC19" s="132">
        <v>1934.75</v>
      </c>
      <c r="ED19" s="132">
        <v>1962</v>
      </c>
      <c r="EE19" s="132">
        <v>1989.25</v>
      </c>
      <c r="EF19" s="145">
        <v>2035</v>
      </c>
      <c r="EG19" s="560"/>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row>
    <row r="20" spans="1:169" s="45" customFormat="1" x14ac:dyDescent="0.25">
      <c r="A20" s="238"/>
      <c r="B20" s="464" t="s">
        <v>473</v>
      </c>
      <c r="C20" s="49" t="s">
        <v>464</v>
      </c>
      <c r="D20" s="59">
        <v>300</v>
      </c>
      <c r="E20" s="60">
        <v>300</v>
      </c>
      <c r="F20" s="60">
        <v>300</v>
      </c>
      <c r="G20" s="60">
        <v>300</v>
      </c>
      <c r="H20" s="61">
        <v>300</v>
      </c>
      <c r="I20" s="59"/>
      <c r="J20" s="60"/>
      <c r="K20" s="60"/>
      <c r="L20" s="60"/>
      <c r="M20" s="61"/>
      <c r="N20" s="59"/>
      <c r="O20" s="60"/>
      <c r="P20" s="60"/>
      <c r="Q20" s="60"/>
      <c r="R20" s="61"/>
      <c r="S20" s="62"/>
      <c r="T20" s="63"/>
      <c r="U20" s="63"/>
      <c r="V20" s="63"/>
      <c r="W20" s="64"/>
      <c r="X20" s="59"/>
      <c r="Y20" s="60"/>
      <c r="Z20" s="60"/>
      <c r="AA20" s="60"/>
      <c r="AB20" s="61"/>
      <c r="AC20" s="59"/>
      <c r="AD20" s="60"/>
      <c r="AE20" s="60"/>
      <c r="AF20" s="60"/>
      <c r="AG20" s="61"/>
      <c r="AH20" s="59"/>
      <c r="AI20" s="60"/>
      <c r="AJ20" s="60"/>
      <c r="AK20" s="60"/>
      <c r="AL20" s="61"/>
      <c r="AM20" s="59"/>
      <c r="AN20" s="60"/>
      <c r="AO20" s="60"/>
      <c r="AP20" s="60"/>
      <c r="AQ20" s="61"/>
      <c r="AR20" s="59"/>
      <c r="AS20" s="60"/>
      <c r="AT20" s="63"/>
      <c r="AU20" s="63"/>
      <c r="AV20" s="64"/>
      <c r="AW20" s="62"/>
      <c r="AX20" s="63"/>
      <c r="AY20" s="63"/>
      <c r="AZ20" s="60"/>
      <c r="BA20" s="61"/>
      <c r="BB20" s="59"/>
      <c r="BC20" s="60"/>
      <c r="BD20" s="61"/>
      <c r="BE20" s="59"/>
      <c r="BF20" s="60"/>
      <c r="BG20" s="61"/>
      <c r="BH20" s="59">
        <v>75</v>
      </c>
      <c r="BI20" s="60">
        <v>78</v>
      </c>
      <c r="BJ20" s="60">
        <v>78</v>
      </c>
      <c r="BK20" s="60">
        <v>78</v>
      </c>
      <c r="BL20" s="61">
        <v>80</v>
      </c>
      <c r="BM20" s="59"/>
      <c r="BN20" s="60"/>
      <c r="BO20" s="60"/>
      <c r="BP20" s="60"/>
      <c r="BQ20" s="61"/>
      <c r="BR20" s="59"/>
      <c r="BS20" s="60"/>
      <c r="BT20" s="60"/>
      <c r="BU20" s="60"/>
      <c r="BV20" s="61"/>
      <c r="BW20" s="59"/>
      <c r="BX20" s="60"/>
      <c r="BY20" s="60"/>
      <c r="BZ20" s="60"/>
      <c r="CA20" s="61"/>
      <c r="CB20" s="59"/>
      <c r="CC20" s="60"/>
      <c r="CD20" s="60"/>
      <c r="CE20" s="60"/>
      <c r="CF20" s="61"/>
      <c r="CG20" s="59"/>
      <c r="CH20" s="60"/>
      <c r="CI20" s="61"/>
      <c r="CJ20" s="59"/>
      <c r="CK20" s="60"/>
      <c r="CL20" s="61"/>
      <c r="CM20" s="59"/>
      <c r="CN20" s="60"/>
      <c r="CO20" s="61"/>
      <c r="CP20" s="59"/>
      <c r="CQ20" s="60"/>
      <c r="CR20" s="61"/>
      <c r="CS20" s="59"/>
      <c r="CT20" s="61"/>
      <c r="CU20" s="61"/>
      <c r="CV20" s="545"/>
      <c r="CW20" s="534"/>
      <c r="CX20" s="847"/>
      <c r="CY20" s="848"/>
      <c r="CZ20" s="849"/>
      <c r="DA20" s="847"/>
      <c r="DB20" s="848"/>
      <c r="DC20" s="849"/>
      <c r="DD20" s="847"/>
      <c r="DE20" s="848"/>
      <c r="DF20" s="849"/>
      <c r="DG20" s="847"/>
      <c r="DH20" s="848"/>
      <c r="DI20" s="849"/>
      <c r="DJ20" s="847"/>
      <c r="DK20" s="848"/>
      <c r="DL20" s="849"/>
      <c r="DM20" s="847"/>
      <c r="DN20" s="848"/>
      <c r="DO20" s="849"/>
      <c r="DP20" s="847"/>
      <c r="DQ20" s="848"/>
      <c r="DR20" s="849"/>
      <c r="DS20" s="238"/>
      <c r="DT20" s="238"/>
      <c r="DU20" s="583" t="s">
        <v>474</v>
      </c>
      <c r="DV20" s="147" t="s">
        <v>472</v>
      </c>
      <c r="DW20" s="144">
        <v>113.8452380952381</v>
      </c>
      <c r="DX20" s="132">
        <v>116.6219512195122</v>
      </c>
      <c r="DY20" s="132">
        <v>120.45</v>
      </c>
      <c r="DZ20" s="132">
        <v>127.03896103896103</v>
      </c>
      <c r="EA20" s="145">
        <v>130.42666666666668</v>
      </c>
      <c r="EB20" s="132">
        <v>66.768292682926827</v>
      </c>
      <c r="EC20" s="132">
        <v>68.4375</v>
      </c>
      <c r="ED20" s="132">
        <v>72.05194805194806</v>
      </c>
      <c r="EE20" s="132">
        <v>75.959459459459467</v>
      </c>
      <c r="EF20" s="145">
        <v>77</v>
      </c>
      <c r="EG20" s="566"/>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row>
    <row r="21" spans="1:169" s="45" customFormat="1" x14ac:dyDescent="0.25">
      <c r="A21" s="238"/>
      <c r="B21" s="46" t="s">
        <v>475</v>
      </c>
      <c r="C21" s="19" t="s">
        <v>476</v>
      </c>
      <c r="D21" s="29"/>
      <c r="E21" s="18"/>
      <c r="F21" s="18"/>
      <c r="G21" s="18"/>
      <c r="H21" s="19"/>
      <c r="I21" s="29"/>
      <c r="J21" s="18"/>
      <c r="K21" s="18"/>
      <c r="L21" s="18"/>
      <c r="M21" s="19"/>
      <c r="N21" s="29"/>
      <c r="O21" s="18"/>
      <c r="P21" s="18"/>
      <c r="Q21" s="18"/>
      <c r="R21" s="19"/>
      <c r="S21" s="29">
        <v>400</v>
      </c>
      <c r="T21" s="18">
        <v>400</v>
      </c>
      <c r="U21" s="18">
        <v>400</v>
      </c>
      <c r="V21" s="18">
        <v>400</v>
      </c>
      <c r="W21" s="19">
        <v>400</v>
      </c>
      <c r="X21" s="29"/>
      <c r="Y21" s="18"/>
      <c r="Z21" s="18"/>
      <c r="AA21" s="18"/>
      <c r="AB21" s="19"/>
      <c r="AC21" s="29"/>
      <c r="AD21" s="18"/>
      <c r="AE21" s="18"/>
      <c r="AF21" s="18"/>
      <c r="AG21" s="19"/>
      <c r="AH21" s="29"/>
      <c r="AI21" s="18"/>
      <c r="AJ21" s="18"/>
      <c r="AK21" s="18"/>
      <c r="AL21" s="19"/>
      <c r="AM21" s="29"/>
      <c r="AN21" s="18"/>
      <c r="AO21" s="18"/>
      <c r="AP21" s="18"/>
      <c r="AQ21" s="19"/>
      <c r="AR21" s="29">
        <v>345</v>
      </c>
      <c r="AS21" s="18">
        <v>345</v>
      </c>
      <c r="AT21" s="27">
        <v>345</v>
      </c>
      <c r="AU21" s="18">
        <v>345</v>
      </c>
      <c r="AV21" s="19">
        <v>345</v>
      </c>
      <c r="AW21" s="29">
        <v>355</v>
      </c>
      <c r="AX21" s="18">
        <v>355</v>
      </c>
      <c r="AY21" s="27">
        <v>355</v>
      </c>
      <c r="AZ21" s="18">
        <v>355</v>
      </c>
      <c r="BA21" s="19">
        <v>355</v>
      </c>
      <c r="BB21" s="29"/>
      <c r="BC21" s="18"/>
      <c r="BD21" s="19"/>
      <c r="BE21" s="29">
        <v>260</v>
      </c>
      <c r="BF21" s="18">
        <v>260</v>
      </c>
      <c r="BG21" s="19">
        <v>260</v>
      </c>
      <c r="BH21" s="29"/>
      <c r="BI21" s="18"/>
      <c r="BJ21" s="18"/>
      <c r="BK21" s="18"/>
      <c r="BL21" s="19"/>
      <c r="BM21" s="29"/>
      <c r="BN21" s="18"/>
      <c r="BO21" s="18"/>
      <c r="BP21" s="18"/>
      <c r="BQ21" s="19"/>
      <c r="BR21" s="29"/>
      <c r="BS21" s="18"/>
      <c r="BT21" s="18"/>
      <c r="BU21" s="18"/>
      <c r="BV21" s="19"/>
      <c r="BW21" s="29"/>
      <c r="BX21" s="18"/>
      <c r="BY21" s="18"/>
      <c r="BZ21" s="18"/>
      <c r="CA21" s="19"/>
      <c r="CB21" s="29"/>
      <c r="CC21" s="18"/>
      <c r="CD21" s="18"/>
      <c r="CE21" s="18"/>
      <c r="CF21" s="19"/>
      <c r="CG21" s="29"/>
      <c r="CH21" s="18"/>
      <c r="CI21" s="19"/>
      <c r="CJ21" s="29">
        <v>35</v>
      </c>
      <c r="CK21" s="18">
        <v>35</v>
      </c>
      <c r="CL21" s="19">
        <v>35</v>
      </c>
      <c r="CM21" s="29"/>
      <c r="CN21" s="18"/>
      <c r="CO21" s="19"/>
      <c r="CP21" s="29"/>
      <c r="CQ21" s="18"/>
      <c r="CR21" s="19"/>
      <c r="CS21" s="29"/>
      <c r="CT21" s="19"/>
      <c r="CU21" s="19"/>
      <c r="CV21" s="545"/>
      <c r="CW21" s="534"/>
      <c r="CX21" s="847"/>
      <c r="CY21" s="848"/>
      <c r="CZ21" s="849"/>
      <c r="DA21" s="847"/>
      <c r="DB21" s="848"/>
      <c r="DC21" s="849"/>
      <c r="DD21" s="847"/>
      <c r="DE21" s="848"/>
      <c r="DF21" s="849"/>
      <c r="DG21" s="847"/>
      <c r="DH21" s="848"/>
      <c r="DI21" s="849"/>
      <c r="DJ21" s="847"/>
      <c r="DK21" s="848"/>
      <c r="DL21" s="859" t="s">
        <v>477</v>
      </c>
      <c r="DM21" s="847"/>
      <c r="DN21" s="848"/>
      <c r="DO21" s="849"/>
      <c r="DP21" s="847"/>
      <c r="DQ21" s="848"/>
      <c r="DR21" s="849"/>
      <c r="DS21" s="238"/>
      <c r="DT21" s="238"/>
      <c r="DU21" s="583" t="s">
        <v>473</v>
      </c>
      <c r="DV21" s="147" t="s">
        <v>472</v>
      </c>
      <c r="DW21" s="148">
        <v>195.51999999999998</v>
      </c>
      <c r="DX21" s="134">
        <v>185.25</v>
      </c>
      <c r="DY21" s="134">
        <v>156</v>
      </c>
      <c r="DZ21" s="134">
        <v>126.1</v>
      </c>
      <c r="EA21" s="149">
        <v>126.1</v>
      </c>
      <c r="EB21" s="134">
        <v>114</v>
      </c>
      <c r="EC21" s="134">
        <v>108</v>
      </c>
      <c r="ED21" s="134">
        <v>90.9375</v>
      </c>
      <c r="EE21" s="134">
        <v>73.875</v>
      </c>
      <c r="EF21" s="149">
        <v>73.5</v>
      </c>
      <c r="EG21" s="566"/>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row>
    <row r="22" spans="1:169" s="45" customFormat="1" ht="11" thickBot="1" x14ac:dyDescent="0.3">
      <c r="A22" s="238"/>
      <c r="B22" s="46" t="s">
        <v>478</v>
      </c>
      <c r="C22" s="19" t="s">
        <v>458</v>
      </c>
      <c r="D22" s="29">
        <v>170</v>
      </c>
      <c r="E22" s="18">
        <v>170</v>
      </c>
      <c r="F22" s="18">
        <v>170</v>
      </c>
      <c r="G22" s="18">
        <v>170</v>
      </c>
      <c r="H22" s="19">
        <v>170</v>
      </c>
      <c r="I22" s="29">
        <v>170</v>
      </c>
      <c r="J22" s="18">
        <v>170</v>
      </c>
      <c r="K22" s="18">
        <v>170</v>
      </c>
      <c r="L22" s="18">
        <v>170</v>
      </c>
      <c r="M22" s="19">
        <v>170</v>
      </c>
      <c r="N22" s="29">
        <v>756</v>
      </c>
      <c r="O22" s="18">
        <v>756</v>
      </c>
      <c r="P22" s="18">
        <v>756</v>
      </c>
      <c r="Q22" s="18">
        <v>756</v>
      </c>
      <c r="R22" s="19">
        <v>756</v>
      </c>
      <c r="S22" s="29">
        <v>760</v>
      </c>
      <c r="T22" s="18">
        <v>760</v>
      </c>
      <c r="U22" s="18">
        <v>760</v>
      </c>
      <c r="V22" s="18">
        <v>760</v>
      </c>
      <c r="W22" s="19">
        <v>760</v>
      </c>
      <c r="X22" s="29">
        <v>170</v>
      </c>
      <c r="Y22" s="18">
        <v>170</v>
      </c>
      <c r="Z22" s="18">
        <v>170</v>
      </c>
      <c r="AA22" s="18">
        <v>170</v>
      </c>
      <c r="AB22" s="19">
        <v>170</v>
      </c>
      <c r="AC22" s="29">
        <v>741</v>
      </c>
      <c r="AD22" s="18">
        <v>741</v>
      </c>
      <c r="AE22" s="18">
        <v>741</v>
      </c>
      <c r="AF22" s="18">
        <v>741</v>
      </c>
      <c r="AG22" s="19">
        <v>741</v>
      </c>
      <c r="AH22" s="29">
        <v>170</v>
      </c>
      <c r="AI22" s="18">
        <v>170</v>
      </c>
      <c r="AJ22" s="18">
        <v>170</v>
      </c>
      <c r="AK22" s="18">
        <v>170</v>
      </c>
      <c r="AL22" s="19">
        <v>170</v>
      </c>
      <c r="AM22" s="29">
        <v>170</v>
      </c>
      <c r="AN22" s="18">
        <v>170</v>
      </c>
      <c r="AO22" s="18">
        <v>170</v>
      </c>
      <c r="AP22" s="18">
        <v>170</v>
      </c>
      <c r="AQ22" s="19">
        <v>170</v>
      </c>
      <c r="AR22" s="20">
        <v>668.61</v>
      </c>
      <c r="AS22" s="21">
        <v>665.33249999999998</v>
      </c>
      <c r="AT22" s="21">
        <v>662.05499999999995</v>
      </c>
      <c r="AU22" s="21">
        <v>662.05499999999995</v>
      </c>
      <c r="AV22" s="22">
        <v>662.05499999999995</v>
      </c>
      <c r="AW22" s="20">
        <v>687.99</v>
      </c>
      <c r="AX22" s="21">
        <v>684.61749999999995</v>
      </c>
      <c r="AY22" s="21">
        <v>681.245</v>
      </c>
      <c r="AZ22" s="21">
        <v>681.245</v>
      </c>
      <c r="BA22" s="22">
        <v>681.245</v>
      </c>
      <c r="BB22" s="29"/>
      <c r="BC22" s="18"/>
      <c r="BD22" s="19"/>
      <c r="BE22" s="29">
        <v>494</v>
      </c>
      <c r="BF22" s="21">
        <v>494</v>
      </c>
      <c r="BG22" s="19">
        <v>494</v>
      </c>
      <c r="BH22" s="29">
        <v>82</v>
      </c>
      <c r="BI22" s="18">
        <v>86.1</v>
      </c>
      <c r="BJ22" s="18">
        <v>86.1</v>
      </c>
      <c r="BK22" s="18">
        <v>86.1</v>
      </c>
      <c r="BL22" s="19">
        <v>92</v>
      </c>
      <c r="BM22" s="29"/>
      <c r="BN22" s="18"/>
      <c r="BO22" s="18"/>
      <c r="BP22" s="18"/>
      <c r="BQ22" s="19"/>
      <c r="BR22" s="29">
        <v>55</v>
      </c>
      <c r="BS22" s="18">
        <v>55</v>
      </c>
      <c r="BT22" s="18">
        <v>55</v>
      </c>
      <c r="BU22" s="18">
        <v>55</v>
      </c>
      <c r="BV22" s="19">
        <v>55</v>
      </c>
      <c r="BW22" s="29"/>
      <c r="BX22" s="18"/>
      <c r="BY22" s="18"/>
      <c r="BZ22" s="18"/>
      <c r="CA22" s="19"/>
      <c r="CB22" s="29"/>
      <c r="CC22" s="18"/>
      <c r="CD22" s="18"/>
      <c r="CE22" s="18"/>
      <c r="CF22" s="19"/>
      <c r="CG22" s="29"/>
      <c r="CH22" s="18"/>
      <c r="CI22" s="19"/>
      <c r="CJ22" s="20">
        <v>55</v>
      </c>
      <c r="CK22" s="21">
        <v>55</v>
      </c>
      <c r="CL22" s="22">
        <v>55</v>
      </c>
      <c r="CM22" s="29"/>
      <c r="CN22" s="18"/>
      <c r="CO22" s="19"/>
      <c r="CP22" s="29"/>
      <c r="CQ22" s="18"/>
      <c r="CR22" s="19"/>
      <c r="CS22" s="29">
        <v>0.7</v>
      </c>
      <c r="CT22" s="19">
        <v>0.7</v>
      </c>
      <c r="CU22" s="19">
        <v>0.7</v>
      </c>
      <c r="CV22" s="545"/>
      <c r="CW22" s="534"/>
      <c r="CX22" s="881">
        <v>1500</v>
      </c>
      <c r="CY22" s="882">
        <v>1500</v>
      </c>
      <c r="CZ22" s="883">
        <v>1500</v>
      </c>
      <c r="DA22" s="884">
        <v>250</v>
      </c>
      <c r="DB22" s="885">
        <v>250</v>
      </c>
      <c r="DC22" s="886">
        <v>250</v>
      </c>
      <c r="DD22" s="884"/>
      <c r="DE22" s="885"/>
      <c r="DF22" s="886"/>
      <c r="DG22" s="884"/>
      <c r="DH22" s="885"/>
      <c r="DI22" s="886"/>
      <c r="DJ22" s="884">
        <v>579</v>
      </c>
      <c r="DK22" s="885">
        <v>579</v>
      </c>
      <c r="DL22" s="849" t="s">
        <v>465</v>
      </c>
      <c r="DM22" s="884">
        <v>1.1000000000000001</v>
      </c>
      <c r="DN22" s="885">
        <v>1.18</v>
      </c>
      <c r="DO22" s="886">
        <v>1.25</v>
      </c>
      <c r="DP22" s="884">
        <v>0.8</v>
      </c>
      <c r="DQ22" s="885">
        <v>0.82</v>
      </c>
      <c r="DR22" s="886">
        <v>0.85</v>
      </c>
      <c r="DS22" s="238"/>
      <c r="DT22" s="238"/>
      <c r="DU22" s="584" t="s">
        <v>479</v>
      </c>
      <c r="DV22" s="147" t="s">
        <v>472</v>
      </c>
      <c r="DW22" s="148">
        <v>-485.3</v>
      </c>
      <c r="DX22" s="134">
        <v>-455.25</v>
      </c>
      <c r="DY22" s="134">
        <v>-379.62222222222221</v>
      </c>
      <c r="DZ22" s="134">
        <v>-304.38297872340428</v>
      </c>
      <c r="EA22" s="149">
        <v>-304.38297872340428</v>
      </c>
      <c r="EB22" s="134">
        <v>-373.25</v>
      </c>
      <c r="EC22" s="134">
        <v>-350.2</v>
      </c>
      <c r="ED22" s="134">
        <v>-292.07777777777778</v>
      </c>
      <c r="EE22" s="134">
        <v>-234.31914893617022</v>
      </c>
      <c r="EF22" s="149">
        <v>-234.34042553191489</v>
      </c>
      <c r="EG22" s="534"/>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row>
    <row r="23" spans="1:169" s="45" customFormat="1" x14ac:dyDescent="0.25">
      <c r="A23" s="238"/>
      <c r="B23" s="46" t="s">
        <v>480</v>
      </c>
      <c r="C23" s="19" t="s">
        <v>449</v>
      </c>
      <c r="D23" s="65">
        <v>0.05</v>
      </c>
      <c r="E23" s="66">
        <v>0.05</v>
      </c>
      <c r="F23" s="66">
        <v>0.05</v>
      </c>
      <c r="G23" s="66">
        <v>0.05</v>
      </c>
      <c r="H23" s="67">
        <v>0.05</v>
      </c>
      <c r="I23" s="65">
        <v>0.03</v>
      </c>
      <c r="J23" s="66">
        <v>0.03</v>
      </c>
      <c r="K23" s="66">
        <v>0.03</v>
      </c>
      <c r="L23" s="66">
        <v>0.03</v>
      </c>
      <c r="M23" s="67">
        <v>0.03</v>
      </c>
      <c r="N23" s="65">
        <v>0.03</v>
      </c>
      <c r="O23" s="66">
        <v>0.03</v>
      </c>
      <c r="P23" s="66">
        <v>0.02</v>
      </c>
      <c r="Q23" s="66">
        <v>0.01</v>
      </c>
      <c r="R23" s="67">
        <v>0.01</v>
      </c>
      <c r="S23" s="65">
        <v>0.03</v>
      </c>
      <c r="T23" s="66">
        <v>2.5000000000000001E-2</v>
      </c>
      <c r="U23" s="66">
        <v>0.02</v>
      </c>
      <c r="V23" s="66">
        <v>1.4999999999999999E-2</v>
      </c>
      <c r="W23" s="67">
        <v>0.01</v>
      </c>
      <c r="X23" s="65">
        <v>0.04</v>
      </c>
      <c r="Y23" s="66">
        <v>0.04</v>
      </c>
      <c r="Z23" s="66">
        <v>0.04</v>
      </c>
      <c r="AA23" s="66">
        <v>0.04</v>
      </c>
      <c r="AB23" s="67">
        <v>0.04</v>
      </c>
      <c r="AC23" s="65">
        <v>0.03</v>
      </c>
      <c r="AD23" s="66">
        <v>0.03</v>
      </c>
      <c r="AE23" s="66">
        <v>0.02</v>
      </c>
      <c r="AF23" s="66">
        <v>0.01</v>
      </c>
      <c r="AG23" s="67">
        <v>0.01</v>
      </c>
      <c r="AH23" s="65">
        <v>0.03</v>
      </c>
      <c r="AI23" s="66">
        <v>0.03</v>
      </c>
      <c r="AJ23" s="66">
        <v>0.03</v>
      </c>
      <c r="AK23" s="66">
        <v>0.03</v>
      </c>
      <c r="AL23" s="67">
        <v>0.03</v>
      </c>
      <c r="AM23" s="65">
        <v>0.04</v>
      </c>
      <c r="AN23" s="66">
        <v>0.04</v>
      </c>
      <c r="AO23" s="66">
        <v>0.04</v>
      </c>
      <c r="AP23" s="66">
        <v>0.04</v>
      </c>
      <c r="AQ23" s="67">
        <v>0.04</v>
      </c>
      <c r="AR23" s="65">
        <v>0.02</v>
      </c>
      <c r="AS23" s="66">
        <v>1.4999999999999999E-2</v>
      </c>
      <c r="AT23" s="66">
        <v>0.01</v>
      </c>
      <c r="AU23" s="66">
        <v>0.01</v>
      </c>
      <c r="AV23" s="67">
        <v>0.01</v>
      </c>
      <c r="AW23" s="65">
        <v>0.02</v>
      </c>
      <c r="AX23" s="66">
        <v>1.4999999999999999E-2</v>
      </c>
      <c r="AY23" s="66">
        <v>0.01</v>
      </c>
      <c r="AZ23" s="66">
        <v>0.01</v>
      </c>
      <c r="BA23" s="67">
        <v>0.01</v>
      </c>
      <c r="BB23" s="65"/>
      <c r="BC23" s="66"/>
      <c r="BD23" s="67"/>
      <c r="BE23" s="68">
        <v>0.03</v>
      </c>
      <c r="BF23" s="66">
        <v>0.02</v>
      </c>
      <c r="BG23" s="31">
        <v>0.02</v>
      </c>
      <c r="BH23" s="68">
        <v>0.04</v>
      </c>
      <c r="BI23" s="66">
        <v>0.04</v>
      </c>
      <c r="BJ23" s="66">
        <v>0.04</v>
      </c>
      <c r="BK23" s="66">
        <v>0.04</v>
      </c>
      <c r="BL23" s="67">
        <v>0.04</v>
      </c>
      <c r="BM23" s="65">
        <v>0.14000000000000001</v>
      </c>
      <c r="BN23" s="66">
        <v>0.13</v>
      </c>
      <c r="BO23" s="66">
        <v>0.1</v>
      </c>
      <c r="BP23" s="66">
        <v>0.09</v>
      </c>
      <c r="BQ23" s="67">
        <v>0.08</v>
      </c>
      <c r="BR23" s="65">
        <v>0.04</v>
      </c>
      <c r="BS23" s="66">
        <v>0.04</v>
      </c>
      <c r="BT23" s="66">
        <v>0.04</v>
      </c>
      <c r="BU23" s="66">
        <v>0.04</v>
      </c>
      <c r="BV23" s="67">
        <v>0.04</v>
      </c>
      <c r="BW23" s="65">
        <v>0.13</v>
      </c>
      <c r="BX23" s="66">
        <v>0.13</v>
      </c>
      <c r="BY23" s="66">
        <v>0.11</v>
      </c>
      <c r="BZ23" s="66">
        <v>0.12</v>
      </c>
      <c r="CA23" s="67">
        <v>0.11</v>
      </c>
      <c r="CB23" s="65">
        <v>7.0000000000000007E-2</v>
      </c>
      <c r="CC23" s="66">
        <v>7.0000000000000007E-2</v>
      </c>
      <c r="CD23" s="66">
        <v>7.0000000000000007E-2</v>
      </c>
      <c r="CE23" s="66">
        <v>7.0000000000000007E-2</v>
      </c>
      <c r="CF23" s="67">
        <v>7.0000000000000007E-2</v>
      </c>
      <c r="CG23" s="65"/>
      <c r="CH23" s="66"/>
      <c r="CI23" s="67"/>
      <c r="CJ23" s="69">
        <v>3.2000000000000001E-2</v>
      </c>
      <c r="CK23" s="70">
        <v>0.03</v>
      </c>
      <c r="CL23" s="71">
        <v>2.8000000000000001E-2</v>
      </c>
      <c r="CM23" s="65"/>
      <c r="CN23" s="66"/>
      <c r="CO23" s="67"/>
      <c r="CP23" s="65"/>
      <c r="CQ23" s="66"/>
      <c r="CR23" s="67"/>
      <c r="CS23" s="65"/>
      <c r="CT23" s="67"/>
      <c r="CU23" s="67"/>
      <c r="CV23" s="545"/>
      <c r="CW23" s="534"/>
      <c r="CX23" s="884"/>
      <c r="CY23" s="885"/>
      <c r="CZ23" s="886"/>
      <c r="DA23" s="887">
        <v>0.05</v>
      </c>
      <c r="DB23" s="626">
        <v>0.05</v>
      </c>
      <c r="DC23" s="888">
        <v>0.05</v>
      </c>
      <c r="DD23" s="884"/>
      <c r="DE23" s="885"/>
      <c r="DF23" s="886"/>
      <c r="DG23" s="884"/>
      <c r="DH23" s="885"/>
      <c r="DI23" s="886"/>
      <c r="DJ23" s="884"/>
      <c r="DK23" s="885"/>
      <c r="DL23" s="849" t="s">
        <v>468</v>
      </c>
      <c r="DM23" s="887">
        <v>0.05</v>
      </c>
      <c r="DN23" s="626">
        <v>0.06</v>
      </c>
      <c r="DO23" s="888">
        <v>7.0000000000000007E-2</v>
      </c>
      <c r="DP23" s="887">
        <v>0.13</v>
      </c>
      <c r="DQ23" s="626">
        <v>0.14000000000000001</v>
      </c>
      <c r="DR23" s="888">
        <v>0.15</v>
      </c>
      <c r="DS23" s="238"/>
      <c r="DT23" s="238"/>
      <c r="DU23" s="610" t="s">
        <v>481</v>
      </c>
      <c r="DV23" s="506" t="s">
        <v>472</v>
      </c>
      <c r="DW23" s="507">
        <v>1886.5652380952381</v>
      </c>
      <c r="DX23" s="508">
        <v>2046.6219512195121</v>
      </c>
      <c r="DY23" s="508">
        <v>2136.8277777777776</v>
      </c>
      <c r="DZ23" s="508">
        <v>2228.7559823155566</v>
      </c>
      <c r="EA23" s="509">
        <v>2417.1436879432622</v>
      </c>
      <c r="EB23" s="508">
        <v>1697.5182926829268</v>
      </c>
      <c r="EC23" s="508">
        <v>1760.9875</v>
      </c>
      <c r="ED23" s="508">
        <v>1832.9116702741703</v>
      </c>
      <c r="EE23" s="508">
        <v>1904.7653105232894</v>
      </c>
      <c r="EF23" s="509">
        <v>1951.1595744680851</v>
      </c>
      <c r="EG23" s="560"/>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row>
    <row r="24" spans="1:169" s="45" customFormat="1" ht="11" thickBot="1" x14ac:dyDescent="0.3">
      <c r="A24" s="238"/>
      <c r="B24" s="465" t="s">
        <v>482</v>
      </c>
      <c r="C24" s="34" t="s">
        <v>458</v>
      </c>
      <c r="D24" s="32"/>
      <c r="E24" s="12"/>
      <c r="F24" s="12"/>
      <c r="G24" s="12"/>
      <c r="H24" s="13"/>
      <c r="I24" s="11">
        <v>1500</v>
      </c>
      <c r="J24" s="12">
        <v>1500</v>
      </c>
      <c r="K24" s="12">
        <v>1500</v>
      </c>
      <c r="L24" s="12">
        <v>1500</v>
      </c>
      <c r="M24" s="13">
        <v>1500</v>
      </c>
      <c r="N24" s="11"/>
      <c r="O24" s="12"/>
      <c r="P24" s="12"/>
      <c r="Q24" s="12"/>
      <c r="R24" s="13"/>
      <c r="S24" s="11"/>
      <c r="T24" s="12"/>
      <c r="U24" s="12"/>
      <c r="V24" s="12"/>
      <c r="W24" s="13"/>
      <c r="X24" s="11">
        <v>1500</v>
      </c>
      <c r="Y24" s="12">
        <v>1500</v>
      </c>
      <c r="Z24" s="12">
        <v>1500</v>
      </c>
      <c r="AA24" s="12">
        <v>1500</v>
      </c>
      <c r="AB24" s="13">
        <v>1500</v>
      </c>
      <c r="AC24" s="11"/>
      <c r="AD24" s="12"/>
      <c r="AE24" s="12"/>
      <c r="AF24" s="12"/>
      <c r="AG24" s="13"/>
      <c r="AH24" s="11">
        <v>1500</v>
      </c>
      <c r="AI24" s="12">
        <v>1500</v>
      </c>
      <c r="AJ24" s="12">
        <v>1500</v>
      </c>
      <c r="AK24" s="12">
        <v>1500</v>
      </c>
      <c r="AL24" s="13">
        <v>1500</v>
      </c>
      <c r="AM24" s="11">
        <v>1500</v>
      </c>
      <c r="AN24" s="12">
        <v>1500</v>
      </c>
      <c r="AO24" s="12">
        <v>1500</v>
      </c>
      <c r="AP24" s="12">
        <v>1500</v>
      </c>
      <c r="AQ24" s="13">
        <v>1500</v>
      </c>
      <c r="AR24" s="11"/>
      <c r="AS24" s="12"/>
      <c r="AT24" s="12"/>
      <c r="AU24" s="12"/>
      <c r="AV24" s="13"/>
      <c r="AW24" s="11"/>
      <c r="AX24" s="12"/>
      <c r="AY24" s="12"/>
      <c r="AZ24" s="12"/>
      <c r="BA24" s="13"/>
      <c r="BB24" s="11">
        <v>1350</v>
      </c>
      <c r="BC24" s="12">
        <v>1350</v>
      </c>
      <c r="BD24" s="13">
        <v>1350</v>
      </c>
      <c r="BE24" s="11"/>
      <c r="BF24" s="12"/>
      <c r="BG24" s="13"/>
      <c r="BH24" s="11"/>
      <c r="BI24" s="12"/>
      <c r="BJ24" s="12"/>
      <c r="BK24" s="12"/>
      <c r="BL24" s="13"/>
      <c r="BM24" s="11">
        <v>145</v>
      </c>
      <c r="BN24" s="12">
        <v>145</v>
      </c>
      <c r="BO24" s="12">
        <v>145</v>
      </c>
      <c r="BP24" s="12">
        <v>145</v>
      </c>
      <c r="BQ24" s="13">
        <v>145</v>
      </c>
      <c r="BR24" s="11"/>
      <c r="BS24" s="12"/>
      <c r="BT24" s="12"/>
      <c r="BU24" s="12"/>
      <c r="BV24" s="13"/>
      <c r="BW24" s="11">
        <v>135</v>
      </c>
      <c r="BX24" s="12">
        <v>135</v>
      </c>
      <c r="BY24" s="12">
        <v>135</v>
      </c>
      <c r="BZ24" s="12">
        <v>135</v>
      </c>
      <c r="CA24" s="13">
        <v>135</v>
      </c>
      <c r="CB24" s="11">
        <v>0</v>
      </c>
      <c r="CC24" s="12">
        <v>0.25</v>
      </c>
      <c r="CD24" s="12">
        <v>0.25</v>
      </c>
      <c r="CE24" s="12">
        <v>0.25</v>
      </c>
      <c r="CF24" s="13">
        <v>0</v>
      </c>
      <c r="CG24" s="11">
        <v>250</v>
      </c>
      <c r="CH24" s="12">
        <v>250</v>
      </c>
      <c r="CI24" s="13">
        <v>250</v>
      </c>
      <c r="CJ24" s="11"/>
      <c r="CK24" s="12"/>
      <c r="CL24" s="13"/>
      <c r="CM24" s="11"/>
      <c r="CN24" s="12"/>
      <c r="CO24" s="13"/>
      <c r="CP24" s="32">
        <v>4.0999999999999996</v>
      </c>
      <c r="CQ24" s="33">
        <v>4.0999999999999996</v>
      </c>
      <c r="CR24" s="34">
        <v>4.0999999999999996</v>
      </c>
      <c r="CS24" s="11"/>
      <c r="CT24" s="13"/>
      <c r="CU24" s="13"/>
      <c r="CV24" s="545"/>
      <c r="CW24" s="534"/>
      <c r="CX24" s="884"/>
      <c r="CY24" s="885"/>
      <c r="CZ24" s="886"/>
      <c r="DA24" s="884"/>
      <c r="DB24" s="885"/>
      <c r="DC24" s="886"/>
      <c r="DD24" s="884">
        <v>1620</v>
      </c>
      <c r="DE24" s="885">
        <v>1620</v>
      </c>
      <c r="DF24" s="886">
        <v>1620</v>
      </c>
      <c r="DG24" s="884">
        <v>1620</v>
      </c>
      <c r="DH24" s="885">
        <v>1620</v>
      </c>
      <c r="DI24" s="886">
        <v>1620</v>
      </c>
      <c r="DJ24" s="884"/>
      <c r="DK24" s="885"/>
      <c r="DL24" s="849" t="s">
        <v>470</v>
      </c>
      <c r="DM24" s="884">
        <v>0.21</v>
      </c>
      <c r="DN24" s="885">
        <v>0.21</v>
      </c>
      <c r="DO24" s="886">
        <v>0.21</v>
      </c>
      <c r="DP24" s="884">
        <v>0.26</v>
      </c>
      <c r="DQ24" s="885">
        <v>0.26</v>
      </c>
      <c r="DR24" s="886">
        <v>0.26</v>
      </c>
      <c r="DS24" s="238"/>
      <c r="DT24" s="238"/>
      <c r="DU24" s="589"/>
      <c r="DV24" s="594" t="s">
        <v>425</v>
      </c>
      <c r="DW24" s="595">
        <f t="shared" ref="DW24:EF24" si="5">DW23*DW43</f>
        <v>3584.4739523809521</v>
      </c>
      <c r="DX24" s="511">
        <f t="shared" si="5"/>
        <v>4093.2439024390242</v>
      </c>
      <c r="DY24" s="511">
        <f t="shared" si="5"/>
        <v>4487.3383333333331</v>
      </c>
      <c r="DZ24" s="511">
        <f t="shared" si="5"/>
        <v>4903.2631610942253</v>
      </c>
      <c r="EA24" s="558">
        <f t="shared" si="5"/>
        <v>5317.7161134751768</v>
      </c>
      <c r="EB24" s="511">
        <f t="shared" si="5"/>
        <v>3904.2920731707313</v>
      </c>
      <c r="EC24" s="511">
        <f t="shared" si="5"/>
        <v>4226.37</v>
      </c>
      <c r="ED24" s="511">
        <f t="shared" si="5"/>
        <v>4582.2791756854258</v>
      </c>
      <c r="EE24" s="511">
        <f t="shared" si="5"/>
        <v>4952.3898073605524</v>
      </c>
      <c r="EF24" s="558">
        <f t="shared" si="5"/>
        <v>5268.1308510638301</v>
      </c>
      <c r="EG24" s="567"/>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row>
    <row r="25" spans="1:169" s="45" customFormat="1" x14ac:dyDescent="0.25">
      <c r="A25" s="238"/>
      <c r="B25" s="465" t="s">
        <v>483</v>
      </c>
      <c r="C25" s="34" t="s">
        <v>458</v>
      </c>
      <c r="D25" s="32"/>
      <c r="E25" s="12"/>
      <c r="F25" s="12"/>
      <c r="G25" s="12"/>
      <c r="H25" s="13"/>
      <c r="I25" s="11">
        <v>500</v>
      </c>
      <c r="J25" s="12">
        <v>500</v>
      </c>
      <c r="K25" s="12">
        <v>500</v>
      </c>
      <c r="L25" s="12">
        <v>500</v>
      </c>
      <c r="M25" s="13">
        <v>500</v>
      </c>
      <c r="N25" s="11"/>
      <c r="O25" s="12"/>
      <c r="P25" s="12"/>
      <c r="Q25" s="12"/>
      <c r="R25" s="13"/>
      <c r="S25" s="11"/>
      <c r="T25" s="12"/>
      <c r="U25" s="12"/>
      <c r="V25" s="12"/>
      <c r="W25" s="13"/>
      <c r="X25" s="11">
        <v>500</v>
      </c>
      <c r="Y25" s="12">
        <v>500</v>
      </c>
      <c r="Z25" s="12">
        <v>500</v>
      </c>
      <c r="AA25" s="12">
        <v>500</v>
      </c>
      <c r="AB25" s="13">
        <v>500</v>
      </c>
      <c r="AC25" s="11"/>
      <c r="AD25" s="12"/>
      <c r="AE25" s="12"/>
      <c r="AF25" s="12"/>
      <c r="AG25" s="13"/>
      <c r="AH25" s="11">
        <v>500</v>
      </c>
      <c r="AI25" s="12">
        <v>500</v>
      </c>
      <c r="AJ25" s="12">
        <v>500</v>
      </c>
      <c r="AK25" s="12">
        <v>500</v>
      </c>
      <c r="AL25" s="13">
        <v>500</v>
      </c>
      <c r="AM25" s="11">
        <v>500</v>
      </c>
      <c r="AN25" s="12">
        <v>500</v>
      </c>
      <c r="AO25" s="12">
        <v>500</v>
      </c>
      <c r="AP25" s="12">
        <v>500</v>
      </c>
      <c r="AQ25" s="13">
        <v>500</v>
      </c>
      <c r="AR25" s="11"/>
      <c r="AS25" s="12"/>
      <c r="AT25" s="12"/>
      <c r="AU25" s="12"/>
      <c r="AV25" s="13"/>
      <c r="AW25" s="11"/>
      <c r="AX25" s="12"/>
      <c r="AY25" s="12"/>
      <c r="AZ25" s="12"/>
      <c r="BA25" s="13"/>
      <c r="BB25" s="11">
        <v>500</v>
      </c>
      <c r="BC25" s="12">
        <v>500</v>
      </c>
      <c r="BD25" s="13">
        <v>500</v>
      </c>
      <c r="BE25" s="11"/>
      <c r="BF25" s="12"/>
      <c r="BG25" s="13"/>
      <c r="BH25" s="11"/>
      <c r="BI25" s="12"/>
      <c r="BJ25" s="12"/>
      <c r="BK25" s="12"/>
      <c r="BL25" s="13"/>
      <c r="BM25" s="11">
        <v>65</v>
      </c>
      <c r="BN25" s="12">
        <v>65</v>
      </c>
      <c r="BO25" s="12">
        <v>65</v>
      </c>
      <c r="BP25" s="12">
        <v>65</v>
      </c>
      <c r="BQ25" s="13">
        <v>65</v>
      </c>
      <c r="BR25" s="11"/>
      <c r="BS25" s="12"/>
      <c r="BT25" s="12"/>
      <c r="BU25" s="12"/>
      <c r="BV25" s="13"/>
      <c r="BW25" s="11">
        <v>37.5</v>
      </c>
      <c r="BX25" s="12">
        <v>37.5</v>
      </c>
      <c r="BY25" s="12">
        <v>37.5</v>
      </c>
      <c r="BZ25" s="12">
        <v>37.5</v>
      </c>
      <c r="CA25" s="13">
        <v>37.5</v>
      </c>
      <c r="CB25" s="11">
        <v>42</v>
      </c>
      <c r="CC25" s="12">
        <v>42</v>
      </c>
      <c r="CD25" s="12">
        <v>42</v>
      </c>
      <c r="CE25" s="12">
        <v>42</v>
      </c>
      <c r="CF25" s="13">
        <v>42</v>
      </c>
      <c r="CG25" s="11">
        <v>86.4</v>
      </c>
      <c r="CH25" s="12">
        <v>86.4</v>
      </c>
      <c r="CI25" s="13">
        <v>86.4</v>
      </c>
      <c r="CJ25" s="11"/>
      <c r="CK25" s="12"/>
      <c r="CL25" s="13"/>
      <c r="CM25" s="11"/>
      <c r="CN25" s="12"/>
      <c r="CO25" s="13"/>
      <c r="CP25" s="32">
        <v>0.1</v>
      </c>
      <c r="CQ25" s="33">
        <v>0.1</v>
      </c>
      <c r="CR25" s="34">
        <v>0.1</v>
      </c>
      <c r="CS25" s="11"/>
      <c r="CT25" s="13"/>
      <c r="CU25" s="13"/>
      <c r="CV25" s="545"/>
      <c r="CW25" s="534"/>
      <c r="CX25" s="884">
        <v>650</v>
      </c>
      <c r="CY25" s="885">
        <v>650</v>
      </c>
      <c r="CZ25" s="886">
        <v>650</v>
      </c>
      <c r="DA25" s="884"/>
      <c r="DB25" s="885"/>
      <c r="DC25" s="886"/>
      <c r="DD25" s="884"/>
      <c r="DE25" s="885"/>
      <c r="DF25" s="886"/>
      <c r="DG25" s="884"/>
      <c r="DH25" s="885"/>
      <c r="DI25" s="886"/>
      <c r="DJ25" s="884"/>
      <c r="DK25" s="885"/>
      <c r="DL25" s="849"/>
      <c r="DM25" s="847"/>
      <c r="DN25" s="848"/>
      <c r="DO25" s="849"/>
      <c r="DP25" s="847"/>
      <c r="DQ25" s="848"/>
      <c r="DR25" s="849"/>
      <c r="DS25" s="238"/>
      <c r="DT25" s="238"/>
      <c r="DU25" s="585"/>
      <c r="DV25" s="555"/>
      <c r="DW25" s="554"/>
      <c r="EA25" s="555"/>
      <c r="EF25" s="555"/>
      <c r="EG25" s="560"/>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row>
    <row r="26" spans="1:169" s="45" customFormat="1" x14ac:dyDescent="0.25">
      <c r="A26" s="238"/>
      <c r="B26" s="464" t="s">
        <v>484</v>
      </c>
      <c r="C26" s="13" t="s">
        <v>485</v>
      </c>
      <c r="D26" s="11"/>
      <c r="E26" s="12"/>
      <c r="F26" s="12"/>
      <c r="G26" s="12"/>
      <c r="H26" s="13"/>
      <c r="I26" s="73">
        <v>7.5</v>
      </c>
      <c r="J26" s="12">
        <v>8</v>
      </c>
      <c r="K26" s="12">
        <v>8</v>
      </c>
      <c r="L26" s="12">
        <v>8</v>
      </c>
      <c r="M26" s="74">
        <v>8.5</v>
      </c>
      <c r="N26" s="11"/>
      <c r="O26" s="12"/>
      <c r="P26" s="12"/>
      <c r="Q26" s="12"/>
      <c r="R26" s="13"/>
      <c r="S26" s="11"/>
      <c r="T26" s="12"/>
      <c r="U26" s="12"/>
      <c r="V26" s="12"/>
      <c r="W26" s="13"/>
      <c r="X26" s="11">
        <v>7</v>
      </c>
      <c r="Y26" s="12">
        <v>7</v>
      </c>
      <c r="Z26" s="12">
        <v>7</v>
      </c>
      <c r="AA26" s="12">
        <v>7</v>
      </c>
      <c r="AB26" s="13">
        <v>7</v>
      </c>
      <c r="AC26" s="11"/>
      <c r="AD26" s="12"/>
      <c r="AE26" s="12"/>
      <c r="AF26" s="12"/>
      <c r="AG26" s="13"/>
      <c r="AH26" s="11">
        <v>8</v>
      </c>
      <c r="AI26" s="12">
        <v>8</v>
      </c>
      <c r="AJ26" s="12">
        <v>8</v>
      </c>
      <c r="AK26" s="12">
        <v>8</v>
      </c>
      <c r="AL26" s="13">
        <v>8</v>
      </c>
      <c r="AM26" s="11">
        <v>7</v>
      </c>
      <c r="AN26" s="12">
        <v>7</v>
      </c>
      <c r="AO26" s="12">
        <v>7</v>
      </c>
      <c r="AP26" s="12">
        <v>7</v>
      </c>
      <c r="AQ26" s="13">
        <v>7</v>
      </c>
      <c r="AR26" s="11"/>
      <c r="AS26" s="12"/>
      <c r="AT26" s="12"/>
      <c r="AU26" s="12"/>
      <c r="AV26" s="13"/>
      <c r="AW26" s="11"/>
      <c r="AX26" s="12"/>
      <c r="AY26" s="12"/>
      <c r="AZ26" s="12"/>
      <c r="BA26" s="13"/>
      <c r="BB26" s="11">
        <v>8</v>
      </c>
      <c r="BC26" s="12">
        <v>8</v>
      </c>
      <c r="BD26" s="13">
        <v>8</v>
      </c>
      <c r="BE26" s="11"/>
      <c r="BF26" s="12"/>
      <c r="BG26" s="13"/>
      <c r="BH26" s="11"/>
      <c r="BI26" s="12"/>
      <c r="BJ26" s="12"/>
      <c r="BK26" s="12"/>
      <c r="BL26" s="13"/>
      <c r="BM26" s="11">
        <v>5</v>
      </c>
      <c r="BN26" s="12">
        <v>5</v>
      </c>
      <c r="BO26" s="12">
        <v>5</v>
      </c>
      <c r="BP26" s="12">
        <v>5</v>
      </c>
      <c r="BQ26" s="13">
        <v>5</v>
      </c>
      <c r="BR26" s="11"/>
      <c r="BS26" s="12"/>
      <c r="BT26" s="12"/>
      <c r="BU26" s="12"/>
      <c r="BV26" s="13"/>
      <c r="BW26" s="11">
        <v>4</v>
      </c>
      <c r="BX26" s="12">
        <v>4</v>
      </c>
      <c r="BY26" s="12">
        <v>4</v>
      </c>
      <c r="BZ26" s="12">
        <v>4</v>
      </c>
      <c r="CA26" s="13">
        <v>4</v>
      </c>
      <c r="CB26" s="11">
        <v>4</v>
      </c>
      <c r="CC26" s="12">
        <v>4</v>
      </c>
      <c r="CD26" s="12">
        <v>4</v>
      </c>
      <c r="CE26" s="12">
        <v>4</v>
      </c>
      <c r="CF26" s="13">
        <v>4</v>
      </c>
      <c r="CG26" s="50">
        <v>0.49</v>
      </c>
      <c r="CH26" s="51">
        <v>0.49</v>
      </c>
      <c r="CI26" s="52">
        <v>0.49</v>
      </c>
      <c r="CJ26" s="11"/>
      <c r="CK26" s="12"/>
      <c r="CL26" s="13"/>
      <c r="CM26" s="11"/>
      <c r="CN26" s="12"/>
      <c r="CO26" s="13"/>
      <c r="CP26" s="11"/>
      <c r="CQ26" s="12"/>
      <c r="CR26" s="13"/>
      <c r="CS26" s="11"/>
      <c r="CT26" s="13"/>
      <c r="CU26" s="13"/>
      <c r="CV26" s="545"/>
      <c r="CW26" s="534"/>
      <c r="CX26" s="884"/>
      <c r="CY26" s="885"/>
      <c r="CZ26" s="886"/>
      <c r="DA26" s="884"/>
      <c r="DB26" s="885"/>
      <c r="DC26" s="886"/>
      <c r="DD26" s="884"/>
      <c r="DE26" s="885"/>
      <c r="DF26" s="886"/>
      <c r="DG26" s="884"/>
      <c r="DH26" s="885"/>
      <c r="DI26" s="886"/>
      <c r="DJ26" s="884"/>
      <c r="DK26" s="885"/>
      <c r="DL26" s="859" t="s">
        <v>486</v>
      </c>
      <c r="DM26" s="847"/>
      <c r="DN26" s="848"/>
      <c r="DO26" s="849"/>
      <c r="DP26" s="847"/>
      <c r="DQ26" s="848"/>
      <c r="DR26" s="849"/>
      <c r="DS26" s="238"/>
      <c r="DT26" s="238"/>
      <c r="DU26" s="583" t="s">
        <v>487</v>
      </c>
      <c r="DV26" s="154"/>
      <c r="DW26" s="144"/>
      <c r="DX26" s="132"/>
      <c r="DY26" s="132"/>
      <c r="DZ26" s="132"/>
      <c r="EA26" s="145"/>
      <c r="EB26" s="132"/>
      <c r="EC26" s="132"/>
      <c r="ED26" s="132"/>
      <c r="EE26" s="132"/>
      <c r="EF26" s="145"/>
      <c r="EG26" s="56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row>
    <row r="27" spans="1:169" s="45" customFormat="1" x14ac:dyDescent="0.25">
      <c r="A27" s="238"/>
      <c r="B27" s="466" t="s">
        <v>488</v>
      </c>
      <c r="C27" s="30" t="s">
        <v>489</v>
      </c>
      <c r="D27" s="35"/>
      <c r="E27" s="17"/>
      <c r="F27" s="17"/>
      <c r="G27" s="17"/>
      <c r="H27" s="30"/>
      <c r="I27" s="35">
        <v>23</v>
      </c>
      <c r="J27" s="17">
        <v>23</v>
      </c>
      <c r="K27" s="17">
        <v>23</v>
      </c>
      <c r="L27" s="17">
        <v>23</v>
      </c>
      <c r="M27" s="30">
        <v>23</v>
      </c>
      <c r="N27" s="35"/>
      <c r="O27" s="17"/>
      <c r="P27" s="17"/>
      <c r="Q27" s="17"/>
      <c r="R27" s="30"/>
      <c r="S27" s="35"/>
      <c r="T27" s="17"/>
      <c r="U27" s="17"/>
      <c r="V27" s="17"/>
      <c r="W27" s="30"/>
      <c r="X27" s="35">
        <v>22.666666666666668</v>
      </c>
      <c r="Y27" s="17">
        <v>22.666666666666668</v>
      </c>
      <c r="Z27" s="17">
        <v>22.666666666666668</v>
      </c>
      <c r="AA27" s="17">
        <v>22.666666666666668</v>
      </c>
      <c r="AB27" s="30">
        <v>22.666666666666668</v>
      </c>
      <c r="AC27" s="35"/>
      <c r="AD27" s="17"/>
      <c r="AE27" s="17"/>
      <c r="AF27" s="17"/>
      <c r="AG27" s="30"/>
      <c r="AH27" s="35">
        <v>30</v>
      </c>
      <c r="AI27" s="17">
        <v>30</v>
      </c>
      <c r="AJ27" s="17">
        <v>30</v>
      </c>
      <c r="AK27" s="17">
        <v>30</v>
      </c>
      <c r="AL27" s="30">
        <v>30</v>
      </c>
      <c r="AM27" s="35">
        <v>30</v>
      </c>
      <c r="AN27" s="17">
        <v>30</v>
      </c>
      <c r="AO27" s="17">
        <v>30</v>
      </c>
      <c r="AP27" s="17">
        <v>30</v>
      </c>
      <c r="AQ27" s="30">
        <v>30</v>
      </c>
      <c r="AR27" s="35"/>
      <c r="AS27" s="17"/>
      <c r="AT27" s="17"/>
      <c r="AU27" s="17"/>
      <c r="AV27" s="30"/>
      <c r="AW27" s="35"/>
      <c r="AX27" s="17"/>
      <c r="AY27" s="17"/>
      <c r="AZ27" s="17"/>
      <c r="BA27" s="30"/>
      <c r="BB27" s="29">
        <v>24</v>
      </c>
      <c r="BC27" s="18">
        <v>24</v>
      </c>
      <c r="BD27" s="19">
        <v>24</v>
      </c>
      <c r="BE27" s="35"/>
      <c r="BF27" s="17"/>
      <c r="BG27" s="30"/>
      <c r="BH27" s="35"/>
      <c r="BI27" s="17"/>
      <c r="BJ27" s="17"/>
      <c r="BK27" s="17"/>
      <c r="BL27" s="30"/>
      <c r="BM27" s="35">
        <v>2.8</v>
      </c>
      <c r="BN27" s="17">
        <v>2.79</v>
      </c>
      <c r="BO27" s="17">
        <v>2.79</v>
      </c>
      <c r="BP27" s="17">
        <v>2.79</v>
      </c>
      <c r="BQ27" s="30">
        <v>2.8</v>
      </c>
      <c r="BR27" s="35"/>
      <c r="BS27" s="17"/>
      <c r="BT27" s="17"/>
      <c r="BU27" s="17"/>
      <c r="BV27" s="30"/>
      <c r="BW27" s="11">
        <v>5</v>
      </c>
      <c r="BX27" s="12">
        <v>5</v>
      </c>
      <c r="BY27" s="17">
        <v>5</v>
      </c>
      <c r="BZ27" s="12">
        <v>5</v>
      </c>
      <c r="CA27" s="13">
        <v>5</v>
      </c>
      <c r="CB27" s="35">
        <v>5.7</v>
      </c>
      <c r="CC27" s="17">
        <v>5.71</v>
      </c>
      <c r="CD27" s="17">
        <v>5.71</v>
      </c>
      <c r="CE27" s="17">
        <v>5.71</v>
      </c>
      <c r="CF27" s="30">
        <v>5.7</v>
      </c>
      <c r="CG27" s="29">
        <v>19.579999999999998</v>
      </c>
      <c r="CH27" s="18">
        <v>19.579999999999998</v>
      </c>
      <c r="CI27" s="19">
        <v>19.579999999999998</v>
      </c>
      <c r="CJ27" s="35"/>
      <c r="CK27" s="17"/>
      <c r="CL27" s="30"/>
      <c r="CM27" s="35"/>
      <c r="CN27" s="17"/>
      <c r="CO27" s="30"/>
      <c r="CP27" s="35"/>
      <c r="CQ27" s="17"/>
      <c r="CR27" s="30"/>
      <c r="CS27" s="35"/>
      <c r="CT27" s="30"/>
      <c r="CU27" s="30"/>
      <c r="CV27" s="545"/>
      <c r="CW27" s="534"/>
      <c r="CX27" s="884"/>
      <c r="CY27" s="885"/>
      <c r="CZ27" s="886"/>
      <c r="DA27" s="884"/>
      <c r="DB27" s="885"/>
      <c r="DC27" s="886"/>
      <c r="DD27" s="884"/>
      <c r="DE27" s="885"/>
      <c r="DF27" s="886"/>
      <c r="DG27" s="884"/>
      <c r="DH27" s="885"/>
      <c r="DI27" s="886"/>
      <c r="DJ27" s="884"/>
      <c r="DK27" s="885"/>
      <c r="DL27" s="849" t="s">
        <v>465</v>
      </c>
      <c r="DM27" s="860">
        <f>DM17*DM22</f>
        <v>76.912000000000006</v>
      </c>
      <c r="DN27" s="628">
        <f t="shared" ref="DN27:DR29" si="6">DN17*DN22</f>
        <v>82.505600000000001</v>
      </c>
      <c r="DO27" s="861">
        <f t="shared" si="6"/>
        <v>87.4</v>
      </c>
      <c r="DP27" s="860">
        <f t="shared" si="6"/>
        <v>51.52000000000001</v>
      </c>
      <c r="DQ27" s="628">
        <f t="shared" si="6"/>
        <v>52.808</v>
      </c>
      <c r="DR27" s="861">
        <f t="shared" si="6"/>
        <v>54.74</v>
      </c>
      <c r="DS27" s="238"/>
      <c r="DT27" s="238"/>
      <c r="DU27" s="583" t="s">
        <v>490</v>
      </c>
      <c r="DV27" s="154" t="s">
        <v>491</v>
      </c>
      <c r="DW27" s="169">
        <v>0.35499999999999998</v>
      </c>
      <c r="DX27" s="170">
        <v>0.34</v>
      </c>
      <c r="DY27" s="170">
        <v>0.32500000000000001</v>
      </c>
      <c r="DZ27" s="170">
        <v>0.31</v>
      </c>
      <c r="EA27" s="171">
        <v>0.3</v>
      </c>
      <c r="EB27" s="170">
        <v>0.35499999999999998</v>
      </c>
      <c r="EC27" s="170">
        <v>0.34</v>
      </c>
      <c r="ED27" s="170">
        <v>0.32</v>
      </c>
      <c r="EE27" s="170">
        <v>0.31</v>
      </c>
      <c r="EF27" s="171">
        <v>0.3</v>
      </c>
      <c r="EG27" s="560"/>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row>
    <row r="28" spans="1:169" s="45" customFormat="1" x14ac:dyDescent="0.25">
      <c r="A28" s="238"/>
      <c r="B28" s="466" t="s">
        <v>492</v>
      </c>
      <c r="C28" s="19"/>
      <c r="D28" s="29"/>
      <c r="E28" s="18"/>
      <c r="F28" s="18"/>
      <c r="G28" s="18"/>
      <c r="H28" s="19"/>
      <c r="I28" s="29">
        <v>187</v>
      </c>
      <c r="J28" s="18">
        <v>187</v>
      </c>
      <c r="K28" s="18">
        <v>187</v>
      </c>
      <c r="L28" s="18">
        <v>187</v>
      </c>
      <c r="M28" s="19">
        <v>187</v>
      </c>
      <c r="N28" s="29"/>
      <c r="O28" s="18"/>
      <c r="P28" s="18"/>
      <c r="Q28" s="18"/>
      <c r="R28" s="19"/>
      <c r="S28" s="29"/>
      <c r="T28" s="18"/>
      <c r="U28" s="18"/>
      <c r="V28" s="18"/>
      <c r="W28" s="19"/>
      <c r="X28" s="29">
        <v>187</v>
      </c>
      <c r="Y28" s="18">
        <v>187</v>
      </c>
      <c r="Z28" s="18">
        <v>187</v>
      </c>
      <c r="AA28" s="18">
        <v>187</v>
      </c>
      <c r="AB28" s="19">
        <v>187</v>
      </c>
      <c r="AC28" s="29"/>
      <c r="AD28" s="18"/>
      <c r="AE28" s="18"/>
      <c r="AF28" s="18"/>
      <c r="AG28" s="19"/>
      <c r="AH28" s="29">
        <v>194</v>
      </c>
      <c r="AI28" s="18">
        <v>194</v>
      </c>
      <c r="AJ28" s="18">
        <v>194</v>
      </c>
      <c r="AK28" s="18">
        <v>194</v>
      </c>
      <c r="AL28" s="19">
        <v>194</v>
      </c>
      <c r="AM28" s="29">
        <v>194</v>
      </c>
      <c r="AN28" s="18">
        <v>194</v>
      </c>
      <c r="AO28" s="18">
        <v>194</v>
      </c>
      <c r="AP28" s="18">
        <v>194</v>
      </c>
      <c r="AQ28" s="19">
        <v>194</v>
      </c>
      <c r="AR28" s="29"/>
      <c r="AS28" s="18"/>
      <c r="AT28" s="18"/>
      <c r="AU28" s="18"/>
      <c r="AV28" s="19"/>
      <c r="AW28" s="29"/>
      <c r="AX28" s="18"/>
      <c r="AY28" s="18"/>
      <c r="AZ28" s="18"/>
      <c r="BA28" s="19"/>
      <c r="BB28" s="42">
        <v>154</v>
      </c>
      <c r="BC28" s="43">
        <v>154</v>
      </c>
      <c r="BD28" s="36">
        <v>154</v>
      </c>
      <c r="BE28" s="29"/>
      <c r="BF28" s="18"/>
      <c r="BG28" s="19"/>
      <c r="BH28" s="29"/>
      <c r="BI28" s="18"/>
      <c r="BJ28" s="18"/>
      <c r="BK28" s="18"/>
      <c r="BL28" s="19"/>
      <c r="BM28" s="29"/>
      <c r="BN28" s="18"/>
      <c r="BO28" s="18"/>
      <c r="BP28" s="18"/>
      <c r="BQ28" s="19"/>
      <c r="BR28" s="29"/>
      <c r="BS28" s="18"/>
      <c r="BT28" s="18"/>
      <c r="BU28" s="18"/>
      <c r="BV28" s="19"/>
      <c r="BW28" s="29"/>
      <c r="BX28" s="18"/>
      <c r="BY28" s="18"/>
      <c r="BZ28" s="18"/>
      <c r="CA28" s="19"/>
      <c r="CB28" s="29"/>
      <c r="CC28" s="18"/>
      <c r="CD28" s="18"/>
      <c r="CE28" s="18"/>
      <c r="CF28" s="19"/>
      <c r="CG28" s="29"/>
      <c r="CH28" s="40"/>
      <c r="CI28" s="19"/>
      <c r="CJ28" s="29"/>
      <c r="CK28" s="18"/>
      <c r="CL28" s="19"/>
      <c r="CM28" s="29"/>
      <c r="CN28" s="18"/>
      <c r="CO28" s="19"/>
      <c r="CP28" s="29"/>
      <c r="CQ28" s="18"/>
      <c r="CR28" s="19"/>
      <c r="CS28" s="29"/>
      <c r="CT28" s="19"/>
      <c r="CU28" s="19"/>
      <c r="CV28" s="545"/>
      <c r="CW28" s="534" t="s">
        <v>493</v>
      </c>
      <c r="CX28" s="884">
        <v>6000</v>
      </c>
      <c r="CY28" s="885">
        <v>6000</v>
      </c>
      <c r="CZ28" s="886">
        <v>5600</v>
      </c>
      <c r="DA28" s="884"/>
      <c r="DB28" s="885"/>
      <c r="DC28" s="886"/>
      <c r="DD28" s="884"/>
      <c r="DE28" s="885"/>
      <c r="DF28" s="886"/>
      <c r="DG28" s="884"/>
      <c r="DH28" s="885"/>
      <c r="DI28" s="886"/>
      <c r="DJ28" s="884"/>
      <c r="DK28" s="885"/>
      <c r="DL28" s="849" t="s">
        <v>468</v>
      </c>
      <c r="DM28" s="847">
        <f>DM18*DM23</f>
        <v>2.5</v>
      </c>
      <c r="DN28" s="848">
        <f t="shared" si="6"/>
        <v>3</v>
      </c>
      <c r="DO28" s="849">
        <f t="shared" si="6"/>
        <v>3.5000000000000004</v>
      </c>
      <c r="DP28" s="847">
        <f t="shared" si="6"/>
        <v>6.5</v>
      </c>
      <c r="DQ28" s="848">
        <f t="shared" si="6"/>
        <v>7.0000000000000009</v>
      </c>
      <c r="DR28" s="849">
        <f t="shared" si="6"/>
        <v>7.5</v>
      </c>
      <c r="DS28" s="238"/>
      <c r="DT28" s="238"/>
      <c r="DU28" s="583" t="s">
        <v>494</v>
      </c>
      <c r="DV28" s="154" t="s">
        <v>495</v>
      </c>
      <c r="DW28" s="144">
        <v>235</v>
      </c>
      <c r="DX28" s="132">
        <v>235</v>
      </c>
      <c r="DY28" s="132">
        <v>235</v>
      </c>
      <c r="DZ28" s="132">
        <v>235</v>
      </c>
      <c r="EA28" s="145">
        <v>235</v>
      </c>
      <c r="EB28" s="132">
        <v>240</v>
      </c>
      <c r="EC28" s="132">
        <v>240</v>
      </c>
      <c r="ED28" s="132">
        <v>240</v>
      </c>
      <c r="EE28" s="132">
        <v>240</v>
      </c>
      <c r="EF28" s="145">
        <v>240</v>
      </c>
      <c r="EG28" s="534"/>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row>
    <row r="29" spans="1:169" s="45" customFormat="1" x14ac:dyDescent="0.25">
      <c r="A29" s="238"/>
      <c r="B29" s="464" t="s">
        <v>496</v>
      </c>
      <c r="C29" s="13"/>
      <c r="D29" s="11"/>
      <c r="E29" s="12"/>
      <c r="F29" s="12"/>
      <c r="G29" s="12"/>
      <c r="H29" s="13"/>
      <c r="I29" s="11"/>
      <c r="J29" s="12"/>
      <c r="K29" s="12"/>
      <c r="L29" s="12"/>
      <c r="M29" s="13"/>
      <c r="N29" s="11"/>
      <c r="O29" s="12"/>
      <c r="P29" s="12"/>
      <c r="Q29" s="12"/>
      <c r="R29" s="13"/>
      <c r="S29" s="11"/>
      <c r="T29" s="12"/>
      <c r="U29" s="12"/>
      <c r="V29" s="12"/>
      <c r="W29" s="13"/>
      <c r="X29" s="11"/>
      <c r="Y29" s="12"/>
      <c r="Z29" s="12"/>
      <c r="AA29" s="12"/>
      <c r="AB29" s="13"/>
      <c r="AC29" s="11"/>
      <c r="AD29" s="12"/>
      <c r="AE29" s="12"/>
      <c r="AF29" s="12"/>
      <c r="AG29" s="13"/>
      <c r="AH29" s="11"/>
      <c r="AI29" s="12"/>
      <c r="AJ29" s="12"/>
      <c r="AK29" s="12"/>
      <c r="AL29" s="13"/>
      <c r="AM29" s="11"/>
      <c r="AN29" s="12"/>
      <c r="AO29" s="12"/>
      <c r="AP29" s="12"/>
      <c r="AQ29" s="13"/>
      <c r="AR29" s="11"/>
      <c r="AS29" s="12"/>
      <c r="AT29" s="12"/>
      <c r="AU29" s="12"/>
      <c r="AV29" s="13"/>
      <c r="AW29" s="11"/>
      <c r="AX29" s="12"/>
      <c r="AY29" s="12"/>
      <c r="AZ29" s="12"/>
      <c r="BA29" s="13"/>
      <c r="BB29" s="11"/>
      <c r="BC29" s="12"/>
      <c r="BD29" s="13"/>
      <c r="BE29" s="11"/>
      <c r="BF29" s="12"/>
      <c r="BG29" s="13"/>
      <c r="BH29" s="11">
        <v>0</v>
      </c>
      <c r="BI29" s="12">
        <v>0.28000000000000003</v>
      </c>
      <c r="BJ29" s="12">
        <v>0.28000000000000003</v>
      </c>
      <c r="BK29" s="12">
        <v>0.28000000000000003</v>
      </c>
      <c r="BL29" s="13">
        <v>0</v>
      </c>
      <c r="BM29" s="11"/>
      <c r="BN29" s="12"/>
      <c r="BO29" s="12"/>
      <c r="BP29" s="12"/>
      <c r="BQ29" s="13"/>
      <c r="BR29" s="11"/>
      <c r="BS29" s="12"/>
      <c r="BT29" s="12"/>
      <c r="BU29" s="12"/>
      <c r="BV29" s="13"/>
      <c r="BW29" s="11">
        <v>1</v>
      </c>
      <c r="BX29" s="12">
        <v>1</v>
      </c>
      <c r="BY29" s="12">
        <v>1</v>
      </c>
      <c r="BZ29" s="12">
        <v>1</v>
      </c>
      <c r="CA29" s="13">
        <v>1</v>
      </c>
      <c r="CB29" s="73">
        <v>0.8</v>
      </c>
      <c r="CC29" s="75">
        <v>0.75</v>
      </c>
      <c r="CD29" s="75">
        <v>0.75</v>
      </c>
      <c r="CE29" s="75">
        <v>0.75</v>
      </c>
      <c r="CF29" s="74">
        <v>0.8</v>
      </c>
      <c r="CG29" s="11"/>
      <c r="CH29" s="12"/>
      <c r="CI29" s="13"/>
      <c r="CJ29" s="11"/>
      <c r="CK29" s="40"/>
      <c r="CL29" s="13"/>
      <c r="CM29" s="11"/>
      <c r="CN29" s="12"/>
      <c r="CO29" s="13"/>
      <c r="CP29" s="11"/>
      <c r="CQ29" s="12"/>
      <c r="CR29" s="13"/>
      <c r="CS29" s="11"/>
      <c r="CT29" s="13"/>
      <c r="CU29" s="13"/>
      <c r="CV29" s="545"/>
      <c r="CW29" s="534" t="s">
        <v>497</v>
      </c>
      <c r="CX29" s="884">
        <v>37.5</v>
      </c>
      <c r="CY29" s="885">
        <v>38</v>
      </c>
      <c r="CZ29" s="1070">
        <f>DY8*(1+C56)</f>
        <v>40.04</v>
      </c>
      <c r="DA29" s="884"/>
      <c r="DB29" s="885"/>
      <c r="DC29" s="886"/>
      <c r="DD29" s="884"/>
      <c r="DE29" s="885"/>
      <c r="DF29" s="886"/>
      <c r="DG29" s="884"/>
      <c r="DH29" s="885"/>
      <c r="DI29" s="886"/>
      <c r="DJ29" s="884"/>
      <c r="DK29" s="885"/>
      <c r="DL29" s="849" t="s">
        <v>470</v>
      </c>
      <c r="DM29" s="847">
        <f>DM19*DM24</f>
        <v>12.6</v>
      </c>
      <c r="DN29" s="848">
        <f t="shared" si="6"/>
        <v>12.6</v>
      </c>
      <c r="DO29" s="849">
        <f t="shared" si="6"/>
        <v>12.6</v>
      </c>
      <c r="DP29" s="847">
        <f t="shared" si="6"/>
        <v>7.8000000000000007</v>
      </c>
      <c r="DQ29" s="848">
        <f t="shared" si="6"/>
        <v>7.8000000000000007</v>
      </c>
      <c r="DR29" s="849">
        <f t="shared" si="6"/>
        <v>7.8000000000000007</v>
      </c>
      <c r="DS29" s="238"/>
      <c r="DT29" s="238"/>
      <c r="DU29" s="583" t="s">
        <v>498</v>
      </c>
      <c r="DV29" s="147" t="s">
        <v>472</v>
      </c>
      <c r="DW29" s="139">
        <v>2.6625000000000001</v>
      </c>
      <c r="DX29" s="131">
        <v>2.72</v>
      </c>
      <c r="DY29" s="131">
        <v>2.6</v>
      </c>
      <c r="DZ29" s="131">
        <v>2.48</v>
      </c>
      <c r="EA29" s="140">
        <v>2.5499999999999998</v>
      </c>
      <c r="EB29" s="131">
        <v>1.917</v>
      </c>
      <c r="EC29" s="131">
        <v>1.8530000000000002</v>
      </c>
      <c r="ED29" s="131">
        <v>1.744</v>
      </c>
      <c r="EE29" s="131">
        <v>1.6895</v>
      </c>
      <c r="EF29" s="140">
        <v>1.65</v>
      </c>
      <c r="EG29" s="560"/>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row>
    <row r="30" spans="1:169" s="45" customFormat="1" x14ac:dyDescent="0.25">
      <c r="A30" s="238"/>
      <c r="B30" s="464" t="s">
        <v>499</v>
      </c>
      <c r="C30" s="13" t="s">
        <v>456</v>
      </c>
      <c r="D30" s="11">
        <v>1076.04</v>
      </c>
      <c r="E30" s="12">
        <v>1024.8</v>
      </c>
      <c r="F30" s="12">
        <v>976</v>
      </c>
      <c r="G30" s="12">
        <v>927.19999999999993</v>
      </c>
      <c r="H30" s="13">
        <v>880.83999999999992</v>
      </c>
      <c r="I30" s="11">
        <v>215</v>
      </c>
      <c r="J30" s="12">
        <v>200</v>
      </c>
      <c r="K30" s="12">
        <v>180</v>
      </c>
      <c r="L30" s="12">
        <v>150</v>
      </c>
      <c r="M30" s="13">
        <v>135</v>
      </c>
      <c r="N30" s="11">
        <v>350</v>
      </c>
      <c r="O30" s="12">
        <v>336</v>
      </c>
      <c r="P30" s="12">
        <v>315</v>
      </c>
      <c r="Q30" s="12">
        <v>294</v>
      </c>
      <c r="R30" s="13">
        <v>280</v>
      </c>
      <c r="S30" s="11">
        <v>75</v>
      </c>
      <c r="T30" s="12">
        <v>75</v>
      </c>
      <c r="U30" s="12">
        <v>75</v>
      </c>
      <c r="V30" s="12">
        <v>75</v>
      </c>
      <c r="W30" s="13">
        <v>75</v>
      </c>
      <c r="X30" s="11">
        <v>360</v>
      </c>
      <c r="Y30" s="12">
        <v>340</v>
      </c>
      <c r="Z30" s="12">
        <v>310</v>
      </c>
      <c r="AA30" s="12">
        <v>280</v>
      </c>
      <c r="AB30" s="13">
        <v>260</v>
      </c>
      <c r="AC30" s="11">
        <v>670</v>
      </c>
      <c r="AD30" s="12">
        <v>650</v>
      </c>
      <c r="AE30" s="12">
        <v>630</v>
      </c>
      <c r="AF30" s="12">
        <v>540</v>
      </c>
      <c r="AG30" s="13">
        <v>520</v>
      </c>
      <c r="AH30" s="11">
        <v>225</v>
      </c>
      <c r="AI30" s="12">
        <v>210</v>
      </c>
      <c r="AJ30" s="12">
        <v>190</v>
      </c>
      <c r="AK30" s="12">
        <v>160</v>
      </c>
      <c r="AL30" s="13">
        <v>140</v>
      </c>
      <c r="AM30" s="11">
        <v>360</v>
      </c>
      <c r="AN30" s="12">
        <v>345</v>
      </c>
      <c r="AO30" s="12">
        <v>315</v>
      </c>
      <c r="AP30" s="12">
        <v>285</v>
      </c>
      <c r="AQ30" s="13">
        <v>275</v>
      </c>
      <c r="AR30" s="11">
        <v>160</v>
      </c>
      <c r="AS30" s="12">
        <v>160</v>
      </c>
      <c r="AT30" s="12">
        <v>160</v>
      </c>
      <c r="AU30" s="12">
        <v>160</v>
      </c>
      <c r="AV30" s="13">
        <v>160</v>
      </c>
      <c r="AW30" s="11">
        <v>750</v>
      </c>
      <c r="AX30" s="12">
        <v>750</v>
      </c>
      <c r="AY30" s="12">
        <v>750</v>
      </c>
      <c r="AZ30" s="12">
        <v>750</v>
      </c>
      <c r="BA30" s="13">
        <v>750</v>
      </c>
      <c r="BB30" s="11">
        <v>165</v>
      </c>
      <c r="BC30" s="12">
        <v>160</v>
      </c>
      <c r="BD30" s="13">
        <v>160</v>
      </c>
      <c r="BE30" s="11">
        <v>360</v>
      </c>
      <c r="BF30" s="12">
        <v>360</v>
      </c>
      <c r="BG30" s="13">
        <v>360</v>
      </c>
      <c r="BH30" s="11">
        <v>15</v>
      </c>
      <c r="BI30" s="12">
        <v>13.3</v>
      </c>
      <c r="BJ30" s="12">
        <v>14</v>
      </c>
      <c r="BK30" s="12">
        <v>13.4</v>
      </c>
      <c r="BL30" s="13">
        <v>12</v>
      </c>
      <c r="BM30" s="11">
        <v>70</v>
      </c>
      <c r="BN30" s="12">
        <v>67.77</v>
      </c>
      <c r="BO30" s="12">
        <v>64.5</v>
      </c>
      <c r="BP30" s="12">
        <v>61.9</v>
      </c>
      <c r="BQ30" s="13">
        <v>60</v>
      </c>
      <c r="BR30" s="11">
        <v>16</v>
      </c>
      <c r="BS30" s="12">
        <v>14.700000000000001</v>
      </c>
      <c r="BT30" s="12">
        <v>14</v>
      </c>
      <c r="BU30" s="12">
        <v>13.299999999999999</v>
      </c>
      <c r="BV30" s="13">
        <v>12</v>
      </c>
      <c r="BW30" s="11">
        <v>45</v>
      </c>
      <c r="BX30" s="12">
        <v>45</v>
      </c>
      <c r="BY30" s="12">
        <v>45</v>
      </c>
      <c r="BZ30" s="12">
        <v>45</v>
      </c>
      <c r="CA30" s="13">
        <v>45</v>
      </c>
      <c r="CB30" s="11">
        <v>20</v>
      </c>
      <c r="CC30" s="12">
        <v>20</v>
      </c>
      <c r="CD30" s="12">
        <v>20</v>
      </c>
      <c r="CE30" s="12">
        <v>20</v>
      </c>
      <c r="CF30" s="13">
        <v>20</v>
      </c>
      <c r="CG30" s="11">
        <v>2730</v>
      </c>
      <c r="CH30" s="12">
        <v>2680</v>
      </c>
      <c r="CI30" s="13">
        <v>2492</v>
      </c>
      <c r="CJ30" s="11">
        <v>212.79999999999998</v>
      </c>
      <c r="CK30" s="12">
        <v>215.6</v>
      </c>
      <c r="CL30" s="13">
        <v>174</v>
      </c>
      <c r="CM30" s="11"/>
      <c r="CN30" s="12"/>
      <c r="CO30" s="13"/>
      <c r="CP30" s="11">
        <v>52.9</v>
      </c>
      <c r="CQ30" s="75">
        <v>52.9</v>
      </c>
      <c r="CR30" s="74">
        <v>52.9</v>
      </c>
      <c r="CS30" s="32">
        <v>7.95</v>
      </c>
      <c r="CT30" s="34">
        <v>6.81</v>
      </c>
      <c r="CU30" s="13">
        <v>5.68</v>
      </c>
      <c r="CV30" s="545"/>
      <c r="CW30" s="534"/>
      <c r="CX30" s="884">
        <v>1620</v>
      </c>
      <c r="CY30" s="885">
        <v>1500</v>
      </c>
      <c r="CZ30" s="886">
        <v>1232</v>
      </c>
      <c r="DA30" s="884">
        <v>365</v>
      </c>
      <c r="DB30" s="885">
        <v>350</v>
      </c>
      <c r="DC30" s="886">
        <v>340</v>
      </c>
      <c r="DD30" s="884"/>
      <c r="DE30" s="885"/>
      <c r="DF30" s="886"/>
      <c r="DG30" s="884"/>
      <c r="DH30" s="885"/>
      <c r="DI30" s="886"/>
      <c r="DJ30" s="884"/>
      <c r="DK30" s="885"/>
      <c r="DL30" s="849" t="s">
        <v>500</v>
      </c>
      <c r="DM30" s="884">
        <v>-3.5</v>
      </c>
      <c r="DN30" s="885">
        <v>-3.3</v>
      </c>
      <c r="DO30" s="886">
        <v>-3</v>
      </c>
      <c r="DP30" s="884">
        <v>-3.5</v>
      </c>
      <c r="DQ30" s="885">
        <v>-3.3</v>
      </c>
      <c r="DR30" s="886">
        <v>-3</v>
      </c>
      <c r="DS30" s="238"/>
      <c r="DT30" s="238"/>
      <c r="DU30" s="583"/>
      <c r="DV30" s="154"/>
      <c r="DW30" s="144"/>
      <c r="DX30" s="132"/>
      <c r="DY30" s="132"/>
      <c r="DZ30" s="132"/>
      <c r="EA30" s="145"/>
      <c r="EB30" s="132"/>
      <c r="EC30" s="132"/>
      <c r="ED30" s="132"/>
      <c r="EE30" s="132"/>
      <c r="EF30" s="145"/>
      <c r="EG30" s="560"/>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row>
    <row r="31" spans="1:169" s="45" customFormat="1" ht="11" thickBot="1" x14ac:dyDescent="0.3">
      <c r="A31" s="238"/>
      <c r="B31" s="464" t="s">
        <v>501</v>
      </c>
      <c r="C31" s="13" t="s">
        <v>502</v>
      </c>
      <c r="D31" s="11">
        <v>315.57</v>
      </c>
      <c r="E31" s="12">
        <v>315.57</v>
      </c>
      <c r="F31" s="12">
        <v>315.57</v>
      </c>
      <c r="G31" s="12">
        <v>315.57</v>
      </c>
      <c r="H31" s="13">
        <v>315.57</v>
      </c>
      <c r="I31" s="11">
        <v>222</v>
      </c>
      <c r="J31" s="12">
        <v>222</v>
      </c>
      <c r="K31" s="12">
        <v>222</v>
      </c>
      <c r="L31" s="12">
        <v>221.67</v>
      </c>
      <c r="M31" s="13">
        <v>222</v>
      </c>
      <c r="N31" s="11">
        <v>210</v>
      </c>
      <c r="O31" s="12">
        <v>210</v>
      </c>
      <c r="P31" s="12">
        <v>210</v>
      </c>
      <c r="Q31" s="12">
        <v>210</v>
      </c>
      <c r="R31" s="13">
        <v>210</v>
      </c>
      <c r="S31" s="11">
        <v>215</v>
      </c>
      <c r="T31" s="12">
        <v>215</v>
      </c>
      <c r="U31" s="12">
        <v>210</v>
      </c>
      <c r="V31" s="12">
        <v>200</v>
      </c>
      <c r="W31" s="13">
        <v>200</v>
      </c>
      <c r="X31" s="11">
        <v>224</v>
      </c>
      <c r="Y31" s="12">
        <v>223.5</v>
      </c>
      <c r="Z31" s="12">
        <v>223.5</v>
      </c>
      <c r="AA31" s="12">
        <v>224.4</v>
      </c>
      <c r="AB31" s="13">
        <v>224</v>
      </c>
      <c r="AC31" s="11">
        <v>215</v>
      </c>
      <c r="AD31" s="12">
        <v>215</v>
      </c>
      <c r="AE31" s="12">
        <v>210</v>
      </c>
      <c r="AF31" s="12">
        <v>200</v>
      </c>
      <c r="AG31" s="13">
        <v>200</v>
      </c>
      <c r="AH31" s="11">
        <v>225</v>
      </c>
      <c r="AI31" s="12">
        <v>221</v>
      </c>
      <c r="AJ31" s="12">
        <v>221</v>
      </c>
      <c r="AK31" s="12">
        <v>221</v>
      </c>
      <c r="AL31" s="13">
        <v>220</v>
      </c>
      <c r="AM31" s="11">
        <v>225</v>
      </c>
      <c r="AN31" s="12">
        <v>223.33</v>
      </c>
      <c r="AO31" s="12">
        <v>223.33</v>
      </c>
      <c r="AP31" s="12">
        <v>224.12</v>
      </c>
      <c r="AQ31" s="13">
        <v>222</v>
      </c>
      <c r="AR31" s="11">
        <v>210</v>
      </c>
      <c r="AS31" s="12">
        <v>210</v>
      </c>
      <c r="AT31" s="12">
        <v>210</v>
      </c>
      <c r="AU31" s="12">
        <v>210</v>
      </c>
      <c r="AV31" s="13">
        <v>210</v>
      </c>
      <c r="AW31" s="11">
        <v>215</v>
      </c>
      <c r="AX31" s="12">
        <v>215</v>
      </c>
      <c r="AY31" s="12">
        <v>210</v>
      </c>
      <c r="AZ31" s="12">
        <v>205</v>
      </c>
      <c r="BA31" s="13">
        <v>200</v>
      </c>
      <c r="BB31" s="11">
        <v>225</v>
      </c>
      <c r="BC31" s="12">
        <v>221</v>
      </c>
      <c r="BD31" s="13">
        <v>221</v>
      </c>
      <c r="BE31" s="11">
        <v>215</v>
      </c>
      <c r="BF31" s="12">
        <v>210</v>
      </c>
      <c r="BG31" s="13">
        <v>210</v>
      </c>
      <c r="BH31" s="11">
        <v>210</v>
      </c>
      <c r="BI31" s="12">
        <v>210</v>
      </c>
      <c r="BJ31" s="12">
        <v>210</v>
      </c>
      <c r="BK31" s="12">
        <v>210</v>
      </c>
      <c r="BL31" s="13">
        <v>210</v>
      </c>
      <c r="BM31" s="11">
        <v>207.7</v>
      </c>
      <c r="BN31" s="12">
        <v>207.7</v>
      </c>
      <c r="BO31" s="12">
        <v>207.7</v>
      </c>
      <c r="BP31" s="12">
        <v>207.7</v>
      </c>
      <c r="BQ31" s="13">
        <v>207.7</v>
      </c>
      <c r="BR31" s="11">
        <v>210</v>
      </c>
      <c r="BS31" s="12">
        <v>210</v>
      </c>
      <c r="BT31" s="12">
        <v>210</v>
      </c>
      <c r="BU31" s="12">
        <v>210</v>
      </c>
      <c r="BV31" s="13">
        <v>210</v>
      </c>
      <c r="BW31" s="11">
        <v>250</v>
      </c>
      <c r="BX31" s="12">
        <v>250</v>
      </c>
      <c r="BY31" s="12">
        <v>250</v>
      </c>
      <c r="BZ31" s="12">
        <v>250</v>
      </c>
      <c r="CA31" s="13">
        <v>250</v>
      </c>
      <c r="CB31" s="11">
        <v>270</v>
      </c>
      <c r="CC31" s="12">
        <v>270</v>
      </c>
      <c r="CD31" s="12">
        <v>270</v>
      </c>
      <c r="CE31" s="12">
        <v>270</v>
      </c>
      <c r="CF31" s="13">
        <v>270</v>
      </c>
      <c r="CG31" s="11">
        <v>290</v>
      </c>
      <c r="CH31" s="12">
        <v>285</v>
      </c>
      <c r="CI31" s="13">
        <v>283</v>
      </c>
      <c r="CJ31" s="11">
        <v>285</v>
      </c>
      <c r="CK31" s="12">
        <v>280</v>
      </c>
      <c r="CL31" s="13">
        <v>280</v>
      </c>
      <c r="CM31" s="11"/>
      <c r="CN31" s="12"/>
      <c r="CO31" s="13"/>
      <c r="CP31" s="11">
        <v>250</v>
      </c>
      <c r="CQ31" s="75">
        <v>250</v>
      </c>
      <c r="CR31" s="74">
        <v>250</v>
      </c>
      <c r="CS31" s="11">
        <v>310</v>
      </c>
      <c r="CT31" s="13">
        <v>300</v>
      </c>
      <c r="CU31" s="13">
        <v>290</v>
      </c>
      <c r="CV31" s="548"/>
      <c r="CW31" s="534"/>
      <c r="CX31" s="884">
        <v>400</v>
      </c>
      <c r="CY31" s="885">
        <v>400</v>
      </c>
      <c r="CZ31" s="1165" t="e">
        <f>'Cropping allocation - baseline'!O70/'Cropping allocation - baseline'!S70</f>
        <v>#DIV/0!</v>
      </c>
      <c r="DA31" s="884">
        <v>400</v>
      </c>
      <c r="DB31" s="885">
        <v>400</v>
      </c>
      <c r="DC31" s="1165" t="e">
        <f>'Cropping allocation - baseline'!O70/'Cropping allocation - baseline'!S70</f>
        <v>#DIV/0!</v>
      </c>
      <c r="DD31" s="884"/>
      <c r="DE31" s="885"/>
      <c r="DF31" s="886"/>
      <c r="DG31" s="884"/>
      <c r="DH31" s="885"/>
      <c r="DI31" s="886"/>
      <c r="DJ31" s="884"/>
      <c r="DK31" s="885"/>
      <c r="DL31" s="849" t="s">
        <v>503</v>
      </c>
      <c r="DM31" s="908">
        <v>1</v>
      </c>
      <c r="DN31" s="909">
        <v>1</v>
      </c>
      <c r="DO31" s="910">
        <v>1</v>
      </c>
      <c r="DP31" s="908">
        <v>1</v>
      </c>
      <c r="DQ31" s="909">
        <v>1</v>
      </c>
      <c r="DR31" s="910">
        <v>1</v>
      </c>
      <c r="DS31" s="238"/>
      <c r="DT31" s="238"/>
      <c r="DU31" s="584" t="s">
        <v>494</v>
      </c>
      <c r="DV31" s="147" t="s">
        <v>472</v>
      </c>
      <c r="DW31" s="144">
        <v>625.6875</v>
      </c>
      <c r="DX31" s="132">
        <v>639.20000000000005</v>
      </c>
      <c r="DY31" s="132">
        <v>611</v>
      </c>
      <c r="DZ31" s="132">
        <v>582.79999999999995</v>
      </c>
      <c r="EA31" s="145">
        <v>599.25</v>
      </c>
      <c r="EB31" s="132">
        <v>460.08</v>
      </c>
      <c r="EC31" s="132">
        <v>444.72</v>
      </c>
      <c r="ED31" s="132">
        <v>418.56</v>
      </c>
      <c r="EE31" s="132">
        <v>405.48</v>
      </c>
      <c r="EF31" s="145">
        <v>396</v>
      </c>
      <c r="EG31" s="560"/>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row>
    <row r="32" spans="1:169" s="477" customFormat="1" ht="11" thickBot="1" x14ac:dyDescent="0.3">
      <c r="A32" s="238"/>
      <c r="B32" s="471"/>
      <c r="C32" s="472"/>
      <c r="D32" s="473"/>
      <c r="E32" s="474"/>
      <c r="F32" s="474"/>
      <c r="G32" s="474"/>
      <c r="H32" s="472"/>
      <c r="I32" s="473"/>
      <c r="J32" s="474"/>
      <c r="K32" s="474"/>
      <c r="L32" s="474"/>
      <c r="M32" s="472"/>
      <c r="N32" s="473"/>
      <c r="O32" s="474"/>
      <c r="P32" s="474"/>
      <c r="Q32" s="474"/>
      <c r="R32" s="472"/>
      <c r="S32" s="473"/>
      <c r="T32" s="474"/>
      <c r="U32" s="474"/>
      <c r="V32" s="474"/>
      <c r="W32" s="472"/>
      <c r="X32" s="473"/>
      <c r="Y32" s="474"/>
      <c r="Z32" s="474"/>
      <c r="AA32" s="474"/>
      <c r="AB32" s="472"/>
      <c r="AC32" s="473"/>
      <c r="AD32" s="474"/>
      <c r="AE32" s="474"/>
      <c r="AF32" s="474"/>
      <c r="AG32" s="472"/>
      <c r="AH32" s="473"/>
      <c r="AI32" s="474"/>
      <c r="AJ32" s="474"/>
      <c r="AK32" s="474"/>
      <c r="AL32" s="472"/>
      <c r="AM32" s="473"/>
      <c r="AN32" s="474"/>
      <c r="AO32" s="474"/>
      <c r="AP32" s="474"/>
      <c r="AQ32" s="472"/>
      <c r="AR32" s="473"/>
      <c r="AS32" s="474"/>
      <c r="AT32" s="474"/>
      <c r="AU32" s="474"/>
      <c r="AV32" s="472"/>
      <c r="AW32" s="473"/>
      <c r="AX32" s="474"/>
      <c r="AY32" s="474"/>
      <c r="AZ32" s="474"/>
      <c r="BA32" s="472"/>
      <c r="BB32" s="473"/>
      <c r="BC32" s="474"/>
      <c r="BD32" s="472"/>
      <c r="BE32" s="473"/>
      <c r="BF32" s="474"/>
      <c r="BG32" s="472"/>
      <c r="BH32" s="473"/>
      <c r="BI32" s="474"/>
      <c r="BJ32" s="474"/>
      <c r="BK32" s="474"/>
      <c r="BL32" s="472"/>
      <c r="BM32" s="473"/>
      <c r="BN32" s="474"/>
      <c r="BO32" s="474"/>
      <c r="BP32" s="474"/>
      <c r="BQ32" s="472"/>
      <c r="BR32" s="473"/>
      <c r="BS32" s="474"/>
      <c r="BT32" s="474"/>
      <c r="BU32" s="474"/>
      <c r="BV32" s="472"/>
      <c r="BW32" s="473"/>
      <c r="BX32" s="474"/>
      <c r="BY32" s="474"/>
      <c r="BZ32" s="474"/>
      <c r="CA32" s="472"/>
      <c r="CB32" s="473"/>
      <c r="CC32" s="474"/>
      <c r="CD32" s="474"/>
      <c r="CE32" s="474"/>
      <c r="CF32" s="472"/>
      <c r="CG32" s="473"/>
      <c r="CH32" s="474"/>
      <c r="CI32" s="472"/>
      <c r="CJ32" s="473"/>
      <c r="CK32" s="474"/>
      <c r="CL32" s="472"/>
      <c r="CM32" s="473"/>
      <c r="CN32" s="474"/>
      <c r="CO32" s="472"/>
      <c r="CP32" s="473"/>
      <c r="CQ32" s="475"/>
      <c r="CR32" s="476"/>
      <c r="CS32" s="473"/>
      <c r="CT32" s="472"/>
      <c r="CU32" s="472"/>
      <c r="CV32" s="545"/>
      <c r="CW32" s="549"/>
      <c r="CX32" s="862"/>
      <c r="CY32" s="863"/>
      <c r="CZ32" s="864"/>
      <c r="DA32" s="862"/>
      <c r="DB32" s="863"/>
      <c r="DC32" s="864"/>
      <c r="DD32" s="862"/>
      <c r="DE32" s="863"/>
      <c r="DF32" s="864"/>
      <c r="DG32" s="862"/>
      <c r="DH32" s="863"/>
      <c r="DI32" s="864"/>
      <c r="DJ32" s="862"/>
      <c r="DK32" s="863"/>
      <c r="DL32" s="864"/>
      <c r="DM32" s="862"/>
      <c r="DN32" s="863"/>
      <c r="DO32" s="864"/>
      <c r="DP32" s="862"/>
      <c r="DQ32" s="863"/>
      <c r="DR32" s="864"/>
      <c r="DS32" s="238"/>
      <c r="DT32" s="238"/>
      <c r="DU32" s="586"/>
      <c r="DV32" s="478"/>
      <c r="DW32" s="479"/>
      <c r="DX32" s="480"/>
      <c r="DY32" s="480"/>
      <c r="DZ32" s="480"/>
      <c r="EA32" s="481"/>
      <c r="EB32" s="480"/>
      <c r="EC32" s="480"/>
      <c r="ED32" s="480"/>
      <c r="EE32" s="480"/>
      <c r="EF32" s="481"/>
      <c r="EG32" s="560"/>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row>
    <row r="33" spans="1:169" s="45" customFormat="1" ht="9.65" customHeight="1" x14ac:dyDescent="0.25">
      <c r="A33" s="238"/>
      <c r="B33" s="76" t="s">
        <v>504</v>
      </c>
      <c r="C33" s="22"/>
      <c r="D33" s="20"/>
      <c r="E33" s="21"/>
      <c r="F33" s="21"/>
      <c r="G33" s="21"/>
      <c r="H33" s="22"/>
      <c r="I33" s="20"/>
      <c r="J33" s="21"/>
      <c r="K33" s="21"/>
      <c r="L33" s="21"/>
      <c r="M33" s="22"/>
      <c r="N33" s="20"/>
      <c r="O33" s="21"/>
      <c r="P33" s="21"/>
      <c r="Q33" s="21"/>
      <c r="R33" s="22"/>
      <c r="S33" s="20"/>
      <c r="T33" s="21"/>
      <c r="U33" s="21"/>
      <c r="V33" s="21"/>
      <c r="W33" s="22"/>
      <c r="X33" s="20"/>
      <c r="Y33" s="21"/>
      <c r="Z33" s="21"/>
      <c r="AA33" s="21"/>
      <c r="AB33" s="22"/>
      <c r="AC33" s="20"/>
      <c r="AD33" s="21"/>
      <c r="AE33" s="21"/>
      <c r="AF33" s="21"/>
      <c r="AG33" s="22"/>
      <c r="AH33" s="20"/>
      <c r="AI33" s="21"/>
      <c r="AJ33" s="21"/>
      <c r="AK33" s="21"/>
      <c r="AL33" s="22"/>
      <c r="AM33" s="20"/>
      <c r="AN33" s="21"/>
      <c r="AO33" s="21"/>
      <c r="AP33" s="21"/>
      <c r="AQ33" s="22"/>
      <c r="AR33" s="20"/>
      <c r="AS33" s="21"/>
      <c r="AT33" s="21"/>
      <c r="AU33" s="21"/>
      <c r="AV33" s="22"/>
      <c r="AW33" s="20"/>
      <c r="AX33" s="21"/>
      <c r="AY33" s="21"/>
      <c r="AZ33" s="21"/>
      <c r="BA33" s="22"/>
      <c r="BB33" s="20"/>
      <c r="BC33" s="21"/>
      <c r="BD33" s="22"/>
      <c r="BE33" s="20"/>
      <c r="BF33" s="21"/>
      <c r="BG33" s="22"/>
      <c r="BH33" s="20"/>
      <c r="BI33" s="21"/>
      <c r="BJ33" s="21"/>
      <c r="BK33" s="21"/>
      <c r="BL33" s="22"/>
      <c r="BM33" s="20"/>
      <c r="BN33" s="21"/>
      <c r="BO33" s="21"/>
      <c r="BP33" s="21"/>
      <c r="BQ33" s="22"/>
      <c r="BR33" s="20"/>
      <c r="BS33" s="21"/>
      <c r="BT33" s="21"/>
      <c r="BU33" s="21"/>
      <c r="BV33" s="22"/>
      <c r="BW33" s="20"/>
      <c r="BX33" s="21"/>
      <c r="BY33" s="21"/>
      <c r="BZ33" s="21"/>
      <c r="CA33" s="22"/>
      <c r="CB33" s="20"/>
      <c r="CC33" s="21"/>
      <c r="CD33" s="21"/>
      <c r="CE33" s="21"/>
      <c r="CF33" s="22"/>
      <c r="CG33" s="20"/>
      <c r="CH33" s="21"/>
      <c r="CI33" s="22"/>
      <c r="CJ33" s="20"/>
      <c r="CK33" s="21"/>
      <c r="CL33" s="22"/>
      <c r="CM33" s="20"/>
      <c r="CN33" s="21"/>
      <c r="CO33" s="22"/>
      <c r="CP33" s="20"/>
      <c r="CQ33" s="17"/>
      <c r="CR33" s="22"/>
      <c r="CS33" s="20"/>
      <c r="CT33" s="22"/>
      <c r="CU33" s="22"/>
      <c r="CV33" s="548"/>
      <c r="CW33" s="549"/>
      <c r="CX33" s="847"/>
      <c r="CY33" s="848"/>
      <c r="CZ33" s="849"/>
      <c r="DA33" s="847"/>
      <c r="DB33" s="848"/>
      <c r="DC33" s="849"/>
      <c r="DD33" s="847"/>
      <c r="DE33" s="848"/>
      <c r="DF33" s="849"/>
      <c r="DG33" s="847"/>
      <c r="DH33" s="848"/>
      <c r="DI33" s="849"/>
      <c r="DJ33" s="847"/>
      <c r="DK33" s="848"/>
      <c r="DL33" s="849"/>
      <c r="DM33" s="847"/>
      <c r="DN33" s="848"/>
      <c r="DO33" s="849"/>
      <c r="DP33" s="847"/>
      <c r="DQ33" s="848"/>
      <c r="DR33" s="849"/>
      <c r="DS33" s="238"/>
      <c r="DT33" s="238"/>
      <c r="DU33" s="583" t="s">
        <v>505</v>
      </c>
      <c r="DV33" s="147" t="s">
        <v>472</v>
      </c>
      <c r="DW33" s="144">
        <v>85</v>
      </c>
      <c r="DX33" s="132">
        <v>82</v>
      </c>
      <c r="DY33" s="132">
        <v>80</v>
      </c>
      <c r="DZ33" s="132">
        <v>78</v>
      </c>
      <c r="EA33" s="145">
        <v>75</v>
      </c>
      <c r="EB33" s="132">
        <v>45</v>
      </c>
      <c r="EC33" s="132">
        <v>43</v>
      </c>
      <c r="ED33" s="132">
        <v>42</v>
      </c>
      <c r="EE33" s="132">
        <v>41</v>
      </c>
      <c r="EF33" s="145">
        <v>40</v>
      </c>
      <c r="EG33" s="560"/>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row>
    <row r="34" spans="1:169" s="1045" customFormat="1" ht="12" customHeight="1" x14ac:dyDescent="0.25">
      <c r="B34" s="1046" t="s">
        <v>506</v>
      </c>
      <c r="C34" s="1047" t="s">
        <v>507</v>
      </c>
      <c r="D34" s="1048"/>
      <c r="E34" s="1049"/>
      <c r="F34" s="1049"/>
      <c r="G34" s="1049"/>
      <c r="H34" s="1047"/>
      <c r="I34" s="1048">
        <v>459</v>
      </c>
      <c r="J34" s="1049">
        <v>465.8</v>
      </c>
      <c r="K34" s="1049">
        <v>487.2</v>
      </c>
      <c r="L34" s="1049">
        <v>550.02</v>
      </c>
      <c r="M34" s="1047">
        <v>578</v>
      </c>
      <c r="N34" s="1048">
        <v>1073</v>
      </c>
      <c r="O34" s="1049">
        <v>1093.72</v>
      </c>
      <c r="P34" s="1049">
        <v>1105.375</v>
      </c>
      <c r="Q34" s="1049">
        <v>1117.03</v>
      </c>
      <c r="R34" s="1047">
        <v>1137.75</v>
      </c>
      <c r="S34" s="1048">
        <v>1045</v>
      </c>
      <c r="T34" s="1049">
        <v>1045</v>
      </c>
      <c r="U34" s="1049">
        <v>1045</v>
      </c>
      <c r="V34" s="1049">
        <v>1045</v>
      </c>
      <c r="W34" s="1047">
        <v>1045</v>
      </c>
      <c r="X34" s="1048">
        <v>567.64499999999998</v>
      </c>
      <c r="Y34" s="1049">
        <v>602.57999999999993</v>
      </c>
      <c r="Z34" s="1049">
        <v>630.69999999999993</v>
      </c>
      <c r="AA34" s="1049">
        <v>686.64749999999992</v>
      </c>
      <c r="AB34" s="1047">
        <v>712.57999999999993</v>
      </c>
      <c r="AC34" s="1048">
        <v>978.5</v>
      </c>
      <c r="AD34" s="1049">
        <v>1022.1999999999999</v>
      </c>
      <c r="AE34" s="1049">
        <v>1064</v>
      </c>
      <c r="AF34" s="1049">
        <v>1103.8999999999999</v>
      </c>
      <c r="AG34" s="1047">
        <v>1140</v>
      </c>
      <c r="AH34" s="1048">
        <v>415.73999999999995</v>
      </c>
      <c r="AI34" s="1049">
        <v>448.56</v>
      </c>
      <c r="AJ34" s="1049">
        <v>469.56</v>
      </c>
      <c r="AK34" s="1049">
        <v>505.12</v>
      </c>
      <c r="AL34" s="1047">
        <v>548.1</v>
      </c>
      <c r="AM34" s="1048">
        <v>538.20000000000005</v>
      </c>
      <c r="AN34" s="1049">
        <v>583.83999999999992</v>
      </c>
      <c r="AO34" s="1049">
        <v>611.52</v>
      </c>
      <c r="AP34" s="1049">
        <v>652.30999999999995</v>
      </c>
      <c r="AQ34" s="1047">
        <v>702.24</v>
      </c>
      <c r="AR34" s="1048">
        <v>921.5</v>
      </c>
      <c r="AS34" s="1049">
        <v>931</v>
      </c>
      <c r="AT34" s="1049">
        <v>940.5</v>
      </c>
      <c r="AU34" s="1049">
        <v>950</v>
      </c>
      <c r="AV34" s="1047">
        <v>959.5</v>
      </c>
      <c r="AW34" s="1048">
        <v>1037.3999999999999</v>
      </c>
      <c r="AX34" s="1049">
        <v>1046.8999999999999</v>
      </c>
      <c r="AY34" s="1049">
        <v>1056.3999999999999</v>
      </c>
      <c r="AZ34" s="1049">
        <v>1065.8999999999999</v>
      </c>
      <c r="BA34" s="1047">
        <v>1075.3999999999999</v>
      </c>
      <c r="BB34" s="1048">
        <v>408.57599999999996</v>
      </c>
      <c r="BC34" s="1049">
        <v>424.84</v>
      </c>
      <c r="BD34" s="1047">
        <v>459.88800000000003</v>
      </c>
      <c r="BE34" s="1048">
        <v>927</v>
      </c>
      <c r="BF34" s="1049">
        <v>980.5</v>
      </c>
      <c r="BG34" s="1047">
        <v>1075.3999999999999</v>
      </c>
      <c r="BH34" s="1048">
        <v>131</v>
      </c>
      <c r="BI34" s="1049">
        <v>138</v>
      </c>
      <c r="BJ34" s="1049">
        <v>145</v>
      </c>
      <c r="BK34" s="1049">
        <v>152</v>
      </c>
      <c r="BL34" s="1047">
        <v>160</v>
      </c>
      <c r="BM34" s="1048">
        <v>83.591999999999999</v>
      </c>
      <c r="BN34" s="1049">
        <v>99.626309999999989</v>
      </c>
      <c r="BO34" s="1049">
        <v>122.50800000000001</v>
      </c>
      <c r="BP34" s="1049">
        <v>144.16584</v>
      </c>
      <c r="BQ34" s="1047">
        <v>165.048</v>
      </c>
      <c r="BR34" s="1048">
        <v>90</v>
      </c>
      <c r="BS34" s="1049">
        <v>92.25</v>
      </c>
      <c r="BT34" s="1049">
        <v>96.75</v>
      </c>
      <c r="BU34" s="1049">
        <v>101.25</v>
      </c>
      <c r="BV34" s="1047">
        <v>103.5</v>
      </c>
      <c r="BW34" s="1048">
        <v>69.426000000000002</v>
      </c>
      <c r="BX34" s="1049">
        <v>82.121039999999979</v>
      </c>
      <c r="BY34" s="1049">
        <v>101.98420999999999</v>
      </c>
      <c r="BZ34" s="1049">
        <v>113.72944</v>
      </c>
      <c r="CA34" s="1047">
        <v>122.00565</v>
      </c>
      <c r="CB34" s="1048">
        <v>25</v>
      </c>
      <c r="CC34" s="1049">
        <v>26.65</v>
      </c>
      <c r="CD34" s="1049">
        <v>42.4</v>
      </c>
      <c r="CE34" s="1049">
        <v>61.75</v>
      </c>
      <c r="CF34" s="1047">
        <v>65</v>
      </c>
      <c r="CG34" s="1048">
        <v>1206.7</v>
      </c>
      <c r="CH34" s="1049">
        <v>1335.95</v>
      </c>
      <c r="CI34" s="1047">
        <v>1459.7</v>
      </c>
      <c r="CJ34" s="1048">
        <v>128.76</v>
      </c>
      <c r="CK34" s="1049">
        <v>129.91999999999999</v>
      </c>
      <c r="CL34" s="1047">
        <v>127.6</v>
      </c>
      <c r="CM34" s="1048">
        <v>128.76</v>
      </c>
      <c r="CN34" s="1049">
        <v>129.91999999999999</v>
      </c>
      <c r="CO34" s="1047">
        <v>127.6</v>
      </c>
      <c r="CP34" s="1050">
        <v>23.734999999999999</v>
      </c>
      <c r="CQ34" s="1051">
        <v>25.25</v>
      </c>
      <c r="CR34" s="1052">
        <v>26.926600000000001</v>
      </c>
      <c r="CS34" s="1053">
        <v>4.6818749999999998</v>
      </c>
      <c r="CT34" s="1054">
        <v>5.1074999999999999</v>
      </c>
      <c r="CU34" s="1054">
        <v>5.5331250000000001</v>
      </c>
      <c r="CV34" s="1043"/>
      <c r="CW34" s="1044"/>
      <c r="CX34" s="1055">
        <f>CX28*CX29/100</f>
        <v>2250</v>
      </c>
      <c r="CY34" s="1056">
        <f>CY28*CY29/100</f>
        <v>2280</v>
      </c>
      <c r="CZ34" s="1071">
        <f>CZ28*CZ29/100</f>
        <v>2242.2399999999998</v>
      </c>
      <c r="DA34" s="1055">
        <v>1650</v>
      </c>
      <c r="DB34" s="1056">
        <v>1650</v>
      </c>
      <c r="DC34" s="1056">
        <f>DB34*(1+C56)</f>
        <v>2359.5</v>
      </c>
      <c r="DD34" s="1055">
        <v>500</v>
      </c>
      <c r="DE34" s="1056">
        <v>530</v>
      </c>
      <c r="DF34" s="1066">
        <f>K34*(1+C56)</f>
        <v>696.69599999999991</v>
      </c>
      <c r="DG34" s="1055">
        <v>395</v>
      </c>
      <c r="DH34" s="1056">
        <v>415</v>
      </c>
      <c r="DI34" s="1066">
        <f>AJ34*(1+C56)</f>
        <v>671.47079999999994</v>
      </c>
      <c r="DJ34" s="1055">
        <v>500</v>
      </c>
      <c r="DK34" s="1056">
        <v>610</v>
      </c>
      <c r="DL34" s="1066">
        <f>AT34*(1+C56)</f>
        <v>1344.915</v>
      </c>
      <c r="DM34" s="1057">
        <v>92.012</v>
      </c>
      <c r="DN34" s="1058">
        <v>98.105599999999995</v>
      </c>
      <c r="DO34" s="1059">
        <f>BT34*(1+C56)</f>
        <v>138.35249999999999</v>
      </c>
      <c r="DP34" s="1057">
        <v>65.820000000000007</v>
      </c>
      <c r="DQ34" s="1058">
        <v>67.608000000000004</v>
      </c>
      <c r="DR34" s="1059">
        <f>CD34*(1+C56)</f>
        <v>60.631999999999998</v>
      </c>
      <c r="DU34" s="1060" t="s">
        <v>508</v>
      </c>
      <c r="DV34" s="1061" t="s">
        <v>472</v>
      </c>
      <c r="DW34" s="1062">
        <v>68</v>
      </c>
      <c r="DX34" s="1063">
        <v>66</v>
      </c>
      <c r="DY34" s="1063">
        <v>64</v>
      </c>
      <c r="DZ34" s="1063">
        <v>62</v>
      </c>
      <c r="EA34" s="1064">
        <v>60</v>
      </c>
      <c r="EB34" s="1063">
        <v>46</v>
      </c>
      <c r="EC34" s="1063">
        <v>45</v>
      </c>
      <c r="ED34" s="1063">
        <v>44</v>
      </c>
      <c r="EE34" s="1063">
        <v>43</v>
      </c>
      <c r="EF34" s="1064">
        <v>42</v>
      </c>
      <c r="EG34" s="1065"/>
    </row>
    <row r="35" spans="1:169" s="45" customFormat="1" x14ac:dyDescent="0.25">
      <c r="A35" s="238"/>
      <c r="B35" s="463" t="s">
        <v>509</v>
      </c>
      <c r="C35" s="22"/>
      <c r="D35" s="20">
        <v>1302.24</v>
      </c>
      <c r="E35" s="21">
        <v>1349.7825</v>
      </c>
      <c r="F35" s="21">
        <v>1420.35</v>
      </c>
      <c r="G35" s="21">
        <v>1490.9175</v>
      </c>
      <c r="H35" s="22">
        <v>1514.44</v>
      </c>
      <c r="I35" s="20">
        <v>-162.56666666666666</v>
      </c>
      <c r="J35" s="21">
        <v>-154.23333333333332</v>
      </c>
      <c r="K35" s="21">
        <v>-154.23333333333332</v>
      </c>
      <c r="L35" s="21">
        <v>-154.23333333333332</v>
      </c>
      <c r="M35" s="22">
        <v>-146.88039215686271</v>
      </c>
      <c r="N35" s="20"/>
      <c r="O35" s="21"/>
      <c r="P35" s="21"/>
      <c r="Q35" s="21"/>
      <c r="R35" s="22"/>
      <c r="S35" s="20"/>
      <c r="T35" s="21"/>
      <c r="U35" s="21"/>
      <c r="V35" s="21"/>
      <c r="W35" s="22"/>
      <c r="X35" s="20">
        <v>-171.75714285714284</v>
      </c>
      <c r="Y35" s="21">
        <v>-171.75714285714284</v>
      </c>
      <c r="Z35" s="21">
        <v>-171.75714285714284</v>
      </c>
      <c r="AA35" s="21">
        <v>-171.75714285714284</v>
      </c>
      <c r="AB35" s="22">
        <v>-171.75714285714284</v>
      </c>
      <c r="AC35" s="20"/>
      <c r="AD35" s="21"/>
      <c r="AE35" s="21"/>
      <c r="AF35" s="21"/>
      <c r="AG35" s="22"/>
      <c r="AH35" s="20">
        <v>-161.46666666666667</v>
      </c>
      <c r="AI35" s="21">
        <v>-161.46666666666667</v>
      </c>
      <c r="AJ35" s="21">
        <v>-161.46666666666667</v>
      </c>
      <c r="AK35" s="21">
        <v>-161.46666666666667</v>
      </c>
      <c r="AL35" s="22">
        <v>-161.46666666666667</v>
      </c>
      <c r="AM35" s="20">
        <v>-179.32380952380953</v>
      </c>
      <c r="AN35" s="21">
        <v>-179.32380952380953</v>
      </c>
      <c r="AO35" s="21">
        <v>-179.32380952380953</v>
      </c>
      <c r="AP35" s="21">
        <v>-179.32380952380953</v>
      </c>
      <c r="AQ35" s="22">
        <v>-179.32380952380953</v>
      </c>
      <c r="AR35" s="20"/>
      <c r="AS35" s="21"/>
      <c r="AT35" s="40"/>
      <c r="AU35" s="21"/>
      <c r="AV35" s="22"/>
      <c r="AW35" s="20"/>
      <c r="AX35" s="21"/>
      <c r="AY35" s="40"/>
      <c r="AZ35" s="21"/>
      <c r="BA35" s="22"/>
      <c r="BB35" s="20">
        <v>-135.38333333333333</v>
      </c>
      <c r="BC35" s="21">
        <v>-135.38333333333333</v>
      </c>
      <c r="BD35" s="22">
        <v>-135.38333333333333</v>
      </c>
      <c r="BE35" s="20"/>
      <c r="BF35" s="21"/>
      <c r="BG35" s="22"/>
      <c r="BH35" s="20"/>
      <c r="BI35" s="21"/>
      <c r="BJ35" s="21"/>
      <c r="BK35" s="21"/>
      <c r="BL35" s="22"/>
      <c r="BM35" s="20">
        <v>-20.25</v>
      </c>
      <c r="BN35" s="21">
        <v>-20.239999999999998</v>
      </c>
      <c r="BO35" s="21">
        <v>-20.239999999999998</v>
      </c>
      <c r="BP35" s="21">
        <v>-20.239999999999998</v>
      </c>
      <c r="BQ35" s="22">
        <v>-20.25</v>
      </c>
      <c r="BR35" s="20"/>
      <c r="BS35" s="21"/>
      <c r="BT35" s="21"/>
      <c r="BU35" s="21"/>
      <c r="BV35" s="22"/>
      <c r="BW35" s="20">
        <v>-29.375</v>
      </c>
      <c r="BX35" s="21">
        <v>-29.375</v>
      </c>
      <c r="BY35" s="21">
        <v>-29.375</v>
      </c>
      <c r="BZ35" s="21">
        <v>-29.375</v>
      </c>
      <c r="CA35" s="22">
        <v>-29.375</v>
      </c>
      <c r="CB35" s="20">
        <v>-6</v>
      </c>
      <c r="CC35" s="21">
        <v>-5.71</v>
      </c>
      <c r="CD35" s="21">
        <v>-5.71</v>
      </c>
      <c r="CE35" s="21">
        <v>-5.71</v>
      </c>
      <c r="CF35" s="22">
        <v>-6</v>
      </c>
      <c r="CG35" s="20">
        <v>-102.28</v>
      </c>
      <c r="CH35" s="21">
        <v>-101.94</v>
      </c>
      <c r="CI35" s="22">
        <v>-101.73</v>
      </c>
      <c r="CJ35" s="20"/>
      <c r="CK35" s="21"/>
      <c r="CL35" s="22"/>
      <c r="CM35" s="35">
        <v>-4.6618049225159526</v>
      </c>
      <c r="CN35" s="17">
        <v>-4.1967888019761217</v>
      </c>
      <c r="CO35" s="30">
        <v>-3.833082140165788</v>
      </c>
      <c r="CP35" s="24">
        <v>-4.2460000000000004</v>
      </c>
      <c r="CQ35" s="23">
        <v>-4.2254999999999994</v>
      </c>
      <c r="CR35" s="25">
        <v>-4.1639999999999997</v>
      </c>
      <c r="CS35" s="24">
        <v>-0.77</v>
      </c>
      <c r="CT35" s="25">
        <v>-0.77</v>
      </c>
      <c r="CU35" s="25">
        <v>-0.77</v>
      </c>
      <c r="CV35" s="545"/>
      <c r="CW35" s="550"/>
      <c r="CX35" s="884">
        <v>-300</v>
      </c>
      <c r="CY35" s="885">
        <v>-200</v>
      </c>
      <c r="CZ35" s="886">
        <v>-140</v>
      </c>
      <c r="DA35" s="847">
        <v>-262.5</v>
      </c>
      <c r="DB35" s="848">
        <v>-262.5</v>
      </c>
      <c r="DC35" s="849">
        <v>-262.5</v>
      </c>
      <c r="DD35" s="847">
        <v>-80</v>
      </c>
      <c r="DE35" s="848">
        <v>-70</v>
      </c>
      <c r="DF35" s="849">
        <v>-50</v>
      </c>
      <c r="DG35" s="847">
        <v>-100</v>
      </c>
      <c r="DH35" s="848">
        <v>-90</v>
      </c>
      <c r="DI35" s="849">
        <v>-70</v>
      </c>
      <c r="DJ35" s="847"/>
      <c r="DK35" s="848"/>
      <c r="DL35" s="849"/>
      <c r="DM35" s="102">
        <v>-3.5</v>
      </c>
      <c r="DN35" s="103">
        <v>-3.3</v>
      </c>
      <c r="DO35" s="243">
        <v>-3</v>
      </c>
      <c r="DP35" s="102">
        <v>-3.5</v>
      </c>
      <c r="DQ35" s="103">
        <v>-3.3</v>
      </c>
      <c r="DR35" s="243">
        <v>-3</v>
      </c>
      <c r="DS35" s="238"/>
      <c r="DT35" s="238"/>
      <c r="DU35" s="583" t="s">
        <v>255</v>
      </c>
      <c r="DV35" s="147" t="s">
        <v>472</v>
      </c>
      <c r="DW35" s="144">
        <v>62</v>
      </c>
      <c r="DX35" s="132">
        <v>62</v>
      </c>
      <c r="DY35" s="132">
        <v>60</v>
      </c>
      <c r="DZ35" s="132">
        <v>58</v>
      </c>
      <c r="EA35" s="145">
        <v>58</v>
      </c>
      <c r="EB35" s="132">
        <v>35</v>
      </c>
      <c r="EC35" s="132">
        <v>35</v>
      </c>
      <c r="ED35" s="132">
        <v>34</v>
      </c>
      <c r="EE35" s="132">
        <v>33</v>
      </c>
      <c r="EF35" s="145">
        <v>33</v>
      </c>
      <c r="EG35" s="289"/>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row>
    <row r="36" spans="1:169" s="45" customFormat="1" ht="11" thickBot="1" x14ac:dyDescent="0.3">
      <c r="A36" s="513"/>
      <c r="B36" s="463" t="s">
        <v>510</v>
      </c>
      <c r="C36" s="22"/>
      <c r="D36" s="20">
        <v>-178.5</v>
      </c>
      <c r="E36" s="21">
        <v>-178.5</v>
      </c>
      <c r="F36" s="21">
        <v>-178.5</v>
      </c>
      <c r="G36" s="21">
        <v>-178.5</v>
      </c>
      <c r="H36" s="22">
        <v>-178.5</v>
      </c>
      <c r="I36" s="20">
        <v>-5.0999999999999996</v>
      </c>
      <c r="J36" s="21">
        <v>-5.0999999999999996</v>
      </c>
      <c r="K36" s="21">
        <v>-5.0999999999999996</v>
      </c>
      <c r="L36" s="21">
        <v>-5.0999999999999996</v>
      </c>
      <c r="M36" s="22">
        <v>-5.0999999999999996</v>
      </c>
      <c r="N36" s="20">
        <v>-778.68000000000006</v>
      </c>
      <c r="O36" s="21">
        <v>-778.68000000000006</v>
      </c>
      <c r="P36" s="21">
        <v>-771.12</v>
      </c>
      <c r="Q36" s="21">
        <v>-763.56000000000006</v>
      </c>
      <c r="R36" s="22">
        <v>-763.56000000000006</v>
      </c>
      <c r="S36" s="20">
        <v>-782.80000000000007</v>
      </c>
      <c r="T36" s="21">
        <v>-778.99999999999989</v>
      </c>
      <c r="U36" s="21">
        <v>-775.2</v>
      </c>
      <c r="V36" s="21">
        <v>-771.4</v>
      </c>
      <c r="W36" s="22">
        <v>-767.6</v>
      </c>
      <c r="X36" s="20">
        <v>-6.8</v>
      </c>
      <c r="Y36" s="21">
        <v>-6.8</v>
      </c>
      <c r="Z36" s="21">
        <v>-6.8</v>
      </c>
      <c r="AA36" s="21">
        <v>-6.8</v>
      </c>
      <c r="AB36" s="22">
        <v>-6.8</v>
      </c>
      <c r="AC36" s="20">
        <v>-763.23</v>
      </c>
      <c r="AD36" s="21">
        <v>-763.23</v>
      </c>
      <c r="AE36" s="21">
        <v>-755.82</v>
      </c>
      <c r="AF36" s="21">
        <v>-748.41</v>
      </c>
      <c r="AG36" s="22">
        <v>-748.41</v>
      </c>
      <c r="AH36" s="20">
        <v>-5.0999999999999996</v>
      </c>
      <c r="AI36" s="21">
        <v>-5.0999999999999996</v>
      </c>
      <c r="AJ36" s="21">
        <v>-5.0999999999999996</v>
      </c>
      <c r="AK36" s="21">
        <v>-5.0999999999999996</v>
      </c>
      <c r="AL36" s="22">
        <v>-5.0999999999999996</v>
      </c>
      <c r="AM36" s="20">
        <v>-6.8</v>
      </c>
      <c r="AN36" s="21">
        <v>-6.8</v>
      </c>
      <c r="AO36" s="21">
        <v>-6.8</v>
      </c>
      <c r="AP36" s="21">
        <v>-6.8</v>
      </c>
      <c r="AQ36" s="22">
        <v>-6.8</v>
      </c>
      <c r="AR36" s="20">
        <v>-668.61</v>
      </c>
      <c r="AS36" s="21">
        <v>-665.33249999999998</v>
      </c>
      <c r="AT36" s="21">
        <v>-662.05499999999995</v>
      </c>
      <c r="AU36" s="21">
        <v>-662.05499999999995</v>
      </c>
      <c r="AV36" s="22">
        <v>-662.05499999999995</v>
      </c>
      <c r="AW36" s="20">
        <v>-687.99</v>
      </c>
      <c r="AX36" s="21">
        <v>-684.61749999999995</v>
      </c>
      <c r="AY36" s="21">
        <v>-681.245</v>
      </c>
      <c r="AZ36" s="21">
        <v>-681.245</v>
      </c>
      <c r="BA36" s="22">
        <v>-681.245</v>
      </c>
      <c r="BB36" s="20">
        <v>-5.0999999999999996</v>
      </c>
      <c r="BC36" s="21">
        <v>-5.0999999999999996</v>
      </c>
      <c r="BD36" s="22">
        <v>-5.0999999999999996</v>
      </c>
      <c r="BE36" s="20">
        <v>-508.82</v>
      </c>
      <c r="BF36" s="21">
        <v>-503.88</v>
      </c>
      <c r="BG36" s="22">
        <v>-503.88</v>
      </c>
      <c r="BH36" s="20">
        <v>-87.53</v>
      </c>
      <c r="BI36" s="21">
        <v>-91.603999999999999</v>
      </c>
      <c r="BJ36" s="21">
        <v>-91.603999999999999</v>
      </c>
      <c r="BK36" s="21">
        <v>-91.603999999999999</v>
      </c>
      <c r="BL36" s="22">
        <v>-98.080000000000013</v>
      </c>
      <c r="BM36" s="20">
        <v>0.4</v>
      </c>
      <c r="BN36" s="21">
        <v>0.4</v>
      </c>
      <c r="BO36" s="21">
        <v>0.4</v>
      </c>
      <c r="BP36" s="21">
        <v>0.4</v>
      </c>
      <c r="BQ36" s="22">
        <v>0.4</v>
      </c>
      <c r="BR36" s="20">
        <v>-57.2</v>
      </c>
      <c r="BS36" s="21">
        <v>-57.2</v>
      </c>
      <c r="BT36" s="21">
        <v>-57.2</v>
      </c>
      <c r="BU36" s="21">
        <v>-57.2</v>
      </c>
      <c r="BV36" s="22">
        <v>-57.2</v>
      </c>
      <c r="BW36" s="20">
        <v>1</v>
      </c>
      <c r="BX36" s="21">
        <v>1</v>
      </c>
      <c r="BY36" s="21">
        <v>1</v>
      </c>
      <c r="BZ36" s="21">
        <v>1</v>
      </c>
      <c r="CA36" s="22">
        <v>1</v>
      </c>
      <c r="CB36" s="20">
        <v>0.8</v>
      </c>
      <c r="CC36" s="21">
        <v>8.1</v>
      </c>
      <c r="CD36" s="21">
        <v>8.1</v>
      </c>
      <c r="CE36" s="21">
        <v>8.1</v>
      </c>
      <c r="CF36" s="22">
        <v>0.8</v>
      </c>
      <c r="CG36" s="20"/>
      <c r="CH36" s="21"/>
      <c r="CI36" s="22"/>
      <c r="CJ36" s="35">
        <v>-56.760000000000005</v>
      </c>
      <c r="CK36" s="17">
        <v>-56.65</v>
      </c>
      <c r="CL36" s="30">
        <v>-56.54</v>
      </c>
      <c r="CM36" s="35">
        <v>-1.76</v>
      </c>
      <c r="CN36" s="17">
        <v>-1.65</v>
      </c>
      <c r="CO36" s="30">
        <v>-1.54</v>
      </c>
      <c r="CP36" s="20"/>
      <c r="CQ36" s="17"/>
      <c r="CR36" s="22"/>
      <c r="CS36" s="20"/>
      <c r="CT36" s="25"/>
      <c r="CU36" s="22"/>
      <c r="CV36" s="548"/>
      <c r="CW36" s="550"/>
      <c r="CX36" s="884">
        <v>110</v>
      </c>
      <c r="CY36" s="885">
        <v>110</v>
      </c>
      <c r="CZ36" s="886">
        <v>95</v>
      </c>
      <c r="DA36" s="847"/>
      <c r="DB36" s="848"/>
      <c r="DC36" s="849"/>
      <c r="DD36" s="847"/>
      <c r="DE36" s="848"/>
      <c r="DF36" s="849"/>
      <c r="DG36" s="847"/>
      <c r="DH36" s="848"/>
      <c r="DI36" s="849"/>
      <c r="DJ36" s="847"/>
      <c r="DK36" s="848"/>
      <c r="DL36" s="849"/>
      <c r="DM36" s="114">
        <v>1</v>
      </c>
      <c r="DN36" s="100">
        <v>1</v>
      </c>
      <c r="DO36" s="118">
        <v>1</v>
      </c>
      <c r="DP36" s="114">
        <v>1</v>
      </c>
      <c r="DQ36" s="100">
        <v>1</v>
      </c>
      <c r="DR36" s="118">
        <v>1</v>
      </c>
      <c r="DS36" s="238"/>
      <c r="DT36" s="238"/>
      <c r="DU36" s="583" t="s">
        <v>511</v>
      </c>
      <c r="DV36" s="147" t="s">
        <v>472</v>
      </c>
      <c r="DW36" s="144">
        <v>84</v>
      </c>
      <c r="DX36" s="132">
        <v>82</v>
      </c>
      <c r="DY36" s="132">
        <v>80</v>
      </c>
      <c r="DZ36" s="132">
        <v>78</v>
      </c>
      <c r="EA36" s="145">
        <v>56</v>
      </c>
      <c r="EB36" s="132">
        <v>62</v>
      </c>
      <c r="EC36" s="132">
        <v>60</v>
      </c>
      <c r="ED36" s="132">
        <v>58</v>
      </c>
      <c r="EE36" s="132">
        <v>56</v>
      </c>
      <c r="EF36" s="145">
        <v>54</v>
      </c>
      <c r="EG36" s="289"/>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row>
    <row r="37" spans="1:169" s="494" customFormat="1" x14ac:dyDescent="0.25">
      <c r="A37" s="512"/>
      <c r="B37" s="1491" t="s">
        <v>504</v>
      </c>
      <c r="C37" s="491" t="s">
        <v>458</v>
      </c>
      <c r="D37" s="493">
        <v>1123.74</v>
      </c>
      <c r="E37" s="492">
        <v>1171.2825</v>
      </c>
      <c r="F37" s="492">
        <v>1241.8499999999999</v>
      </c>
      <c r="G37" s="492">
        <v>1312.4175</v>
      </c>
      <c r="H37" s="491">
        <v>1335.94</v>
      </c>
      <c r="I37" s="493">
        <v>291.33333333333331</v>
      </c>
      <c r="J37" s="492">
        <v>306.4666666666667</v>
      </c>
      <c r="K37" s="492">
        <v>327.86666666666667</v>
      </c>
      <c r="L37" s="492">
        <v>390.68666666666661</v>
      </c>
      <c r="M37" s="491">
        <v>426.01960784313724</v>
      </c>
      <c r="N37" s="493">
        <v>294.31999999999994</v>
      </c>
      <c r="O37" s="492">
        <v>315.03999999999996</v>
      </c>
      <c r="P37" s="492">
        <v>334.255</v>
      </c>
      <c r="Q37" s="492">
        <v>353.46999999999991</v>
      </c>
      <c r="R37" s="491">
        <v>374.18999999999994</v>
      </c>
      <c r="S37" s="493">
        <v>262.19999999999993</v>
      </c>
      <c r="T37" s="492">
        <v>266.00000000000011</v>
      </c>
      <c r="U37" s="492">
        <v>269.79999999999995</v>
      </c>
      <c r="V37" s="492">
        <v>273.60000000000002</v>
      </c>
      <c r="W37" s="491">
        <v>277.39999999999998</v>
      </c>
      <c r="X37" s="493">
        <v>389.0878571428571</v>
      </c>
      <c r="Y37" s="492">
        <v>424.02285714285705</v>
      </c>
      <c r="Z37" s="492">
        <v>452.14285714285705</v>
      </c>
      <c r="AA37" s="492">
        <v>508.09035714285704</v>
      </c>
      <c r="AB37" s="491">
        <v>534.02285714285711</v>
      </c>
      <c r="AC37" s="493">
        <v>215.26999999999998</v>
      </c>
      <c r="AD37" s="492">
        <v>258.96999999999991</v>
      </c>
      <c r="AE37" s="492">
        <v>308.17999999999995</v>
      </c>
      <c r="AF37" s="492">
        <v>355.4899999999999</v>
      </c>
      <c r="AG37" s="491">
        <v>391.59000000000003</v>
      </c>
      <c r="AH37" s="493">
        <v>249.17333333333329</v>
      </c>
      <c r="AI37" s="492">
        <v>281.99333333333334</v>
      </c>
      <c r="AJ37" s="492">
        <v>302.99333333333334</v>
      </c>
      <c r="AK37" s="492">
        <v>338.55333333333328</v>
      </c>
      <c r="AL37" s="491">
        <v>381.5333333333333</v>
      </c>
      <c r="AM37" s="493">
        <v>352.0761904761905</v>
      </c>
      <c r="AN37" s="492">
        <v>397.71619047619038</v>
      </c>
      <c r="AO37" s="492">
        <v>425.39619047619044</v>
      </c>
      <c r="AP37" s="492">
        <v>466.1861904761904</v>
      </c>
      <c r="AQ37" s="491">
        <v>516.11619047619047</v>
      </c>
      <c r="AR37" s="493">
        <v>252.89</v>
      </c>
      <c r="AS37" s="492">
        <v>265.66750000000002</v>
      </c>
      <c r="AT37" s="492">
        <v>278.44500000000005</v>
      </c>
      <c r="AU37" s="492">
        <v>287.94500000000005</v>
      </c>
      <c r="AV37" s="491">
        <v>297.44500000000005</v>
      </c>
      <c r="AW37" s="493">
        <v>349.40999999999985</v>
      </c>
      <c r="AX37" s="492">
        <v>362.28249999999991</v>
      </c>
      <c r="AY37" s="492">
        <v>375.15499999999986</v>
      </c>
      <c r="AZ37" s="492">
        <v>384.65499999999986</v>
      </c>
      <c r="BA37" s="491">
        <v>394.15499999999986</v>
      </c>
      <c r="BB37" s="493">
        <v>268.09266666666662</v>
      </c>
      <c r="BC37" s="492">
        <v>284.35666666666663</v>
      </c>
      <c r="BD37" s="491">
        <v>319.40466666666669</v>
      </c>
      <c r="BE37" s="493">
        <v>418.18</v>
      </c>
      <c r="BF37" s="492">
        <v>476.62</v>
      </c>
      <c r="BG37" s="491">
        <v>571.51999999999987</v>
      </c>
      <c r="BH37" s="493">
        <v>43.47</v>
      </c>
      <c r="BI37" s="492">
        <v>46.396000000000001</v>
      </c>
      <c r="BJ37" s="492">
        <v>53.396000000000001</v>
      </c>
      <c r="BK37" s="492">
        <v>60.396000000000001</v>
      </c>
      <c r="BL37" s="491">
        <v>61.919999999999987</v>
      </c>
      <c r="BM37" s="493">
        <v>63.741999999999997</v>
      </c>
      <c r="BN37" s="492">
        <v>79.78631</v>
      </c>
      <c r="BO37" s="492">
        <v>102.66800000000002</v>
      </c>
      <c r="BP37" s="492">
        <v>124.32584000000001</v>
      </c>
      <c r="BQ37" s="491">
        <v>145.19800000000001</v>
      </c>
      <c r="BR37" s="493">
        <v>32.799999999999997</v>
      </c>
      <c r="BS37" s="492">
        <v>35.049999999999997</v>
      </c>
      <c r="BT37" s="492">
        <v>39.549999999999997</v>
      </c>
      <c r="BU37" s="492">
        <v>44.05</v>
      </c>
      <c r="BV37" s="491">
        <v>46.3</v>
      </c>
      <c r="BW37" s="493">
        <v>41.051000000000002</v>
      </c>
      <c r="BX37" s="492">
        <v>53.746039999999979</v>
      </c>
      <c r="BY37" s="492">
        <v>73.60920999999999</v>
      </c>
      <c r="BZ37" s="492">
        <v>85.354439999999997</v>
      </c>
      <c r="CA37" s="491">
        <v>93.630650000000003</v>
      </c>
      <c r="CB37" s="493">
        <v>19.8</v>
      </c>
      <c r="CC37" s="492">
        <v>29.04</v>
      </c>
      <c r="CD37" s="492">
        <v>44.79</v>
      </c>
      <c r="CE37" s="492">
        <v>64.14</v>
      </c>
      <c r="CF37" s="491">
        <v>59.8</v>
      </c>
      <c r="CG37" s="493">
        <v>1104.42</v>
      </c>
      <c r="CH37" s="492">
        <v>1234.01</v>
      </c>
      <c r="CI37" s="491">
        <v>1357.97</v>
      </c>
      <c r="CJ37" s="493">
        <v>71.999999999999986</v>
      </c>
      <c r="CK37" s="501">
        <v>73.269999999999982</v>
      </c>
      <c r="CL37" s="502">
        <v>71.06</v>
      </c>
      <c r="CM37" s="493">
        <v>122.33819507748403</v>
      </c>
      <c r="CN37" s="492">
        <v>124.07321119802386</v>
      </c>
      <c r="CO37" s="491">
        <v>122.2269178598342</v>
      </c>
      <c r="CP37" s="503">
        <v>19.488999999999997</v>
      </c>
      <c r="CQ37" s="504">
        <v>21.0245</v>
      </c>
      <c r="CR37" s="505">
        <v>22.762599999999999</v>
      </c>
      <c r="CS37" s="503">
        <v>3.9118749999999998</v>
      </c>
      <c r="CT37" s="505">
        <v>4.3375000000000004</v>
      </c>
      <c r="CU37" s="505">
        <v>4.7631250000000005</v>
      </c>
      <c r="CV37" s="545"/>
      <c r="CW37" s="533"/>
      <c r="CX37" s="892">
        <f t="shared" ref="CX37:DR37" si="7">SUM(CX34:CX36)</f>
        <v>2060</v>
      </c>
      <c r="CY37" s="893">
        <f t="shared" si="7"/>
        <v>2190</v>
      </c>
      <c r="CZ37" s="894">
        <f>SUM(CZ34:CZ36)</f>
        <v>2197.2399999999998</v>
      </c>
      <c r="DA37" s="912">
        <f t="shared" si="7"/>
        <v>1387.5</v>
      </c>
      <c r="DB37" s="911">
        <f t="shared" si="7"/>
        <v>1387.5</v>
      </c>
      <c r="DC37" s="894">
        <f t="shared" si="7"/>
        <v>2097</v>
      </c>
      <c r="DD37" s="912">
        <f t="shared" si="7"/>
        <v>420</v>
      </c>
      <c r="DE37" s="911">
        <f t="shared" si="7"/>
        <v>460</v>
      </c>
      <c r="DF37" s="894">
        <f t="shared" si="7"/>
        <v>646.69599999999991</v>
      </c>
      <c r="DG37" s="912">
        <f t="shared" si="7"/>
        <v>295</v>
      </c>
      <c r="DH37" s="911">
        <f t="shared" si="7"/>
        <v>325</v>
      </c>
      <c r="DI37" s="894">
        <f t="shared" si="7"/>
        <v>601.47079999999994</v>
      </c>
      <c r="DJ37" s="912">
        <f t="shared" si="7"/>
        <v>500</v>
      </c>
      <c r="DK37" s="911">
        <f t="shared" si="7"/>
        <v>610</v>
      </c>
      <c r="DL37" s="894">
        <f t="shared" si="7"/>
        <v>1344.915</v>
      </c>
      <c r="DM37" s="912">
        <f t="shared" si="7"/>
        <v>89.512</v>
      </c>
      <c r="DN37" s="911">
        <f t="shared" si="7"/>
        <v>95.805599999999998</v>
      </c>
      <c r="DO37" s="894">
        <f t="shared" si="7"/>
        <v>136.35249999999999</v>
      </c>
      <c r="DP37" s="912">
        <f t="shared" si="7"/>
        <v>63.320000000000007</v>
      </c>
      <c r="DQ37" s="911">
        <f t="shared" si="7"/>
        <v>65.308000000000007</v>
      </c>
      <c r="DR37" s="894">
        <f t="shared" si="7"/>
        <v>58.631999999999998</v>
      </c>
      <c r="DS37" s="238"/>
      <c r="DT37" s="238"/>
      <c r="DU37" s="587" t="s">
        <v>512</v>
      </c>
      <c r="DV37" s="506" t="s">
        <v>472</v>
      </c>
      <c r="DW37" s="507">
        <v>947.6875</v>
      </c>
      <c r="DX37" s="508">
        <v>954.2</v>
      </c>
      <c r="DY37" s="508">
        <v>917</v>
      </c>
      <c r="DZ37" s="508">
        <v>879.8</v>
      </c>
      <c r="EA37" s="509">
        <v>869.25</v>
      </c>
      <c r="EB37" s="508">
        <v>677.07999999999993</v>
      </c>
      <c r="EC37" s="508">
        <v>655.72</v>
      </c>
      <c r="ED37" s="508">
        <v>623.55999999999995</v>
      </c>
      <c r="EE37" s="508">
        <v>604.48</v>
      </c>
      <c r="EF37" s="509">
        <v>590</v>
      </c>
      <c r="EG37" s="289"/>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row>
    <row r="38" spans="1:169" s="510" customFormat="1" ht="12" customHeight="1" thickBot="1" x14ac:dyDescent="0.3">
      <c r="A38" s="512"/>
      <c r="B38" s="1492"/>
      <c r="C38" s="441" t="s">
        <v>425</v>
      </c>
      <c r="D38" s="440">
        <f t="shared" ref="D38:AI38" si="8">D37*D10</f>
        <v>1348.4880000000001</v>
      </c>
      <c r="E38" s="489">
        <f t="shared" si="8"/>
        <v>1522.6672500000002</v>
      </c>
      <c r="F38" s="489">
        <f t="shared" si="8"/>
        <v>1738.5899999999997</v>
      </c>
      <c r="G38" s="489">
        <f t="shared" si="8"/>
        <v>1968.62625</v>
      </c>
      <c r="H38" s="441">
        <f t="shared" si="8"/>
        <v>2137.5040000000004</v>
      </c>
      <c r="I38" s="440">
        <f t="shared" si="8"/>
        <v>437</v>
      </c>
      <c r="J38" s="489">
        <f t="shared" si="8"/>
        <v>505.67</v>
      </c>
      <c r="K38" s="489">
        <f t="shared" si="8"/>
        <v>590.16000000000008</v>
      </c>
      <c r="L38" s="489">
        <f t="shared" si="8"/>
        <v>859.51066666666657</v>
      </c>
      <c r="M38" s="441">
        <f t="shared" si="8"/>
        <v>979.8450980392156</v>
      </c>
      <c r="N38" s="440">
        <f t="shared" si="8"/>
        <v>735.79999999999984</v>
      </c>
      <c r="O38" s="489">
        <f t="shared" si="8"/>
        <v>866.3599999999999</v>
      </c>
      <c r="P38" s="489">
        <f t="shared" si="8"/>
        <v>1002.765</v>
      </c>
      <c r="Q38" s="489">
        <f t="shared" si="8"/>
        <v>1237.1449999999998</v>
      </c>
      <c r="R38" s="441">
        <f t="shared" si="8"/>
        <v>1496.7599999999998</v>
      </c>
      <c r="S38" s="440">
        <f t="shared" si="8"/>
        <v>655.49999999999977</v>
      </c>
      <c r="T38" s="489">
        <f t="shared" si="8"/>
        <v>771.40000000000032</v>
      </c>
      <c r="U38" s="489">
        <f t="shared" si="8"/>
        <v>809.39999999999986</v>
      </c>
      <c r="V38" s="489">
        <f t="shared" si="8"/>
        <v>834.48</v>
      </c>
      <c r="W38" s="441">
        <f t="shared" si="8"/>
        <v>859.93999999999994</v>
      </c>
      <c r="X38" s="440">
        <f t="shared" si="8"/>
        <v>544.72299999999996</v>
      </c>
      <c r="Y38" s="489">
        <f t="shared" si="8"/>
        <v>636.0342857142856</v>
      </c>
      <c r="Z38" s="489">
        <f t="shared" si="8"/>
        <v>746.03571428571411</v>
      </c>
      <c r="AA38" s="489">
        <f t="shared" si="8"/>
        <v>1016.1807142857141</v>
      </c>
      <c r="AB38" s="441">
        <f t="shared" si="8"/>
        <v>1121.4479999999999</v>
      </c>
      <c r="AC38" s="440">
        <f t="shared" si="8"/>
        <v>645.80999999999995</v>
      </c>
      <c r="AD38" s="489">
        <f t="shared" si="8"/>
        <v>893.97863013698588</v>
      </c>
      <c r="AE38" s="489">
        <f t="shared" si="8"/>
        <v>1251.5932312651084</v>
      </c>
      <c r="AF38" s="489">
        <f t="shared" si="8"/>
        <v>1636.2279452054793</v>
      </c>
      <c r="AG38" s="441">
        <f t="shared" si="8"/>
        <v>1860.0525000000002</v>
      </c>
      <c r="AH38" s="440">
        <f t="shared" si="8"/>
        <v>274.09066666666666</v>
      </c>
      <c r="AI38" s="489">
        <f t="shared" si="8"/>
        <v>366.59133333333335</v>
      </c>
      <c r="AJ38" s="489">
        <f t="shared" ref="AJ38:BO38" si="9">AJ37*AJ10</f>
        <v>484.78933333333339</v>
      </c>
      <c r="AK38" s="489">
        <f t="shared" si="9"/>
        <v>643.25133333333326</v>
      </c>
      <c r="AL38" s="441">
        <f t="shared" si="9"/>
        <v>839.37333333333333</v>
      </c>
      <c r="AM38" s="440">
        <f t="shared" si="9"/>
        <v>316.86857142857144</v>
      </c>
      <c r="AN38" s="489">
        <f t="shared" si="9"/>
        <v>397.71619047619038</v>
      </c>
      <c r="AO38" s="489">
        <f t="shared" si="9"/>
        <v>531.74523809523805</v>
      </c>
      <c r="AP38" s="489">
        <f t="shared" si="9"/>
        <v>699.27928571428561</v>
      </c>
      <c r="AQ38" s="441">
        <f t="shared" si="9"/>
        <v>825.78590476190482</v>
      </c>
      <c r="AR38" s="440">
        <f t="shared" si="9"/>
        <v>657.51400000000001</v>
      </c>
      <c r="AS38" s="489">
        <f t="shared" si="9"/>
        <v>730.58562500000005</v>
      </c>
      <c r="AT38" s="489">
        <f t="shared" si="9"/>
        <v>835.33500000000015</v>
      </c>
      <c r="AU38" s="489">
        <f t="shared" si="9"/>
        <v>935.82125000000019</v>
      </c>
      <c r="AV38" s="441">
        <f t="shared" si="9"/>
        <v>1011.3130000000001</v>
      </c>
      <c r="AW38" s="440">
        <f t="shared" si="9"/>
        <v>1048.2299999999996</v>
      </c>
      <c r="AX38" s="489">
        <f t="shared" si="9"/>
        <v>1250.61904109589</v>
      </c>
      <c r="AY38" s="489">
        <f t="shared" si="9"/>
        <v>1523.5948428686536</v>
      </c>
      <c r="AZ38" s="489">
        <f t="shared" si="9"/>
        <v>1770.466849315068</v>
      </c>
      <c r="BA38" s="441">
        <f t="shared" si="9"/>
        <v>1970.7749999999992</v>
      </c>
      <c r="BB38" s="440">
        <f t="shared" si="9"/>
        <v>241.28339999999997</v>
      </c>
      <c r="BC38" s="489">
        <f t="shared" si="9"/>
        <v>284.35666666666663</v>
      </c>
      <c r="BD38" s="441">
        <f t="shared" si="9"/>
        <v>351.34513333333337</v>
      </c>
      <c r="BE38" s="440">
        <f t="shared" si="9"/>
        <v>627.27</v>
      </c>
      <c r="BF38" s="489">
        <f t="shared" si="9"/>
        <v>595.77499999999998</v>
      </c>
      <c r="BG38" s="441">
        <f t="shared" si="9"/>
        <v>1428.7999999999997</v>
      </c>
      <c r="BH38" s="440">
        <f t="shared" si="9"/>
        <v>521.64</v>
      </c>
      <c r="BI38" s="489">
        <f t="shared" si="9"/>
        <v>695.94</v>
      </c>
      <c r="BJ38" s="489">
        <f t="shared" si="9"/>
        <v>800.94</v>
      </c>
      <c r="BK38" s="489">
        <f t="shared" si="9"/>
        <v>905.94</v>
      </c>
      <c r="BL38" s="441">
        <f t="shared" si="9"/>
        <v>1114.5599999999997</v>
      </c>
      <c r="BM38" s="440">
        <f t="shared" si="9"/>
        <v>446.19399999999996</v>
      </c>
      <c r="BN38" s="489">
        <f t="shared" si="9"/>
        <v>638.29048</v>
      </c>
      <c r="BO38" s="489">
        <f t="shared" si="9"/>
        <v>1026.6800000000003</v>
      </c>
      <c r="BP38" s="489">
        <f t="shared" ref="BP38:CU38" si="10">BP37*BP10</f>
        <v>1367.5842400000001</v>
      </c>
      <c r="BQ38" s="441">
        <f t="shared" si="10"/>
        <v>1887.5740000000001</v>
      </c>
      <c r="BR38" s="440">
        <f t="shared" si="10"/>
        <v>787.19999999999993</v>
      </c>
      <c r="BS38" s="489">
        <f t="shared" si="10"/>
        <v>911.3</v>
      </c>
      <c r="BT38" s="489">
        <f t="shared" si="10"/>
        <v>1107.3999999999999</v>
      </c>
      <c r="BU38" s="489">
        <f t="shared" si="10"/>
        <v>1321.5</v>
      </c>
      <c r="BV38" s="441">
        <f t="shared" si="10"/>
        <v>1481.6</v>
      </c>
      <c r="BW38" s="440">
        <f t="shared" si="10"/>
        <v>123.15300000000001</v>
      </c>
      <c r="BX38" s="489">
        <f t="shared" si="10"/>
        <v>376.22227999999984</v>
      </c>
      <c r="BY38" s="489">
        <f t="shared" si="10"/>
        <v>552.06907499999988</v>
      </c>
      <c r="BZ38" s="489">
        <f t="shared" si="10"/>
        <v>682.83551999999997</v>
      </c>
      <c r="CA38" s="441">
        <f t="shared" si="10"/>
        <v>842.67585000000008</v>
      </c>
      <c r="CB38" s="440">
        <f t="shared" si="10"/>
        <v>297</v>
      </c>
      <c r="CC38" s="489">
        <f t="shared" si="10"/>
        <v>435.59999999999997</v>
      </c>
      <c r="CD38" s="489">
        <f t="shared" si="10"/>
        <v>671.85</v>
      </c>
      <c r="CE38" s="489">
        <f t="shared" si="10"/>
        <v>962.1</v>
      </c>
      <c r="CF38" s="441">
        <f t="shared" si="10"/>
        <v>897</v>
      </c>
      <c r="CG38" s="440">
        <f t="shared" si="10"/>
        <v>22088.400000000001</v>
      </c>
      <c r="CH38" s="489">
        <f t="shared" si="10"/>
        <v>24680.2</v>
      </c>
      <c r="CI38" s="441">
        <f t="shared" si="10"/>
        <v>27159.4</v>
      </c>
      <c r="CJ38" s="440">
        <f t="shared" si="10"/>
        <v>2015.9999999999995</v>
      </c>
      <c r="CK38" s="489">
        <f t="shared" si="10"/>
        <v>2198.0999999999995</v>
      </c>
      <c r="CL38" s="441">
        <f t="shared" si="10"/>
        <v>2487.1</v>
      </c>
      <c r="CM38" s="440">
        <f t="shared" si="10"/>
        <v>2936.1166818596166</v>
      </c>
      <c r="CN38" s="489">
        <f t="shared" si="10"/>
        <v>3101.8302799505964</v>
      </c>
      <c r="CO38" s="441">
        <f t="shared" si="10"/>
        <v>3361.2402411454405</v>
      </c>
      <c r="CP38" s="440">
        <f t="shared" si="10"/>
        <v>19488.999999999996</v>
      </c>
      <c r="CQ38" s="489">
        <f t="shared" si="10"/>
        <v>21024.5</v>
      </c>
      <c r="CR38" s="441">
        <f t="shared" si="10"/>
        <v>22762.6</v>
      </c>
      <c r="CS38" s="440">
        <f t="shared" si="10"/>
        <v>3911.8749999999995</v>
      </c>
      <c r="CT38" s="441">
        <f t="shared" si="10"/>
        <v>4337.5</v>
      </c>
      <c r="CU38" s="441">
        <f t="shared" si="10"/>
        <v>4763.1250000000009</v>
      </c>
      <c r="CV38" s="551"/>
      <c r="CW38" s="552"/>
      <c r="CX38" s="895">
        <f t="shared" ref="CX38:DR38" si="11">CX37*CX10</f>
        <v>2060</v>
      </c>
      <c r="CY38" s="896">
        <f t="shared" si="11"/>
        <v>2190</v>
      </c>
      <c r="CZ38" s="913">
        <f t="shared" si="11"/>
        <v>2197.2399999999998</v>
      </c>
      <c r="DA38" s="895">
        <f t="shared" si="11"/>
        <v>1665</v>
      </c>
      <c r="DB38" s="896">
        <f t="shared" si="11"/>
        <v>1803.75</v>
      </c>
      <c r="DC38" s="913">
        <f t="shared" si="11"/>
        <v>2935.7999999999997</v>
      </c>
      <c r="DD38" s="895">
        <f t="shared" si="11"/>
        <v>560</v>
      </c>
      <c r="DE38" s="896">
        <f t="shared" si="11"/>
        <v>613.33333333333326</v>
      </c>
      <c r="DF38" s="913">
        <f t="shared" si="11"/>
        <v>862.26133333333314</v>
      </c>
      <c r="DG38" s="895">
        <f t="shared" si="11"/>
        <v>221.25</v>
      </c>
      <c r="DH38" s="896">
        <f t="shared" si="11"/>
        <v>243.75</v>
      </c>
      <c r="DI38" s="913">
        <f t="shared" si="11"/>
        <v>451.10309999999993</v>
      </c>
      <c r="DJ38" s="895">
        <f t="shared" si="11"/>
        <v>640</v>
      </c>
      <c r="DK38" s="896">
        <f t="shared" si="11"/>
        <v>780.80000000000007</v>
      </c>
      <c r="DL38" s="913">
        <f t="shared" si="11"/>
        <v>1721.4911999999999</v>
      </c>
      <c r="DM38" s="895">
        <f t="shared" si="11"/>
        <v>411.75519999999995</v>
      </c>
      <c r="DN38" s="896">
        <f t="shared" si="11"/>
        <v>450.28631999999999</v>
      </c>
      <c r="DO38" s="913">
        <f t="shared" si="11"/>
        <v>654.49199999999996</v>
      </c>
      <c r="DP38" s="895">
        <f t="shared" si="11"/>
        <v>411.58000000000004</v>
      </c>
      <c r="DQ38" s="896">
        <f t="shared" si="11"/>
        <v>437.56360000000006</v>
      </c>
      <c r="DR38" s="913">
        <f t="shared" si="11"/>
        <v>293.15999999999997</v>
      </c>
      <c r="DS38" s="238"/>
      <c r="DT38" s="238"/>
      <c r="DU38" s="588"/>
      <c r="DV38" s="594" t="s">
        <v>425</v>
      </c>
      <c r="DW38" s="595">
        <f>DW37*DW43</f>
        <v>1800.6062499999998</v>
      </c>
      <c r="DX38" s="511">
        <f t="shared" ref="DX38:EF38" si="12">DX37*DX43</f>
        <v>1908.4</v>
      </c>
      <c r="DY38" s="511">
        <f t="shared" si="12"/>
        <v>1925.7</v>
      </c>
      <c r="DZ38" s="511">
        <f t="shared" si="12"/>
        <v>1935.56</v>
      </c>
      <c r="EA38" s="558">
        <f t="shared" si="12"/>
        <v>1912.3500000000001</v>
      </c>
      <c r="EB38" s="511">
        <f t="shared" si="12"/>
        <v>1557.2839999999997</v>
      </c>
      <c r="EC38" s="511">
        <f t="shared" si="12"/>
        <v>1573.7280000000001</v>
      </c>
      <c r="ED38" s="511">
        <f t="shared" si="12"/>
        <v>1558.8999999999999</v>
      </c>
      <c r="EE38" s="511">
        <f t="shared" si="12"/>
        <v>1571.6480000000001</v>
      </c>
      <c r="EF38" s="558">
        <f t="shared" si="12"/>
        <v>1593</v>
      </c>
      <c r="EG38" s="534"/>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row>
    <row r="39" spans="1:169" s="490" customFormat="1" ht="11" thickBot="1" x14ac:dyDescent="0.3">
      <c r="A39" s="513"/>
      <c r="B39" s="159"/>
      <c r="C39" s="497"/>
      <c r="D39" s="499"/>
      <c r="E39" s="498"/>
      <c r="F39" s="498"/>
      <c r="G39" s="498"/>
      <c r="H39" s="497"/>
      <c r="I39" s="499"/>
      <c r="J39" s="498"/>
      <c r="K39" s="498"/>
      <c r="L39" s="498"/>
      <c r="M39" s="497"/>
      <c r="N39" s="499"/>
      <c r="O39" s="498"/>
      <c r="P39" s="498"/>
      <c r="Q39" s="498"/>
      <c r="R39" s="497"/>
      <c r="S39" s="499"/>
      <c r="T39" s="498"/>
      <c r="U39" s="498"/>
      <c r="V39" s="498"/>
      <c r="W39" s="497"/>
      <c r="X39" s="499"/>
      <c r="Y39" s="498"/>
      <c r="Z39" s="498"/>
      <c r="AA39" s="498"/>
      <c r="AB39" s="497"/>
      <c r="AC39" s="499"/>
      <c r="AD39" s="498"/>
      <c r="AE39" s="498"/>
      <c r="AF39" s="498"/>
      <c r="AG39" s="497"/>
      <c r="AH39" s="499"/>
      <c r="AI39" s="498"/>
      <c r="AJ39" s="498"/>
      <c r="AK39" s="498"/>
      <c r="AL39" s="497"/>
      <c r="AM39" s="499"/>
      <c r="AN39" s="498"/>
      <c r="AO39" s="498"/>
      <c r="AP39" s="498"/>
      <c r="AQ39" s="497"/>
      <c r="AR39" s="499"/>
      <c r="AS39" s="498"/>
      <c r="AT39" s="498"/>
      <c r="AU39" s="498"/>
      <c r="AV39" s="497"/>
      <c r="AW39" s="499"/>
      <c r="AX39" s="498"/>
      <c r="AY39" s="498"/>
      <c r="AZ39" s="498"/>
      <c r="BA39" s="497"/>
      <c r="BB39" s="499"/>
      <c r="BC39" s="498"/>
      <c r="BD39" s="497"/>
      <c r="BE39" s="499"/>
      <c r="BF39" s="498"/>
      <c r="BG39" s="497"/>
      <c r="BH39" s="499"/>
      <c r="BI39" s="498"/>
      <c r="BJ39" s="498"/>
      <c r="BK39" s="498"/>
      <c r="BL39" s="497"/>
      <c r="BM39" s="499"/>
      <c r="BN39" s="498"/>
      <c r="BO39" s="498"/>
      <c r="BP39" s="498"/>
      <c r="BQ39" s="497"/>
      <c r="BR39" s="499"/>
      <c r="BS39" s="498"/>
      <c r="BT39" s="498"/>
      <c r="BU39" s="498"/>
      <c r="BV39" s="497"/>
      <c r="BW39" s="499"/>
      <c r="BX39" s="498"/>
      <c r="BY39" s="498"/>
      <c r="BZ39" s="498"/>
      <c r="CA39" s="497"/>
      <c r="CB39" s="499"/>
      <c r="CC39" s="498"/>
      <c r="CD39" s="498"/>
      <c r="CE39" s="498"/>
      <c r="CF39" s="497"/>
      <c r="CG39" s="499"/>
      <c r="CH39" s="498"/>
      <c r="CI39" s="497"/>
      <c r="CJ39" s="499"/>
      <c r="CK39" s="498"/>
      <c r="CL39" s="497"/>
      <c r="CM39" s="499"/>
      <c r="CN39" s="498"/>
      <c r="CO39" s="497"/>
      <c r="CP39" s="499"/>
      <c r="CQ39" s="500"/>
      <c r="CR39" s="497"/>
      <c r="CS39" s="499"/>
      <c r="CT39" s="450"/>
      <c r="CU39" s="497"/>
      <c r="CV39" s="548"/>
      <c r="CW39" s="549"/>
      <c r="CX39" s="868"/>
      <c r="CY39" s="869"/>
      <c r="CZ39" s="870"/>
      <c r="DA39" s="868"/>
      <c r="DB39" s="869"/>
      <c r="DC39" s="870"/>
      <c r="DD39" s="868"/>
      <c r="DE39" s="869"/>
      <c r="DF39" s="870"/>
      <c r="DG39" s="868"/>
      <c r="DH39" s="869"/>
      <c r="DI39" s="870"/>
      <c r="DJ39" s="868"/>
      <c r="DK39" s="869"/>
      <c r="DL39" s="870"/>
      <c r="DM39" s="868"/>
      <c r="DN39" s="869"/>
      <c r="DO39" s="870"/>
      <c r="DP39" s="868"/>
      <c r="DQ39" s="869"/>
      <c r="DR39" s="870"/>
      <c r="DS39" s="238"/>
      <c r="DT39" s="238"/>
      <c r="DU39" s="589"/>
      <c r="DV39" s="557"/>
      <c r="DW39" s="556"/>
      <c r="EA39" s="557"/>
      <c r="EF39" s="557"/>
      <c r="EG39" s="289"/>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row>
    <row r="40" spans="1:169" s="45" customFormat="1" x14ac:dyDescent="0.25">
      <c r="A40" s="238"/>
      <c r="B40" s="48" t="s">
        <v>513</v>
      </c>
      <c r="C40" s="19"/>
      <c r="D40" s="29"/>
      <c r="E40" s="18"/>
      <c r="F40" s="1089"/>
      <c r="G40" s="1090"/>
      <c r="H40" s="1091"/>
      <c r="I40" s="1089"/>
      <c r="J40" s="1090"/>
      <c r="K40" s="1090"/>
      <c r="L40" s="1090"/>
      <c r="M40" s="1091"/>
      <c r="N40" s="1089"/>
      <c r="O40" s="1090"/>
      <c r="P40" s="1090"/>
      <c r="Q40" s="1090"/>
      <c r="R40" s="1091"/>
      <c r="S40" s="1089"/>
      <c r="T40" s="1090"/>
      <c r="U40" s="1090"/>
      <c r="V40" s="1090"/>
      <c r="W40" s="1091"/>
      <c r="X40" s="1089"/>
      <c r="Y40" s="1090"/>
      <c r="Z40" s="1090"/>
      <c r="AA40" s="1090"/>
      <c r="AB40" s="1091"/>
      <c r="AC40" s="1089"/>
      <c r="AD40" s="1090"/>
      <c r="AE40" s="1090"/>
      <c r="AF40" s="1090"/>
      <c r="AG40" s="1091"/>
      <c r="AH40" s="1089"/>
      <c r="AI40" s="1090"/>
      <c r="AJ40" s="1090"/>
      <c r="AK40" s="1090"/>
      <c r="AL40" s="1091"/>
      <c r="AM40" s="1089"/>
      <c r="AN40" s="1090"/>
      <c r="AO40" s="1090"/>
      <c r="AP40" s="1090"/>
      <c r="AQ40" s="1091"/>
      <c r="AR40" s="1089"/>
      <c r="AS40" s="1090"/>
      <c r="AT40" s="1090"/>
      <c r="AU40" s="1090"/>
      <c r="AV40" s="1091"/>
      <c r="AW40" s="1089"/>
      <c r="AX40" s="1090"/>
      <c r="AY40" s="1090"/>
      <c r="AZ40" s="1090"/>
      <c r="BA40" s="1091"/>
      <c r="BB40" s="1089"/>
      <c r="BC40" s="1090"/>
      <c r="BD40" s="1091"/>
      <c r="BE40" s="1089"/>
      <c r="BF40" s="1090"/>
      <c r="BG40" s="1091"/>
      <c r="BH40" s="1089"/>
      <c r="BI40" s="1090"/>
      <c r="BJ40" s="1092"/>
      <c r="BK40" s="1090"/>
      <c r="BL40" s="1091"/>
      <c r="BM40" s="1089"/>
      <c r="BN40" s="1090"/>
      <c r="BO40" s="1090"/>
      <c r="BP40" s="1090"/>
      <c r="BQ40" s="1091"/>
      <c r="BR40" s="1089"/>
      <c r="BS40" s="1090"/>
      <c r="BT40" s="1090"/>
      <c r="BU40" s="1090"/>
      <c r="BV40" s="1091"/>
      <c r="BW40" s="1089"/>
      <c r="BX40" s="1090"/>
      <c r="BY40" s="1090"/>
      <c r="BZ40" s="1090"/>
      <c r="CA40" s="1091"/>
      <c r="CB40" s="1089"/>
      <c r="CC40" s="1090"/>
      <c r="CD40" s="1090"/>
      <c r="CE40" s="1090"/>
      <c r="CF40" s="1091"/>
      <c r="CG40" s="1089"/>
      <c r="CH40" s="1090"/>
      <c r="CI40" s="1091"/>
      <c r="CJ40" s="1089"/>
      <c r="CK40" s="1090"/>
      <c r="CL40" s="1091"/>
      <c r="CM40" s="1089"/>
      <c r="CN40" s="1090"/>
      <c r="CO40" s="1091"/>
      <c r="CP40" s="1089"/>
      <c r="CQ40" s="1093"/>
      <c r="CR40" s="1091"/>
      <c r="CS40" s="1089"/>
      <c r="CT40" s="1094"/>
      <c r="CU40" s="19"/>
      <c r="CV40" s="545"/>
      <c r="CW40" s="549"/>
      <c r="CX40" s="847"/>
      <c r="CY40" s="848"/>
      <c r="CZ40" s="849"/>
      <c r="DA40" s="847"/>
      <c r="DB40" s="848"/>
      <c r="DC40" s="849"/>
      <c r="DD40" s="847"/>
      <c r="DE40" s="848"/>
      <c r="DF40" s="849"/>
      <c r="DG40" s="847"/>
      <c r="DH40" s="848"/>
      <c r="DI40" s="849"/>
      <c r="DJ40" s="847"/>
      <c r="DK40" s="848"/>
      <c r="DL40" s="849"/>
      <c r="DM40" s="847"/>
      <c r="DN40" s="848"/>
      <c r="DO40" s="849"/>
      <c r="DP40" s="847"/>
      <c r="DQ40" s="848"/>
      <c r="DR40" s="849"/>
      <c r="DS40" s="238"/>
      <c r="DT40" s="238"/>
      <c r="DU40" s="611" t="s">
        <v>514</v>
      </c>
      <c r="DV40" s="506" t="s">
        <v>472</v>
      </c>
      <c r="DW40" s="612">
        <v>938.8777380952381</v>
      </c>
      <c r="DX40" s="613">
        <v>1092.421951219512</v>
      </c>
      <c r="DY40" s="613">
        <v>1219.8277777777776</v>
      </c>
      <c r="DZ40" s="613">
        <v>1348.9559823155566</v>
      </c>
      <c r="EA40" s="614">
        <v>1547.8936879432622</v>
      </c>
      <c r="EB40" s="613">
        <v>1020.4382926829269</v>
      </c>
      <c r="EC40" s="613">
        <v>1105.2674999999999</v>
      </c>
      <c r="ED40" s="613">
        <v>1209.3516702741704</v>
      </c>
      <c r="EE40" s="613">
        <v>1300.2853105232894</v>
      </c>
      <c r="EF40" s="614">
        <v>1361.1595744680851</v>
      </c>
      <c r="EG40" s="534"/>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row>
    <row r="41" spans="1:169" s="45" customFormat="1" ht="11" thickBot="1" x14ac:dyDescent="0.3">
      <c r="A41" s="238"/>
      <c r="B41" s="463" t="s">
        <v>515</v>
      </c>
      <c r="C41" s="19" t="s">
        <v>458</v>
      </c>
      <c r="D41" s="20">
        <v>339.56594279999996</v>
      </c>
      <c r="E41" s="21">
        <v>323.39613600000001</v>
      </c>
      <c r="F41" s="21">
        <v>307.99632000000003</v>
      </c>
      <c r="G41" s="21">
        <v>292.59650399999998</v>
      </c>
      <c r="H41" s="22">
        <v>277.96667880000001</v>
      </c>
      <c r="I41" s="20">
        <v>47.73</v>
      </c>
      <c r="J41" s="21">
        <v>44.4</v>
      </c>
      <c r="K41" s="21">
        <v>39.96</v>
      </c>
      <c r="L41" s="21">
        <v>33.250500000000002</v>
      </c>
      <c r="M41" s="22">
        <v>29.97</v>
      </c>
      <c r="N41" s="20">
        <v>73.5</v>
      </c>
      <c r="O41" s="21">
        <v>70.56</v>
      </c>
      <c r="P41" s="21">
        <v>66.150000000000006</v>
      </c>
      <c r="Q41" s="21">
        <v>61.74</v>
      </c>
      <c r="R41" s="22">
        <v>58.8</v>
      </c>
      <c r="S41" s="20">
        <v>16.125</v>
      </c>
      <c r="T41" s="21">
        <v>16.125</v>
      </c>
      <c r="U41" s="21">
        <v>15.75</v>
      </c>
      <c r="V41" s="21">
        <v>15</v>
      </c>
      <c r="W41" s="22">
        <v>15</v>
      </c>
      <c r="X41" s="20">
        <v>80.64</v>
      </c>
      <c r="Y41" s="21">
        <v>75.989999999999995</v>
      </c>
      <c r="Z41" s="21">
        <v>69.284999999999997</v>
      </c>
      <c r="AA41" s="21">
        <v>62.832000000000001</v>
      </c>
      <c r="AB41" s="22">
        <v>58.24</v>
      </c>
      <c r="AC41" s="20">
        <v>144.05000000000001</v>
      </c>
      <c r="AD41" s="21">
        <v>139.75</v>
      </c>
      <c r="AE41" s="21">
        <v>132.30000000000001</v>
      </c>
      <c r="AF41" s="21">
        <v>108</v>
      </c>
      <c r="AG41" s="22">
        <v>104</v>
      </c>
      <c r="AH41" s="20">
        <v>50.625</v>
      </c>
      <c r="AI41" s="21">
        <v>46.41</v>
      </c>
      <c r="AJ41" s="21">
        <v>41.99</v>
      </c>
      <c r="AK41" s="21">
        <v>35.36</v>
      </c>
      <c r="AL41" s="22">
        <v>30.8</v>
      </c>
      <c r="AM41" s="20">
        <v>81</v>
      </c>
      <c r="AN41" s="21">
        <v>77.048850000000002</v>
      </c>
      <c r="AO41" s="21">
        <v>70.348950000000002</v>
      </c>
      <c r="AP41" s="21">
        <v>63.874200000000002</v>
      </c>
      <c r="AQ41" s="22">
        <v>61.05</v>
      </c>
      <c r="AR41" s="20">
        <v>33.6</v>
      </c>
      <c r="AS41" s="21">
        <v>33.6</v>
      </c>
      <c r="AT41" s="21">
        <v>33.6</v>
      </c>
      <c r="AU41" s="21">
        <v>33.6</v>
      </c>
      <c r="AV41" s="22">
        <v>33.6</v>
      </c>
      <c r="AW41" s="20">
        <v>161.25</v>
      </c>
      <c r="AX41" s="21">
        <v>161.25</v>
      </c>
      <c r="AY41" s="21">
        <v>157.5</v>
      </c>
      <c r="AZ41" s="21">
        <v>153.75</v>
      </c>
      <c r="BA41" s="22">
        <v>150</v>
      </c>
      <c r="BB41" s="20">
        <v>37.125</v>
      </c>
      <c r="BC41" s="21">
        <v>35.36</v>
      </c>
      <c r="BD41" s="22">
        <v>35.36</v>
      </c>
      <c r="BE41" s="20">
        <v>77.400000000000006</v>
      </c>
      <c r="BF41" s="21">
        <v>75.599999999999994</v>
      </c>
      <c r="BG41" s="22">
        <v>75.599999999999994</v>
      </c>
      <c r="BH41" s="20">
        <v>3.15</v>
      </c>
      <c r="BI41" s="21">
        <v>2.7930000000000001</v>
      </c>
      <c r="BJ41" s="21">
        <v>2.94</v>
      </c>
      <c r="BK41" s="21">
        <v>2.8140000000000001</v>
      </c>
      <c r="BL41" s="22">
        <v>2.52</v>
      </c>
      <c r="BM41" s="20">
        <v>14.539</v>
      </c>
      <c r="BN41" s="21">
        <v>14.075828999999997</v>
      </c>
      <c r="BO41" s="21">
        <v>13.396649999999999</v>
      </c>
      <c r="BP41" s="21">
        <v>12.856629999999999</v>
      </c>
      <c r="BQ41" s="22">
        <v>12.462</v>
      </c>
      <c r="BR41" s="20">
        <v>3</v>
      </c>
      <c r="BS41" s="21">
        <v>3.0870000000000002</v>
      </c>
      <c r="BT41" s="21">
        <v>2.94</v>
      </c>
      <c r="BU41" s="21">
        <v>2.7930000000000001</v>
      </c>
      <c r="BV41" s="22">
        <v>3</v>
      </c>
      <c r="BW41" s="20">
        <v>11.25</v>
      </c>
      <c r="BX41" s="21">
        <v>11.25</v>
      </c>
      <c r="BY41" s="21">
        <v>11.25</v>
      </c>
      <c r="BZ41" s="21">
        <v>11.25</v>
      </c>
      <c r="CA41" s="22">
        <v>11.25</v>
      </c>
      <c r="CB41" s="20">
        <v>5.4</v>
      </c>
      <c r="CC41" s="21">
        <v>5.4</v>
      </c>
      <c r="CD41" s="21">
        <v>5.4</v>
      </c>
      <c r="CE41" s="21">
        <v>5.4</v>
      </c>
      <c r="CF41" s="22">
        <v>5.4</v>
      </c>
      <c r="CG41" s="20">
        <v>791.7</v>
      </c>
      <c r="CH41" s="21">
        <v>763.8</v>
      </c>
      <c r="CI41" s="22">
        <v>705.23599999999999</v>
      </c>
      <c r="CJ41" s="20">
        <v>60.647999999999996</v>
      </c>
      <c r="CK41" s="21">
        <v>60.368000000000002</v>
      </c>
      <c r="CL41" s="22">
        <v>48.72</v>
      </c>
      <c r="CM41" s="20">
        <v>96.732776663628073</v>
      </c>
      <c r="CN41" s="21">
        <v>91.813039110745166</v>
      </c>
      <c r="CO41" s="22">
        <v>75.29256970610399</v>
      </c>
      <c r="CP41" s="24">
        <v>13.225</v>
      </c>
      <c r="CQ41" s="23">
        <v>13.225</v>
      </c>
      <c r="CR41" s="25">
        <v>13.225</v>
      </c>
      <c r="CS41" s="24">
        <v>2.4645000000000001</v>
      </c>
      <c r="CT41" s="25">
        <v>2.0429999999999997</v>
      </c>
      <c r="CU41" s="25">
        <v>1.6471999999999998</v>
      </c>
      <c r="CV41" s="545"/>
      <c r="CW41" s="533"/>
      <c r="CX41" s="847">
        <f>CX30*400/1000</f>
        <v>648</v>
      </c>
      <c r="CY41" s="848">
        <f>CY30*400/1000</f>
        <v>600</v>
      </c>
      <c r="CZ41" s="861" t="e">
        <f>CZ30*CZ31/1000</f>
        <v>#DIV/0!</v>
      </c>
      <c r="DA41" s="860">
        <f t="shared" ref="DA41:DB41" si="13">DA30*400/1000</f>
        <v>146</v>
      </c>
      <c r="DB41" s="628">
        <f t="shared" si="13"/>
        <v>140</v>
      </c>
      <c r="DC41" s="861" t="e">
        <f>DC30*DC31/1000</f>
        <v>#DIV/0!</v>
      </c>
      <c r="DD41" s="884">
        <v>30</v>
      </c>
      <c r="DE41" s="885">
        <v>25</v>
      </c>
      <c r="DF41" s="886">
        <v>12</v>
      </c>
      <c r="DG41" s="884">
        <v>15</v>
      </c>
      <c r="DH41" s="885">
        <v>16</v>
      </c>
      <c r="DI41" s="886">
        <v>25</v>
      </c>
      <c r="DJ41" s="884">
        <v>60</v>
      </c>
      <c r="DK41" s="885">
        <v>70</v>
      </c>
      <c r="DL41" s="886">
        <v>90</v>
      </c>
      <c r="DM41" s="884">
        <v>9</v>
      </c>
      <c r="DN41" s="885">
        <v>8</v>
      </c>
      <c r="DO41" s="886">
        <v>7</v>
      </c>
      <c r="DP41" s="884">
        <v>15</v>
      </c>
      <c r="DQ41" s="904">
        <v>12.408683164062499</v>
      </c>
      <c r="DR41" s="886">
        <v>13</v>
      </c>
      <c r="DS41" s="238"/>
      <c r="DT41" s="238"/>
      <c r="DU41" s="615" t="s">
        <v>516</v>
      </c>
      <c r="DV41" s="557"/>
      <c r="DW41" s="595">
        <f>DW40*DW45</f>
        <v>1783.8677023809523</v>
      </c>
      <c r="DX41" s="511">
        <f t="shared" ref="DX41:EA41" si="14">DX40*DX45</f>
        <v>2184.8439024390241</v>
      </c>
      <c r="DY41" s="511">
        <f>DY40*DY45</f>
        <v>2561.6383333333329</v>
      </c>
      <c r="DZ41" s="511">
        <f t="shared" si="14"/>
        <v>2967.7031610942249</v>
      </c>
      <c r="EA41" s="558">
        <f t="shared" si="14"/>
        <v>3405.3661134751769</v>
      </c>
      <c r="EB41" s="511">
        <f>EB40*EB43</f>
        <v>2347.0080731707317</v>
      </c>
      <c r="EC41" s="511">
        <f t="shared" ref="EC41:EF41" si="15">EC40*EC43</f>
        <v>2652.6419999999998</v>
      </c>
      <c r="ED41" s="511">
        <f t="shared" si="15"/>
        <v>3023.3791756854262</v>
      </c>
      <c r="EE41" s="511">
        <f t="shared" si="15"/>
        <v>3380.7418073605522</v>
      </c>
      <c r="EF41" s="558">
        <f t="shared" si="15"/>
        <v>3675.1308510638301</v>
      </c>
      <c r="EG41" s="534"/>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row>
    <row r="42" spans="1:169" s="45" customFormat="1" x14ac:dyDescent="0.25">
      <c r="A42" s="238"/>
      <c r="B42" s="463" t="s">
        <v>517</v>
      </c>
      <c r="C42" s="19" t="s">
        <v>458</v>
      </c>
      <c r="D42" s="29"/>
      <c r="E42" s="21"/>
      <c r="F42" s="20"/>
      <c r="G42" s="21"/>
      <c r="H42" s="22"/>
      <c r="I42" s="20">
        <v>17</v>
      </c>
      <c r="J42" s="21">
        <v>16</v>
      </c>
      <c r="K42" s="21">
        <v>14</v>
      </c>
      <c r="L42" s="21">
        <v>12</v>
      </c>
      <c r="M42" s="22">
        <v>11</v>
      </c>
      <c r="N42" s="20"/>
      <c r="O42" s="21"/>
      <c r="P42" s="21"/>
      <c r="Q42" s="21"/>
      <c r="R42" s="22"/>
      <c r="S42" s="20">
        <v>0</v>
      </c>
      <c r="T42" s="21">
        <v>0</v>
      </c>
      <c r="U42" s="21">
        <v>0</v>
      </c>
      <c r="V42" s="21">
        <v>0</v>
      </c>
      <c r="W42" s="22">
        <v>0</v>
      </c>
      <c r="X42" s="20">
        <v>27</v>
      </c>
      <c r="Y42" s="21">
        <v>24</v>
      </c>
      <c r="Z42" s="21">
        <v>22</v>
      </c>
      <c r="AA42" s="21">
        <v>18</v>
      </c>
      <c r="AB42" s="22">
        <v>15</v>
      </c>
      <c r="AC42" s="20"/>
      <c r="AD42" s="21"/>
      <c r="AE42" s="21"/>
      <c r="AF42" s="21"/>
      <c r="AG42" s="22"/>
      <c r="AH42" s="20">
        <v>17</v>
      </c>
      <c r="AI42" s="21">
        <v>16</v>
      </c>
      <c r="AJ42" s="21">
        <v>14</v>
      </c>
      <c r="AK42" s="21">
        <v>12</v>
      </c>
      <c r="AL42" s="22">
        <v>11</v>
      </c>
      <c r="AM42" s="20">
        <v>26</v>
      </c>
      <c r="AN42" s="21">
        <v>24</v>
      </c>
      <c r="AO42" s="21">
        <v>22</v>
      </c>
      <c r="AP42" s="21">
        <v>18</v>
      </c>
      <c r="AQ42" s="22">
        <v>16</v>
      </c>
      <c r="AR42" s="20"/>
      <c r="AS42" s="21"/>
      <c r="AT42" s="21"/>
      <c r="AU42" s="21"/>
      <c r="AV42" s="22"/>
      <c r="AW42" s="20"/>
      <c r="AX42" s="21"/>
      <c r="AY42" s="21"/>
      <c r="AZ42" s="21"/>
      <c r="BA42" s="22"/>
      <c r="BB42" s="20">
        <v>25</v>
      </c>
      <c r="BC42" s="21">
        <v>25</v>
      </c>
      <c r="BD42" s="22">
        <v>25</v>
      </c>
      <c r="BE42" s="20"/>
      <c r="BF42" s="21"/>
      <c r="BG42" s="22"/>
      <c r="BH42" s="20"/>
      <c r="BI42" s="21"/>
      <c r="BJ42" s="21"/>
      <c r="BK42" s="21"/>
      <c r="BL42" s="22"/>
      <c r="BM42" s="20"/>
      <c r="BN42" s="21"/>
      <c r="BO42" s="21"/>
      <c r="BP42" s="21"/>
      <c r="BQ42" s="22"/>
      <c r="BR42" s="20"/>
      <c r="BS42" s="21"/>
      <c r="BT42" s="21"/>
      <c r="BU42" s="21"/>
      <c r="BV42" s="22"/>
      <c r="BW42" s="20"/>
      <c r="BX42" s="21"/>
      <c r="BY42" s="21"/>
      <c r="BZ42" s="21"/>
      <c r="CA42" s="22"/>
      <c r="CB42" s="20"/>
      <c r="CC42" s="21"/>
      <c r="CD42" s="21"/>
      <c r="CE42" s="21"/>
      <c r="CF42" s="22"/>
      <c r="CG42" s="20"/>
      <c r="CH42" s="21"/>
      <c r="CI42" s="22"/>
      <c r="CJ42" s="20"/>
      <c r="CK42" s="21"/>
      <c r="CL42" s="22"/>
      <c r="CM42" s="20"/>
      <c r="CN42" s="21"/>
      <c r="CO42" s="22"/>
      <c r="CP42" s="24"/>
      <c r="CQ42" s="23"/>
      <c r="CR42" s="25"/>
      <c r="CS42" s="20"/>
      <c r="CT42" s="25"/>
      <c r="CU42" s="22"/>
      <c r="CV42" s="545"/>
      <c r="CW42" s="533"/>
      <c r="CX42" s="884">
        <v>100</v>
      </c>
      <c r="CY42" s="885">
        <v>90</v>
      </c>
      <c r="CZ42" s="886">
        <v>23</v>
      </c>
      <c r="DA42" s="884">
        <v>140</v>
      </c>
      <c r="DB42" s="885">
        <v>140</v>
      </c>
      <c r="DC42" s="886">
        <v>140</v>
      </c>
      <c r="DD42" s="884">
        <v>20</v>
      </c>
      <c r="DE42" s="885">
        <v>20</v>
      </c>
      <c r="DF42" s="886">
        <v>25</v>
      </c>
      <c r="DG42" s="884">
        <v>30</v>
      </c>
      <c r="DH42" s="885">
        <v>25</v>
      </c>
      <c r="DI42" s="886">
        <v>20</v>
      </c>
      <c r="DJ42" s="884">
        <v>20</v>
      </c>
      <c r="DK42" s="885">
        <v>20</v>
      </c>
      <c r="DL42" s="886">
        <v>25</v>
      </c>
      <c r="DM42" s="884">
        <v>3</v>
      </c>
      <c r="DN42" s="885">
        <v>3</v>
      </c>
      <c r="DO42" s="886">
        <v>4</v>
      </c>
      <c r="DP42" s="884">
        <v>3</v>
      </c>
      <c r="DQ42" s="885">
        <v>3</v>
      </c>
      <c r="DR42" s="886">
        <v>3</v>
      </c>
      <c r="DS42" s="238"/>
      <c r="DT42" s="238"/>
      <c r="DU42" s="583" t="s">
        <v>518</v>
      </c>
      <c r="DV42" s="147" t="s">
        <v>472</v>
      </c>
      <c r="DW42" s="137">
        <v>160.54149504195271</v>
      </c>
      <c r="DX42" s="138">
        <v>152.51442028985508</v>
      </c>
      <c r="DY42" s="138">
        <v>145.25182884748102</v>
      </c>
      <c r="DZ42" s="138">
        <v>138.64947299077733</v>
      </c>
      <c r="EA42" s="172">
        <v>138.64947299077733</v>
      </c>
      <c r="EB42" s="138">
        <v>132.62123503465659</v>
      </c>
      <c r="EC42" s="138">
        <v>127.0953502415459</v>
      </c>
      <c r="ED42" s="138">
        <v>122.01153623188407</v>
      </c>
      <c r="EE42" s="138">
        <v>117.31878483835006</v>
      </c>
      <c r="EF42" s="172">
        <v>112.9736446591519</v>
      </c>
      <c r="EG42" s="534"/>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row>
    <row r="43" spans="1:169" s="45" customFormat="1" x14ac:dyDescent="0.25">
      <c r="A43" s="238"/>
      <c r="B43" s="463" t="s">
        <v>505</v>
      </c>
      <c r="C43" s="19" t="s">
        <v>458</v>
      </c>
      <c r="D43" s="20">
        <v>27</v>
      </c>
      <c r="E43" s="21">
        <v>27</v>
      </c>
      <c r="F43" s="20">
        <v>28</v>
      </c>
      <c r="G43" s="21">
        <v>28</v>
      </c>
      <c r="H43" s="22">
        <v>28</v>
      </c>
      <c r="I43" s="20">
        <v>33</v>
      </c>
      <c r="J43" s="21">
        <v>33</v>
      </c>
      <c r="K43" s="21">
        <v>33</v>
      </c>
      <c r="L43" s="21">
        <v>33</v>
      </c>
      <c r="M43" s="22">
        <v>33</v>
      </c>
      <c r="N43" s="20">
        <v>20</v>
      </c>
      <c r="O43" s="21">
        <v>18</v>
      </c>
      <c r="P43" s="21">
        <v>15</v>
      </c>
      <c r="Q43" s="21">
        <v>12</v>
      </c>
      <c r="R43" s="22">
        <v>10</v>
      </c>
      <c r="S43" s="20">
        <v>16</v>
      </c>
      <c r="T43" s="21">
        <v>15</v>
      </c>
      <c r="U43" s="21">
        <v>14</v>
      </c>
      <c r="V43" s="21">
        <v>13</v>
      </c>
      <c r="W43" s="22">
        <v>12</v>
      </c>
      <c r="X43" s="20">
        <v>35</v>
      </c>
      <c r="Y43" s="21">
        <v>35</v>
      </c>
      <c r="Z43" s="21">
        <v>35</v>
      </c>
      <c r="AA43" s="21">
        <v>35</v>
      </c>
      <c r="AB43" s="22">
        <v>35</v>
      </c>
      <c r="AC43" s="20">
        <v>25</v>
      </c>
      <c r="AD43" s="21">
        <v>23</v>
      </c>
      <c r="AE43" s="21">
        <v>21</v>
      </c>
      <c r="AF43" s="21">
        <v>19</v>
      </c>
      <c r="AG43" s="22">
        <v>18</v>
      </c>
      <c r="AH43" s="20">
        <v>34</v>
      </c>
      <c r="AI43" s="21">
        <v>34</v>
      </c>
      <c r="AJ43" s="21">
        <v>34</v>
      </c>
      <c r="AK43" s="21">
        <v>34</v>
      </c>
      <c r="AL43" s="22">
        <v>34</v>
      </c>
      <c r="AM43" s="20">
        <v>36</v>
      </c>
      <c r="AN43" s="21">
        <v>36</v>
      </c>
      <c r="AO43" s="21">
        <v>36</v>
      </c>
      <c r="AP43" s="21">
        <v>36</v>
      </c>
      <c r="AQ43" s="22">
        <v>36</v>
      </c>
      <c r="AR43" s="11">
        <v>15</v>
      </c>
      <c r="AS43" s="12">
        <v>15</v>
      </c>
      <c r="AT43" s="12">
        <v>15</v>
      </c>
      <c r="AU43" s="12">
        <v>15</v>
      </c>
      <c r="AV43" s="13">
        <v>15</v>
      </c>
      <c r="AW43" s="11">
        <v>13.86</v>
      </c>
      <c r="AX43" s="12">
        <v>13.86</v>
      </c>
      <c r="AY43" s="21">
        <v>13.86</v>
      </c>
      <c r="AZ43" s="12">
        <v>13.86</v>
      </c>
      <c r="BA43" s="13">
        <v>13.86</v>
      </c>
      <c r="BB43" s="20">
        <v>30</v>
      </c>
      <c r="BC43" s="21">
        <v>30</v>
      </c>
      <c r="BD43" s="22">
        <v>30</v>
      </c>
      <c r="BE43" s="20">
        <v>14.280000000000001</v>
      </c>
      <c r="BF43" s="21">
        <v>14</v>
      </c>
      <c r="BG43" s="22">
        <v>13.719999999999999</v>
      </c>
      <c r="BH43" s="20">
        <v>7</v>
      </c>
      <c r="BI43" s="21">
        <v>7.0455000000000005</v>
      </c>
      <c r="BJ43" s="21">
        <v>6.71</v>
      </c>
      <c r="BK43" s="21">
        <v>6.3744999999999994</v>
      </c>
      <c r="BL43" s="22">
        <v>6</v>
      </c>
      <c r="BM43" s="20">
        <v>9</v>
      </c>
      <c r="BN43" s="21">
        <v>9</v>
      </c>
      <c r="BO43" s="21">
        <v>9</v>
      </c>
      <c r="BP43" s="21">
        <v>9</v>
      </c>
      <c r="BQ43" s="22">
        <v>9</v>
      </c>
      <c r="BR43" s="20">
        <v>3</v>
      </c>
      <c r="BS43" s="21">
        <v>3</v>
      </c>
      <c r="BT43" s="21">
        <v>3</v>
      </c>
      <c r="BU43" s="21">
        <v>3</v>
      </c>
      <c r="BV43" s="22">
        <v>3</v>
      </c>
      <c r="BW43" s="20">
        <v>9</v>
      </c>
      <c r="BX43" s="21">
        <v>9</v>
      </c>
      <c r="BY43" s="21">
        <v>7.25</v>
      </c>
      <c r="BZ43" s="21">
        <v>11</v>
      </c>
      <c r="CA43" s="22">
        <v>11</v>
      </c>
      <c r="CB43" s="20">
        <v>5</v>
      </c>
      <c r="CC43" s="21">
        <v>4.5</v>
      </c>
      <c r="CD43" s="21">
        <v>4.5</v>
      </c>
      <c r="CE43" s="21">
        <v>4.5</v>
      </c>
      <c r="CF43" s="22">
        <v>5</v>
      </c>
      <c r="CG43" s="20">
        <v>37</v>
      </c>
      <c r="CH43" s="21">
        <v>37</v>
      </c>
      <c r="CI43" s="22">
        <v>35</v>
      </c>
      <c r="CJ43" s="20"/>
      <c r="CK43" s="21"/>
      <c r="CL43" s="22"/>
      <c r="CM43" s="20"/>
      <c r="CN43" s="21"/>
      <c r="CO43" s="22"/>
      <c r="CP43" s="24">
        <v>0.3</v>
      </c>
      <c r="CQ43" s="23">
        <v>0.3</v>
      </c>
      <c r="CR43" s="25">
        <v>0.3</v>
      </c>
      <c r="CS43" s="24">
        <v>0.2</v>
      </c>
      <c r="CT43" s="25">
        <v>0.2</v>
      </c>
      <c r="CU43" s="25">
        <v>0.2</v>
      </c>
      <c r="CV43" s="545"/>
      <c r="CW43" s="533"/>
      <c r="CX43" s="884">
        <v>60</v>
      </c>
      <c r="CY43" s="885">
        <v>50</v>
      </c>
      <c r="CZ43" s="886">
        <v>36</v>
      </c>
      <c r="DA43" s="884">
        <v>4</v>
      </c>
      <c r="DB43" s="885">
        <v>22</v>
      </c>
      <c r="DC43" s="886">
        <v>20</v>
      </c>
      <c r="DD43" s="884">
        <v>24</v>
      </c>
      <c r="DE43" s="885">
        <v>24</v>
      </c>
      <c r="DF43" s="886">
        <v>25</v>
      </c>
      <c r="DG43" s="884">
        <v>30</v>
      </c>
      <c r="DH43" s="885">
        <v>25</v>
      </c>
      <c r="DI43" s="886">
        <v>30</v>
      </c>
      <c r="DJ43" s="884">
        <v>15</v>
      </c>
      <c r="DK43" s="885">
        <v>15</v>
      </c>
      <c r="DL43" s="886">
        <v>15</v>
      </c>
      <c r="DM43" s="884">
        <v>9</v>
      </c>
      <c r="DN43" s="885">
        <v>9</v>
      </c>
      <c r="DO43" s="886">
        <v>9</v>
      </c>
      <c r="DP43" s="884">
        <v>9</v>
      </c>
      <c r="DQ43" s="885">
        <v>9</v>
      </c>
      <c r="DR43" s="886">
        <v>9</v>
      </c>
      <c r="DS43" s="238"/>
      <c r="DT43" s="238"/>
      <c r="DU43" s="583" t="s">
        <v>435</v>
      </c>
      <c r="DV43" s="158" t="s">
        <v>519</v>
      </c>
      <c r="DW43" s="139">
        <v>1.9</v>
      </c>
      <c r="DX43" s="131">
        <v>2</v>
      </c>
      <c r="DY43" s="131">
        <v>2.1</v>
      </c>
      <c r="DZ43" s="131">
        <v>2.2000000000000002</v>
      </c>
      <c r="EA43" s="140">
        <v>2.2000000000000002</v>
      </c>
      <c r="EB43" s="131">
        <v>2.2999999999999998</v>
      </c>
      <c r="EC43" s="131">
        <v>2.4</v>
      </c>
      <c r="ED43" s="131">
        <v>2.5</v>
      </c>
      <c r="EE43" s="131">
        <v>2.6</v>
      </c>
      <c r="EF43" s="140">
        <v>2.7</v>
      </c>
      <c r="EG43" s="534"/>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row>
    <row r="44" spans="1:169" s="45" customFormat="1" x14ac:dyDescent="0.25">
      <c r="A44" s="238"/>
      <c r="B44" s="463" t="s">
        <v>520</v>
      </c>
      <c r="C44" s="19" t="s">
        <v>458</v>
      </c>
      <c r="D44" s="20">
        <v>90</v>
      </c>
      <c r="E44" s="21">
        <v>89.7</v>
      </c>
      <c r="F44" s="20">
        <v>89.7</v>
      </c>
      <c r="G44" s="21">
        <v>89.7</v>
      </c>
      <c r="H44" s="22">
        <v>90</v>
      </c>
      <c r="I44" s="20">
        <v>46</v>
      </c>
      <c r="J44" s="21">
        <v>46</v>
      </c>
      <c r="K44" s="21">
        <v>46</v>
      </c>
      <c r="L44" s="21">
        <v>46</v>
      </c>
      <c r="M44" s="22">
        <v>46</v>
      </c>
      <c r="N44" s="20">
        <v>0</v>
      </c>
      <c r="O44" s="21">
        <v>0</v>
      </c>
      <c r="P44" s="21">
        <v>0</v>
      </c>
      <c r="Q44" s="21">
        <v>0</v>
      </c>
      <c r="R44" s="22">
        <v>0</v>
      </c>
      <c r="S44" s="20">
        <v>0</v>
      </c>
      <c r="T44" s="21">
        <v>0</v>
      </c>
      <c r="U44" s="21">
        <v>0</v>
      </c>
      <c r="V44" s="21">
        <v>0</v>
      </c>
      <c r="W44" s="22">
        <v>0</v>
      </c>
      <c r="X44" s="20">
        <v>52</v>
      </c>
      <c r="Y44" s="21">
        <v>52</v>
      </c>
      <c r="Z44" s="21">
        <v>52</v>
      </c>
      <c r="AA44" s="21">
        <v>52</v>
      </c>
      <c r="AB44" s="22">
        <v>52</v>
      </c>
      <c r="AC44" s="20">
        <v>60</v>
      </c>
      <c r="AD44" s="21">
        <v>56</v>
      </c>
      <c r="AE44" s="21">
        <v>51</v>
      </c>
      <c r="AF44" s="21">
        <v>46</v>
      </c>
      <c r="AG44" s="22">
        <v>42</v>
      </c>
      <c r="AH44" s="20">
        <v>50</v>
      </c>
      <c r="AI44" s="21">
        <v>50</v>
      </c>
      <c r="AJ44" s="21">
        <v>50</v>
      </c>
      <c r="AK44" s="21">
        <v>50</v>
      </c>
      <c r="AL44" s="22">
        <v>50</v>
      </c>
      <c r="AM44" s="20">
        <v>57</v>
      </c>
      <c r="AN44" s="21">
        <v>57</v>
      </c>
      <c r="AO44" s="21">
        <v>57</v>
      </c>
      <c r="AP44" s="21">
        <v>57</v>
      </c>
      <c r="AQ44" s="22">
        <v>57</v>
      </c>
      <c r="AR44" s="20"/>
      <c r="AS44" s="21"/>
      <c r="AT44" s="21"/>
      <c r="AU44" s="21"/>
      <c r="AV44" s="22"/>
      <c r="AW44" s="11">
        <v>56</v>
      </c>
      <c r="AX44" s="12">
        <v>56</v>
      </c>
      <c r="AY44" s="21">
        <v>56</v>
      </c>
      <c r="AZ44" s="12">
        <v>56</v>
      </c>
      <c r="BA44" s="13">
        <v>56</v>
      </c>
      <c r="BB44" s="20">
        <v>60</v>
      </c>
      <c r="BC44" s="21">
        <v>60</v>
      </c>
      <c r="BD44" s="22">
        <v>60</v>
      </c>
      <c r="BE44" s="20">
        <v>48.96</v>
      </c>
      <c r="BF44" s="21">
        <v>48</v>
      </c>
      <c r="BG44" s="22">
        <v>47.04</v>
      </c>
      <c r="BH44" s="20"/>
      <c r="BI44" s="21"/>
      <c r="BJ44" s="21"/>
      <c r="BK44" s="21"/>
      <c r="BL44" s="22"/>
      <c r="BM44" s="20"/>
      <c r="BN44" s="21"/>
      <c r="BO44" s="21"/>
      <c r="BP44" s="21"/>
      <c r="BQ44" s="22"/>
      <c r="BR44" s="20"/>
      <c r="BS44" s="21"/>
      <c r="BT44" s="21"/>
      <c r="BU44" s="21"/>
      <c r="BV44" s="22"/>
      <c r="BW44" s="20"/>
      <c r="BX44" s="21"/>
      <c r="BY44" s="21"/>
      <c r="BZ44" s="21"/>
      <c r="CA44" s="22"/>
      <c r="CB44" s="20"/>
      <c r="CC44" s="21"/>
      <c r="CD44" s="21"/>
      <c r="CE44" s="21"/>
      <c r="CF44" s="22"/>
      <c r="CG44" s="20">
        <v>70</v>
      </c>
      <c r="CH44" s="21">
        <v>70</v>
      </c>
      <c r="CI44" s="22">
        <v>70</v>
      </c>
      <c r="CJ44" s="20"/>
      <c r="CK44" s="21"/>
      <c r="CL44" s="22"/>
      <c r="CM44" s="20"/>
      <c r="CN44" s="21"/>
      <c r="CO44" s="22"/>
      <c r="CP44" s="24"/>
      <c r="CQ44" s="23"/>
      <c r="CR44" s="25"/>
      <c r="CS44" s="20"/>
      <c r="CT44" s="25"/>
      <c r="CU44" s="22"/>
      <c r="CV44" s="545"/>
      <c r="CW44" s="533"/>
      <c r="CX44" s="884">
        <v>75</v>
      </c>
      <c r="CY44" s="885">
        <v>75</v>
      </c>
      <c r="CZ44" s="886">
        <v>75</v>
      </c>
      <c r="DA44" s="902">
        <v>118.0263157894737</v>
      </c>
      <c r="DB44" s="623">
        <v>118.0263157894737</v>
      </c>
      <c r="DC44" s="903">
        <v>118.0263157894737</v>
      </c>
      <c r="DD44" s="902">
        <v>60.526315789473685</v>
      </c>
      <c r="DE44" s="623">
        <v>60.526315789473685</v>
      </c>
      <c r="DF44" s="903">
        <v>60.526315789473685</v>
      </c>
      <c r="DG44" s="902">
        <v>70.394736842105274</v>
      </c>
      <c r="DH44" s="623">
        <v>70.394736842105274</v>
      </c>
      <c r="DI44" s="903">
        <v>70.394736842105274</v>
      </c>
      <c r="DJ44" s="902">
        <v>22.144736842105264</v>
      </c>
      <c r="DK44" s="623">
        <v>22.144736842105264</v>
      </c>
      <c r="DL44" s="903">
        <v>22.144736842105264</v>
      </c>
      <c r="DM44" s="884"/>
      <c r="DN44" s="885"/>
      <c r="DO44" s="886"/>
      <c r="DP44" s="884"/>
      <c r="DQ44" s="885"/>
      <c r="DR44" s="886"/>
      <c r="DS44" s="238"/>
      <c r="DT44" s="238"/>
      <c r="DU44" s="590" t="s">
        <v>521</v>
      </c>
      <c r="DV44" s="41"/>
      <c r="DW44" s="46">
        <v>1</v>
      </c>
      <c r="DX44" s="155">
        <v>1</v>
      </c>
      <c r="DY44" s="155">
        <v>1</v>
      </c>
      <c r="DZ44" s="155">
        <v>1</v>
      </c>
      <c r="EA44" s="153">
        <v>1</v>
      </c>
      <c r="EB44" s="155">
        <v>0.87</v>
      </c>
      <c r="EC44" s="155">
        <v>0.87</v>
      </c>
      <c r="ED44" s="155">
        <v>0.87</v>
      </c>
      <c r="EE44" s="155">
        <v>0.87</v>
      </c>
      <c r="EF44" s="153">
        <v>0.87</v>
      </c>
      <c r="EG44" s="534"/>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row>
    <row r="45" spans="1:169" s="45" customFormat="1" ht="11" thickBot="1" x14ac:dyDescent="0.3">
      <c r="A45" s="513"/>
      <c r="B45" s="463" t="s">
        <v>522</v>
      </c>
      <c r="C45" s="19" t="s">
        <v>458</v>
      </c>
      <c r="D45" s="20">
        <v>18</v>
      </c>
      <c r="E45" s="21">
        <v>18</v>
      </c>
      <c r="F45" s="831">
        <v>18</v>
      </c>
      <c r="G45" s="1095">
        <v>18</v>
      </c>
      <c r="H45" s="679">
        <v>18</v>
      </c>
      <c r="I45" s="831">
        <v>29</v>
      </c>
      <c r="J45" s="1095">
        <v>28</v>
      </c>
      <c r="K45" s="1095">
        <v>28</v>
      </c>
      <c r="L45" s="1095">
        <v>29</v>
      </c>
      <c r="M45" s="679">
        <v>29</v>
      </c>
      <c r="N45" s="831">
        <v>22</v>
      </c>
      <c r="O45" s="1095">
        <v>22</v>
      </c>
      <c r="P45" s="1095">
        <v>24</v>
      </c>
      <c r="Q45" s="1095">
        <v>19</v>
      </c>
      <c r="R45" s="679">
        <v>19</v>
      </c>
      <c r="S45" s="831">
        <v>40</v>
      </c>
      <c r="T45" s="1095">
        <v>38</v>
      </c>
      <c r="U45" s="1095">
        <v>36</v>
      </c>
      <c r="V45" s="1095">
        <v>32</v>
      </c>
      <c r="W45" s="679">
        <v>30</v>
      </c>
      <c r="X45" s="831">
        <v>30</v>
      </c>
      <c r="Y45" s="1095">
        <v>31</v>
      </c>
      <c r="Z45" s="1095">
        <v>31</v>
      </c>
      <c r="AA45" s="1095">
        <v>34</v>
      </c>
      <c r="AB45" s="679">
        <v>34</v>
      </c>
      <c r="AC45" s="831">
        <v>41</v>
      </c>
      <c r="AD45" s="1095">
        <v>41</v>
      </c>
      <c r="AE45" s="1095">
        <v>40</v>
      </c>
      <c r="AF45" s="1095">
        <v>39</v>
      </c>
      <c r="AG45" s="679">
        <v>39</v>
      </c>
      <c r="AH45" s="831">
        <v>29</v>
      </c>
      <c r="AI45" s="1095">
        <v>28</v>
      </c>
      <c r="AJ45" s="1095">
        <v>28</v>
      </c>
      <c r="AK45" s="1095">
        <v>29</v>
      </c>
      <c r="AL45" s="679">
        <v>28</v>
      </c>
      <c r="AM45" s="831">
        <v>30</v>
      </c>
      <c r="AN45" s="1095">
        <v>31</v>
      </c>
      <c r="AO45" s="1095">
        <v>31</v>
      </c>
      <c r="AP45" s="1095">
        <v>34</v>
      </c>
      <c r="AQ45" s="679">
        <v>35</v>
      </c>
      <c r="AR45" s="1096">
        <v>28</v>
      </c>
      <c r="AS45" s="1097">
        <v>28</v>
      </c>
      <c r="AT45" s="1097">
        <v>28</v>
      </c>
      <c r="AU45" s="1097">
        <v>28</v>
      </c>
      <c r="AV45" s="1098">
        <v>28</v>
      </c>
      <c r="AW45" s="1096">
        <v>32</v>
      </c>
      <c r="AX45" s="1097">
        <v>32</v>
      </c>
      <c r="AY45" s="1095">
        <v>32</v>
      </c>
      <c r="AZ45" s="1097">
        <v>32</v>
      </c>
      <c r="BA45" s="1098">
        <v>32</v>
      </c>
      <c r="BB45" s="831">
        <v>15</v>
      </c>
      <c r="BC45" s="1095">
        <v>15</v>
      </c>
      <c r="BD45" s="679">
        <v>15</v>
      </c>
      <c r="BE45" s="831">
        <v>36.72</v>
      </c>
      <c r="BF45" s="1095">
        <v>36</v>
      </c>
      <c r="BG45" s="679">
        <v>35.28</v>
      </c>
      <c r="BH45" s="831">
        <v>10</v>
      </c>
      <c r="BI45" s="1095">
        <v>9.6810000000000009</v>
      </c>
      <c r="BJ45" s="1095">
        <v>9.2200000000000006</v>
      </c>
      <c r="BK45" s="1095">
        <v>8.7590000000000003</v>
      </c>
      <c r="BL45" s="679">
        <v>9</v>
      </c>
      <c r="BM45" s="831">
        <v>16</v>
      </c>
      <c r="BN45" s="1095">
        <v>16</v>
      </c>
      <c r="BO45" s="1095">
        <v>16</v>
      </c>
      <c r="BP45" s="1095">
        <v>16</v>
      </c>
      <c r="BQ45" s="679">
        <v>16</v>
      </c>
      <c r="BR45" s="831">
        <v>7</v>
      </c>
      <c r="BS45" s="1095">
        <v>7</v>
      </c>
      <c r="BT45" s="1095">
        <v>7</v>
      </c>
      <c r="BU45" s="1095">
        <v>7</v>
      </c>
      <c r="BV45" s="679">
        <v>7</v>
      </c>
      <c r="BW45" s="831">
        <v>11</v>
      </c>
      <c r="BX45" s="1095">
        <v>10.5</v>
      </c>
      <c r="BY45" s="1095">
        <v>10</v>
      </c>
      <c r="BZ45" s="1095">
        <v>9.5</v>
      </c>
      <c r="CA45" s="679">
        <v>9</v>
      </c>
      <c r="CB45" s="831">
        <v>12</v>
      </c>
      <c r="CC45" s="1095">
        <v>11.88</v>
      </c>
      <c r="CD45" s="1095">
        <v>11.88</v>
      </c>
      <c r="CE45" s="1095">
        <v>11.88</v>
      </c>
      <c r="CF45" s="679">
        <v>12</v>
      </c>
      <c r="CG45" s="831">
        <v>24</v>
      </c>
      <c r="CH45" s="1095">
        <v>24</v>
      </c>
      <c r="CI45" s="679">
        <v>24</v>
      </c>
      <c r="CJ45" s="831">
        <v>8</v>
      </c>
      <c r="CK45" s="1095">
        <v>8</v>
      </c>
      <c r="CL45" s="679">
        <v>8</v>
      </c>
      <c r="CM45" s="831">
        <v>10.780309936189608</v>
      </c>
      <c r="CN45" s="1095">
        <v>10.511321531494442</v>
      </c>
      <c r="CO45" s="679">
        <v>10.223059532780708</v>
      </c>
      <c r="CP45" s="451">
        <v>1.2</v>
      </c>
      <c r="CQ45" s="452">
        <v>1.2</v>
      </c>
      <c r="CR45" s="450">
        <v>1.2</v>
      </c>
      <c r="CS45" s="831"/>
      <c r="CT45" s="450"/>
      <c r="CU45" s="22"/>
      <c r="CV45" s="545"/>
      <c r="CW45" s="549"/>
      <c r="CX45" s="884">
        <f>260-CX44</f>
        <v>185</v>
      </c>
      <c r="CY45" s="885">
        <v>155</v>
      </c>
      <c r="CZ45" s="886">
        <v>89</v>
      </c>
      <c r="DA45" s="884">
        <v>72</v>
      </c>
      <c r="DB45" s="885">
        <v>72</v>
      </c>
      <c r="DC45" s="886">
        <v>72</v>
      </c>
      <c r="DD45" s="884">
        <v>73</v>
      </c>
      <c r="DE45" s="885">
        <v>73</v>
      </c>
      <c r="DF45" s="886">
        <v>70</v>
      </c>
      <c r="DG45" s="884">
        <v>50</v>
      </c>
      <c r="DH45" s="885">
        <v>50</v>
      </c>
      <c r="DI45" s="886">
        <v>60</v>
      </c>
      <c r="DJ45" s="884">
        <v>90</v>
      </c>
      <c r="DK45" s="885">
        <v>90</v>
      </c>
      <c r="DL45" s="886">
        <v>130</v>
      </c>
      <c r="DM45" s="884">
        <v>14</v>
      </c>
      <c r="DN45" s="885">
        <v>14</v>
      </c>
      <c r="DO45" s="886">
        <v>13</v>
      </c>
      <c r="DP45" s="884">
        <v>15</v>
      </c>
      <c r="DQ45" s="885">
        <v>14</v>
      </c>
      <c r="DR45" s="886">
        <v>13</v>
      </c>
      <c r="DS45" s="238"/>
      <c r="DT45" s="238"/>
      <c r="DU45" s="590" t="s">
        <v>429</v>
      </c>
      <c r="DV45" s="153" t="s">
        <v>429</v>
      </c>
      <c r="DW45" s="150">
        <v>1.9</v>
      </c>
      <c r="DX45" s="151">
        <v>2</v>
      </c>
      <c r="DY45" s="151">
        <v>2.1</v>
      </c>
      <c r="DZ45" s="151">
        <v>2.2000000000000002</v>
      </c>
      <c r="EA45" s="152">
        <v>2.2000000000000002</v>
      </c>
      <c r="EB45" s="151">
        <v>2.0009999999999999</v>
      </c>
      <c r="EC45" s="151">
        <v>2.0880000000000001</v>
      </c>
      <c r="ED45" s="151">
        <v>2.1749999999999998</v>
      </c>
      <c r="EE45" s="151">
        <v>2.262</v>
      </c>
      <c r="EF45" s="152">
        <v>2.3490000000000002</v>
      </c>
      <c r="EG45" s="534"/>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row>
    <row r="46" spans="1:169" s="494" customFormat="1" x14ac:dyDescent="0.25">
      <c r="A46" s="512"/>
      <c r="B46" s="1491" t="s">
        <v>513</v>
      </c>
      <c r="C46" s="491" t="s">
        <v>458</v>
      </c>
      <c r="D46" s="493">
        <v>474.56594279999996</v>
      </c>
      <c r="E46" s="492">
        <v>458.096136</v>
      </c>
      <c r="F46" s="492">
        <v>443.69632000000001</v>
      </c>
      <c r="G46" s="492">
        <v>428.29650399999997</v>
      </c>
      <c r="H46" s="491">
        <v>413.96667880000001</v>
      </c>
      <c r="I46" s="493">
        <v>172.73</v>
      </c>
      <c r="J46" s="492">
        <v>167.4</v>
      </c>
      <c r="K46" s="492">
        <v>160.96</v>
      </c>
      <c r="L46" s="492">
        <v>153.25049999999999</v>
      </c>
      <c r="M46" s="491">
        <v>148.97</v>
      </c>
      <c r="N46" s="493">
        <v>115.5</v>
      </c>
      <c r="O46" s="492">
        <v>110.56</v>
      </c>
      <c r="P46" s="492">
        <v>105.15</v>
      </c>
      <c r="Q46" s="492">
        <v>92.740000000000009</v>
      </c>
      <c r="R46" s="491">
        <v>87.8</v>
      </c>
      <c r="S46" s="493">
        <v>72.125</v>
      </c>
      <c r="T46" s="492">
        <v>69.125</v>
      </c>
      <c r="U46" s="492">
        <v>65.75</v>
      </c>
      <c r="V46" s="492">
        <v>60</v>
      </c>
      <c r="W46" s="491">
        <v>57</v>
      </c>
      <c r="X46" s="493">
        <v>224.64</v>
      </c>
      <c r="Y46" s="492">
        <v>217.99</v>
      </c>
      <c r="Z46" s="492">
        <v>209.285</v>
      </c>
      <c r="AA46" s="492">
        <v>201.83199999999999</v>
      </c>
      <c r="AB46" s="491">
        <v>194.24</v>
      </c>
      <c r="AC46" s="493">
        <v>270.05</v>
      </c>
      <c r="AD46" s="492">
        <v>259.75</v>
      </c>
      <c r="AE46" s="492">
        <v>244.3</v>
      </c>
      <c r="AF46" s="492">
        <v>212</v>
      </c>
      <c r="AG46" s="491">
        <v>203</v>
      </c>
      <c r="AH46" s="493">
        <v>180.625</v>
      </c>
      <c r="AI46" s="492">
        <v>174.41</v>
      </c>
      <c r="AJ46" s="492">
        <v>167.99</v>
      </c>
      <c r="AK46" s="492">
        <v>160.36000000000001</v>
      </c>
      <c r="AL46" s="491">
        <v>153.80000000000001</v>
      </c>
      <c r="AM46" s="493">
        <v>230</v>
      </c>
      <c r="AN46" s="492">
        <v>225.04885000000002</v>
      </c>
      <c r="AO46" s="492">
        <v>216.34895</v>
      </c>
      <c r="AP46" s="492">
        <v>208.8742</v>
      </c>
      <c r="AQ46" s="491">
        <v>205.05</v>
      </c>
      <c r="AR46" s="493">
        <v>76.599999999999994</v>
      </c>
      <c r="AS46" s="492">
        <v>76.599999999999994</v>
      </c>
      <c r="AT46" s="492">
        <v>76.599999999999994</v>
      </c>
      <c r="AU46" s="492">
        <v>76.599999999999994</v>
      </c>
      <c r="AV46" s="491">
        <v>76.599999999999994</v>
      </c>
      <c r="AW46" s="493">
        <v>263.11</v>
      </c>
      <c r="AX46" s="492">
        <v>263.11</v>
      </c>
      <c r="AY46" s="492">
        <v>259.36</v>
      </c>
      <c r="AZ46" s="492">
        <v>255.61</v>
      </c>
      <c r="BA46" s="491">
        <v>251.86</v>
      </c>
      <c r="BB46" s="493">
        <v>167.125</v>
      </c>
      <c r="BC46" s="492">
        <v>165.36</v>
      </c>
      <c r="BD46" s="491">
        <v>165.36</v>
      </c>
      <c r="BE46" s="493">
        <v>177.36</v>
      </c>
      <c r="BF46" s="492">
        <v>173.6</v>
      </c>
      <c r="BG46" s="491">
        <v>171.64</v>
      </c>
      <c r="BH46" s="493">
        <v>20.149999999999999</v>
      </c>
      <c r="BI46" s="492">
        <v>19.519500000000001</v>
      </c>
      <c r="BJ46" s="492">
        <v>18.87</v>
      </c>
      <c r="BK46" s="492">
        <v>17.947499999999998</v>
      </c>
      <c r="BL46" s="491">
        <v>17.52</v>
      </c>
      <c r="BM46" s="493">
        <v>39.539000000000001</v>
      </c>
      <c r="BN46" s="492">
        <v>39.075828999999999</v>
      </c>
      <c r="BO46" s="492">
        <v>38.396650000000001</v>
      </c>
      <c r="BP46" s="492">
        <v>37.856629999999996</v>
      </c>
      <c r="BQ46" s="491">
        <v>37.462000000000003</v>
      </c>
      <c r="BR46" s="493">
        <v>13</v>
      </c>
      <c r="BS46" s="492">
        <v>13.087</v>
      </c>
      <c r="BT46" s="492">
        <v>12.94</v>
      </c>
      <c r="BU46" s="492">
        <v>12.792999999999999</v>
      </c>
      <c r="BV46" s="491">
        <v>13</v>
      </c>
      <c r="BW46" s="493">
        <v>31.25</v>
      </c>
      <c r="BX46" s="492">
        <v>30.75</v>
      </c>
      <c r="BY46" s="492">
        <v>28.5</v>
      </c>
      <c r="BZ46" s="492">
        <v>31.75</v>
      </c>
      <c r="CA46" s="491">
        <v>31.25</v>
      </c>
      <c r="CB46" s="493">
        <v>22.4</v>
      </c>
      <c r="CC46" s="492">
        <v>21.78</v>
      </c>
      <c r="CD46" s="492">
        <v>21.78</v>
      </c>
      <c r="CE46" s="492">
        <v>21.78</v>
      </c>
      <c r="CF46" s="491">
        <v>22.4</v>
      </c>
      <c r="CG46" s="493">
        <v>922.7</v>
      </c>
      <c r="CH46" s="492">
        <v>894.8</v>
      </c>
      <c r="CI46" s="491">
        <v>834.23599999999999</v>
      </c>
      <c r="CJ46" s="493">
        <v>68.647999999999996</v>
      </c>
      <c r="CK46" s="492">
        <v>68.367999999999995</v>
      </c>
      <c r="CL46" s="491">
        <v>56.72</v>
      </c>
      <c r="CM46" s="493">
        <v>107.51308659981768</v>
      </c>
      <c r="CN46" s="492">
        <v>102.32436064223961</v>
      </c>
      <c r="CO46" s="491">
        <v>85.515629238884699</v>
      </c>
      <c r="CP46" s="493">
        <v>14.725</v>
      </c>
      <c r="CQ46" s="492">
        <v>14.725</v>
      </c>
      <c r="CR46" s="491">
        <v>14.725</v>
      </c>
      <c r="CS46" s="493">
        <v>2.6645000000000003</v>
      </c>
      <c r="CT46" s="491">
        <v>2.2429999999999999</v>
      </c>
      <c r="CU46" s="491">
        <v>1.8471999999999997</v>
      </c>
      <c r="CV46" s="548"/>
      <c r="CW46" s="533"/>
      <c r="CX46" s="892">
        <f>SUM(CX41:CX45)</f>
        <v>1068</v>
      </c>
      <c r="CY46" s="893">
        <f>SUM(CY41:CY45)</f>
        <v>970</v>
      </c>
      <c r="CZ46" s="894" t="e">
        <f>SUM(CZ41:CZ45)</f>
        <v>#DIV/0!</v>
      </c>
      <c r="DA46" s="912">
        <f t="shared" ref="DA46:DI46" si="16">SUM(DA41:DA45)</f>
        <v>480.0263157894737</v>
      </c>
      <c r="DB46" s="911">
        <f t="shared" si="16"/>
        <v>492.0263157894737</v>
      </c>
      <c r="DC46" s="894" t="e">
        <f t="shared" si="16"/>
        <v>#DIV/0!</v>
      </c>
      <c r="DD46" s="912">
        <f t="shared" si="16"/>
        <v>207.5263157894737</v>
      </c>
      <c r="DE46" s="911">
        <f t="shared" si="16"/>
        <v>202.5263157894737</v>
      </c>
      <c r="DF46" s="894">
        <f t="shared" si="16"/>
        <v>192.5263157894737</v>
      </c>
      <c r="DG46" s="912">
        <f t="shared" si="16"/>
        <v>195.39473684210526</v>
      </c>
      <c r="DH46" s="911">
        <f t="shared" si="16"/>
        <v>186.39473684210526</v>
      </c>
      <c r="DI46" s="894">
        <f t="shared" si="16"/>
        <v>205.39473684210526</v>
      </c>
      <c r="DJ46" s="912">
        <f>SUM(DJ41:DJ45)</f>
        <v>207.14473684210526</v>
      </c>
      <c r="DK46" s="911">
        <f t="shared" ref="DK46:DR46" si="17">SUM(DK41:DK45)</f>
        <v>217.14473684210526</v>
      </c>
      <c r="DL46" s="894">
        <f t="shared" si="17"/>
        <v>282.14473684210526</v>
      </c>
      <c r="DM46" s="912">
        <f t="shared" si="17"/>
        <v>35</v>
      </c>
      <c r="DN46" s="911">
        <f t="shared" si="17"/>
        <v>34</v>
      </c>
      <c r="DO46" s="894">
        <f t="shared" si="17"/>
        <v>33</v>
      </c>
      <c r="DP46" s="912">
        <f t="shared" si="17"/>
        <v>42</v>
      </c>
      <c r="DQ46" s="911">
        <f t="shared" si="17"/>
        <v>38.408683164062495</v>
      </c>
      <c r="DR46" s="894">
        <f t="shared" si="17"/>
        <v>38</v>
      </c>
      <c r="DS46" s="238"/>
      <c r="DT46" s="238"/>
      <c r="DU46" s="587"/>
      <c r="DV46" s="495"/>
      <c r="DW46" s="445"/>
      <c r="DX46" s="456"/>
      <c r="DY46" s="456"/>
      <c r="DZ46" s="456"/>
      <c r="EA46" s="597"/>
      <c r="EB46" s="456"/>
      <c r="EC46" s="456"/>
      <c r="ED46" s="456"/>
      <c r="EE46" s="456"/>
      <c r="EF46" s="462"/>
      <c r="EG46" s="534"/>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row>
    <row r="47" spans="1:169" s="490" customFormat="1" ht="13.4" customHeight="1" thickBot="1" x14ac:dyDescent="0.3">
      <c r="A47" s="514"/>
      <c r="B47" s="1492"/>
      <c r="C47" s="441" t="s">
        <v>425</v>
      </c>
      <c r="D47" s="440">
        <f t="shared" ref="D47:AI47" si="18">D46*D10</f>
        <v>569.47913135999988</v>
      </c>
      <c r="E47" s="489">
        <f t="shared" si="18"/>
        <v>595.52497679999999</v>
      </c>
      <c r="F47" s="489">
        <f t="shared" si="18"/>
        <v>621.174848</v>
      </c>
      <c r="G47" s="489">
        <f t="shared" si="18"/>
        <v>642.44475599999998</v>
      </c>
      <c r="H47" s="441">
        <f t="shared" si="18"/>
        <v>662.34668608000004</v>
      </c>
      <c r="I47" s="440">
        <f t="shared" si="18"/>
        <v>259.09499999999997</v>
      </c>
      <c r="J47" s="489">
        <f t="shared" si="18"/>
        <v>276.20999999999998</v>
      </c>
      <c r="K47" s="489">
        <f t="shared" si="18"/>
        <v>289.72800000000001</v>
      </c>
      <c r="L47" s="489">
        <f t="shared" si="18"/>
        <v>337.15109999999999</v>
      </c>
      <c r="M47" s="441">
        <f t="shared" si="18"/>
        <v>342.63099999999997</v>
      </c>
      <c r="N47" s="440">
        <f t="shared" si="18"/>
        <v>288.75</v>
      </c>
      <c r="O47" s="489">
        <f t="shared" si="18"/>
        <v>304.04000000000002</v>
      </c>
      <c r="P47" s="489">
        <f t="shared" si="18"/>
        <v>315.45000000000005</v>
      </c>
      <c r="Q47" s="489">
        <f t="shared" si="18"/>
        <v>324.59000000000003</v>
      </c>
      <c r="R47" s="441">
        <f t="shared" si="18"/>
        <v>351.2</v>
      </c>
      <c r="S47" s="440">
        <f t="shared" si="18"/>
        <v>180.3125</v>
      </c>
      <c r="T47" s="489">
        <f t="shared" si="18"/>
        <v>200.46250000000001</v>
      </c>
      <c r="U47" s="489">
        <f t="shared" si="18"/>
        <v>197.25</v>
      </c>
      <c r="V47" s="489">
        <f t="shared" si="18"/>
        <v>183</v>
      </c>
      <c r="W47" s="441">
        <f t="shared" si="18"/>
        <v>176.70000000000002</v>
      </c>
      <c r="X47" s="440">
        <f t="shared" si="18"/>
        <v>314.49599999999998</v>
      </c>
      <c r="Y47" s="489">
        <f t="shared" si="18"/>
        <v>326.98500000000001</v>
      </c>
      <c r="Z47" s="489">
        <f t="shared" si="18"/>
        <v>345.32024999999999</v>
      </c>
      <c r="AA47" s="489">
        <f t="shared" si="18"/>
        <v>403.66399999999999</v>
      </c>
      <c r="AB47" s="441">
        <f t="shared" si="18"/>
        <v>407.90400000000005</v>
      </c>
      <c r="AC47" s="440">
        <f t="shared" si="18"/>
        <v>810.15000000000009</v>
      </c>
      <c r="AD47" s="489">
        <f t="shared" si="18"/>
        <v>896.67123287671222</v>
      </c>
      <c r="AE47" s="489">
        <f t="shared" si="18"/>
        <v>992.16116035455263</v>
      </c>
      <c r="AF47" s="489">
        <f t="shared" si="18"/>
        <v>975.78082191780834</v>
      </c>
      <c r="AG47" s="441">
        <f t="shared" si="18"/>
        <v>964.25</v>
      </c>
      <c r="AH47" s="440">
        <f t="shared" si="18"/>
        <v>198.68750000000003</v>
      </c>
      <c r="AI47" s="489">
        <f t="shared" si="18"/>
        <v>226.733</v>
      </c>
      <c r="AJ47" s="489">
        <f t="shared" ref="AJ47:BO47" si="19">AJ46*AJ10</f>
        <v>268.78400000000005</v>
      </c>
      <c r="AK47" s="489">
        <f t="shared" si="19"/>
        <v>304.68400000000003</v>
      </c>
      <c r="AL47" s="441">
        <f t="shared" si="19"/>
        <v>338.36000000000007</v>
      </c>
      <c r="AM47" s="440">
        <f t="shared" si="19"/>
        <v>207</v>
      </c>
      <c r="AN47" s="489">
        <f t="shared" si="19"/>
        <v>225.04885000000002</v>
      </c>
      <c r="AO47" s="489">
        <f t="shared" si="19"/>
        <v>270.43618750000002</v>
      </c>
      <c r="AP47" s="489">
        <f t="shared" si="19"/>
        <v>313.31130000000002</v>
      </c>
      <c r="AQ47" s="441">
        <f t="shared" si="19"/>
        <v>328.08000000000004</v>
      </c>
      <c r="AR47" s="440">
        <f t="shared" si="19"/>
        <v>199.16</v>
      </c>
      <c r="AS47" s="489">
        <f t="shared" si="19"/>
        <v>210.64999999999998</v>
      </c>
      <c r="AT47" s="489">
        <f t="shared" si="19"/>
        <v>229.79999999999998</v>
      </c>
      <c r="AU47" s="489">
        <f t="shared" si="19"/>
        <v>248.95</v>
      </c>
      <c r="AV47" s="441">
        <f t="shared" si="19"/>
        <v>260.44</v>
      </c>
      <c r="AW47" s="440">
        <f t="shared" si="19"/>
        <v>789.33</v>
      </c>
      <c r="AX47" s="489">
        <f t="shared" si="19"/>
        <v>908.27013698630128</v>
      </c>
      <c r="AY47" s="489">
        <f t="shared" si="19"/>
        <v>1053.3234488315873</v>
      </c>
      <c r="AZ47" s="489">
        <f t="shared" si="19"/>
        <v>1176.5063013698632</v>
      </c>
      <c r="BA47" s="441">
        <f t="shared" si="19"/>
        <v>1259.3000000000002</v>
      </c>
      <c r="BB47" s="440">
        <f t="shared" si="19"/>
        <v>150.41249999999999</v>
      </c>
      <c r="BC47" s="489">
        <f t="shared" si="19"/>
        <v>165.36</v>
      </c>
      <c r="BD47" s="441">
        <f t="shared" si="19"/>
        <v>181.89600000000004</v>
      </c>
      <c r="BE47" s="440">
        <f t="shared" si="19"/>
        <v>266.04000000000002</v>
      </c>
      <c r="BF47" s="489">
        <f t="shared" si="19"/>
        <v>217</v>
      </c>
      <c r="BG47" s="441">
        <f t="shared" si="19"/>
        <v>429.09999999999997</v>
      </c>
      <c r="BH47" s="440">
        <f t="shared" si="19"/>
        <v>241.79999999999998</v>
      </c>
      <c r="BI47" s="489">
        <f t="shared" si="19"/>
        <v>292.79250000000002</v>
      </c>
      <c r="BJ47" s="489">
        <f t="shared" si="19"/>
        <v>283.05</v>
      </c>
      <c r="BK47" s="489">
        <f t="shared" si="19"/>
        <v>269.21249999999998</v>
      </c>
      <c r="BL47" s="441">
        <f t="shared" si="19"/>
        <v>315.36</v>
      </c>
      <c r="BM47" s="440">
        <f t="shared" si="19"/>
        <v>276.77300000000002</v>
      </c>
      <c r="BN47" s="489">
        <f t="shared" si="19"/>
        <v>312.60663199999999</v>
      </c>
      <c r="BO47" s="489">
        <f t="shared" si="19"/>
        <v>383.9665</v>
      </c>
      <c r="BP47" s="489">
        <f t="shared" ref="BP47:CU47" si="20">BP46*BP10</f>
        <v>416.42292999999995</v>
      </c>
      <c r="BQ47" s="441">
        <f t="shared" si="20"/>
        <v>487.00600000000003</v>
      </c>
      <c r="BR47" s="440">
        <f t="shared" si="20"/>
        <v>312</v>
      </c>
      <c r="BS47" s="489">
        <f t="shared" si="20"/>
        <v>340.262</v>
      </c>
      <c r="BT47" s="489">
        <f t="shared" si="20"/>
        <v>362.32</v>
      </c>
      <c r="BU47" s="489">
        <f t="shared" si="20"/>
        <v>383.78999999999996</v>
      </c>
      <c r="BV47" s="441">
        <f t="shared" si="20"/>
        <v>416</v>
      </c>
      <c r="BW47" s="440">
        <f t="shared" si="20"/>
        <v>93.75</v>
      </c>
      <c r="BX47" s="489">
        <f t="shared" si="20"/>
        <v>215.25</v>
      </c>
      <c r="BY47" s="489">
        <f t="shared" si="20"/>
        <v>213.75</v>
      </c>
      <c r="BZ47" s="489">
        <f t="shared" si="20"/>
        <v>254</v>
      </c>
      <c r="CA47" s="441">
        <f t="shared" si="20"/>
        <v>281.25</v>
      </c>
      <c r="CB47" s="440">
        <f t="shared" si="20"/>
        <v>336</v>
      </c>
      <c r="CC47" s="489">
        <f t="shared" si="20"/>
        <v>326.70000000000005</v>
      </c>
      <c r="CD47" s="489">
        <f t="shared" si="20"/>
        <v>326.70000000000005</v>
      </c>
      <c r="CE47" s="489">
        <f t="shared" si="20"/>
        <v>326.70000000000005</v>
      </c>
      <c r="CF47" s="441">
        <f t="shared" si="20"/>
        <v>336</v>
      </c>
      <c r="CG47" s="440">
        <f t="shared" si="20"/>
        <v>18454</v>
      </c>
      <c r="CH47" s="489">
        <f t="shared" si="20"/>
        <v>17896</v>
      </c>
      <c r="CI47" s="441">
        <f t="shared" si="20"/>
        <v>16684.72</v>
      </c>
      <c r="CJ47" s="440">
        <f t="shared" si="20"/>
        <v>1922.1439999999998</v>
      </c>
      <c r="CK47" s="489">
        <f t="shared" si="20"/>
        <v>2051.04</v>
      </c>
      <c r="CL47" s="441">
        <f t="shared" si="20"/>
        <v>1985.2</v>
      </c>
      <c r="CM47" s="440">
        <f t="shared" si="20"/>
        <v>2580.3140783956242</v>
      </c>
      <c r="CN47" s="489">
        <f t="shared" si="20"/>
        <v>2558.1090160559902</v>
      </c>
      <c r="CO47" s="441">
        <f t="shared" si="20"/>
        <v>2351.6798040693293</v>
      </c>
      <c r="CP47" s="440">
        <f t="shared" si="20"/>
        <v>14725</v>
      </c>
      <c r="CQ47" s="489">
        <f t="shared" si="20"/>
        <v>14725</v>
      </c>
      <c r="CR47" s="441">
        <f t="shared" si="20"/>
        <v>14725</v>
      </c>
      <c r="CS47" s="440">
        <f t="shared" si="20"/>
        <v>2664.5000000000005</v>
      </c>
      <c r="CT47" s="441">
        <f t="shared" si="20"/>
        <v>2243</v>
      </c>
      <c r="CU47" s="441">
        <f t="shared" si="20"/>
        <v>1847.1999999999998</v>
      </c>
      <c r="CV47" s="553"/>
      <c r="CW47" s="553"/>
      <c r="CX47" s="895">
        <f t="shared" ref="CX47:DR47" si="21">CX46*CX10</f>
        <v>1068</v>
      </c>
      <c r="CY47" s="896">
        <f t="shared" si="21"/>
        <v>970</v>
      </c>
      <c r="CZ47" s="913" t="e">
        <f t="shared" si="21"/>
        <v>#DIV/0!</v>
      </c>
      <c r="DA47" s="895">
        <f t="shared" si="21"/>
        <v>576.03157894736842</v>
      </c>
      <c r="DB47" s="896">
        <f t="shared" si="21"/>
        <v>639.63421052631588</v>
      </c>
      <c r="DC47" s="913" t="e">
        <f t="shared" si="21"/>
        <v>#DIV/0!</v>
      </c>
      <c r="DD47" s="895">
        <f t="shared" si="21"/>
        <v>276.70175438596493</v>
      </c>
      <c r="DE47" s="896">
        <f t="shared" si="21"/>
        <v>270.03508771929825</v>
      </c>
      <c r="DF47" s="913">
        <f t="shared" si="21"/>
        <v>256.70175438596493</v>
      </c>
      <c r="DG47" s="895">
        <f t="shared" si="21"/>
        <v>146.54605263157896</v>
      </c>
      <c r="DH47" s="896">
        <f t="shared" si="21"/>
        <v>139.79605263157896</v>
      </c>
      <c r="DI47" s="913">
        <f t="shared" si="21"/>
        <v>154.04605263157896</v>
      </c>
      <c r="DJ47" s="895">
        <f t="shared" si="21"/>
        <v>265.14526315789476</v>
      </c>
      <c r="DK47" s="896">
        <f t="shared" si="21"/>
        <v>277.94526315789471</v>
      </c>
      <c r="DL47" s="913">
        <f t="shared" si="21"/>
        <v>361.14526315789476</v>
      </c>
      <c r="DM47" s="895">
        <f t="shared" si="21"/>
        <v>161</v>
      </c>
      <c r="DN47" s="896">
        <f t="shared" si="21"/>
        <v>159.80000000000001</v>
      </c>
      <c r="DO47" s="913">
        <f t="shared" si="21"/>
        <v>158.4</v>
      </c>
      <c r="DP47" s="895">
        <f t="shared" si="21"/>
        <v>273</v>
      </c>
      <c r="DQ47" s="896">
        <f t="shared" si="21"/>
        <v>257.33817719921871</v>
      </c>
      <c r="DR47" s="913">
        <f t="shared" si="21"/>
        <v>190</v>
      </c>
      <c r="DS47" s="238"/>
      <c r="DT47" s="238"/>
      <c r="DU47" s="598" t="s">
        <v>523</v>
      </c>
      <c r="DV47" s="160" t="s">
        <v>472</v>
      </c>
      <c r="DW47" s="596">
        <v>1886.5652380952381</v>
      </c>
      <c r="DX47" s="496">
        <v>2046.6219512195121</v>
      </c>
      <c r="DY47" s="496">
        <v>2136.8277777777776</v>
      </c>
      <c r="DZ47" s="496">
        <v>2228.7559823155566</v>
      </c>
      <c r="EA47" s="559">
        <v>2417.1436879432622</v>
      </c>
      <c r="EB47" s="496">
        <v>1697.5182926829268</v>
      </c>
      <c r="EC47" s="496">
        <v>1760.9875</v>
      </c>
      <c r="ED47" s="496">
        <v>1832.9116702741703</v>
      </c>
      <c r="EE47" s="496">
        <v>1904.7653105232894</v>
      </c>
      <c r="EF47" s="559">
        <v>1951.1595744680851</v>
      </c>
      <c r="EG47" s="569"/>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row>
    <row r="48" spans="1:169" s="477" customFormat="1" ht="11" thickBot="1" x14ac:dyDescent="0.3">
      <c r="A48" s="512"/>
      <c r="B48" s="482"/>
      <c r="C48" s="483"/>
      <c r="D48" s="484"/>
      <c r="E48" s="485"/>
      <c r="F48" s="485"/>
      <c r="G48" s="485"/>
      <c r="H48" s="483"/>
      <c r="I48" s="484"/>
      <c r="J48" s="485"/>
      <c r="K48" s="485"/>
      <c r="L48" s="485"/>
      <c r="M48" s="483"/>
      <c r="N48" s="484"/>
      <c r="O48" s="485"/>
      <c r="P48" s="485"/>
      <c r="Q48" s="485"/>
      <c r="R48" s="483"/>
      <c r="S48" s="484"/>
      <c r="T48" s="485"/>
      <c r="U48" s="485"/>
      <c r="V48" s="485"/>
      <c r="W48" s="483"/>
      <c r="X48" s="484"/>
      <c r="Y48" s="485"/>
      <c r="Z48" s="485"/>
      <c r="AA48" s="485"/>
      <c r="AB48" s="483"/>
      <c r="AC48" s="484"/>
      <c r="AD48" s="485"/>
      <c r="AE48" s="485"/>
      <c r="AF48" s="485"/>
      <c r="AG48" s="483"/>
      <c r="AH48" s="484"/>
      <c r="AI48" s="485"/>
      <c r="AJ48" s="485"/>
      <c r="AK48" s="485"/>
      <c r="AL48" s="483"/>
      <c r="AM48" s="484"/>
      <c r="AN48" s="485"/>
      <c r="AO48" s="485"/>
      <c r="AP48" s="485"/>
      <c r="AQ48" s="483"/>
      <c r="AR48" s="484"/>
      <c r="AS48" s="485"/>
      <c r="AT48" s="485"/>
      <c r="AU48" s="485"/>
      <c r="AV48" s="483"/>
      <c r="AW48" s="484"/>
      <c r="AX48" s="485"/>
      <c r="AY48" s="485"/>
      <c r="AZ48" s="485"/>
      <c r="BA48" s="483"/>
      <c r="BB48" s="484"/>
      <c r="BC48" s="485"/>
      <c r="BD48" s="483"/>
      <c r="BE48" s="484"/>
      <c r="BF48" s="485"/>
      <c r="BG48" s="483"/>
      <c r="BH48" s="484"/>
      <c r="BI48" s="485"/>
      <c r="BJ48" s="485"/>
      <c r="BK48" s="485"/>
      <c r="BL48" s="483"/>
      <c r="BM48" s="484"/>
      <c r="BN48" s="485"/>
      <c r="BO48" s="485"/>
      <c r="BP48" s="485"/>
      <c r="BQ48" s="483"/>
      <c r="BR48" s="484"/>
      <c r="BS48" s="485"/>
      <c r="BT48" s="485"/>
      <c r="BU48" s="485"/>
      <c r="BV48" s="483"/>
      <c r="BW48" s="484"/>
      <c r="BX48" s="485"/>
      <c r="BY48" s="485"/>
      <c r="BZ48" s="485"/>
      <c r="CA48" s="483"/>
      <c r="CB48" s="484"/>
      <c r="CC48" s="485"/>
      <c r="CD48" s="485"/>
      <c r="CE48" s="485"/>
      <c r="CF48" s="483"/>
      <c r="CG48" s="484"/>
      <c r="CH48" s="485"/>
      <c r="CI48" s="483"/>
      <c r="CJ48" s="484"/>
      <c r="CK48" s="485"/>
      <c r="CL48" s="483"/>
      <c r="CM48" s="484"/>
      <c r="CN48" s="485"/>
      <c r="CO48" s="483"/>
      <c r="CP48" s="484"/>
      <c r="CQ48" s="485"/>
      <c r="CR48" s="483"/>
      <c r="CS48" s="484"/>
      <c r="CT48" s="483"/>
      <c r="CU48" s="483"/>
      <c r="CV48" s="548"/>
      <c r="CW48" s="550"/>
      <c r="CX48" s="862"/>
      <c r="CY48" s="863"/>
      <c r="CZ48" s="871"/>
      <c r="DA48" s="872"/>
      <c r="DB48" s="873"/>
      <c r="DC48" s="871"/>
      <c r="DD48" s="872"/>
      <c r="DE48" s="873"/>
      <c r="DF48" s="871"/>
      <c r="DG48" s="872"/>
      <c r="DH48" s="873"/>
      <c r="DI48" s="871"/>
      <c r="DJ48" s="872"/>
      <c r="DK48" s="873"/>
      <c r="DL48" s="871"/>
      <c r="DM48" s="872"/>
      <c r="DN48" s="863"/>
      <c r="DO48" s="871"/>
      <c r="DP48" s="862"/>
      <c r="DQ48" s="873"/>
      <c r="DR48" s="871"/>
      <c r="DS48" s="238"/>
      <c r="DT48" s="238"/>
      <c r="DU48" s="599" t="s">
        <v>524</v>
      </c>
      <c r="DV48" s="478" t="s">
        <v>472</v>
      </c>
      <c r="DW48" s="486">
        <v>625.6875</v>
      </c>
      <c r="DX48" s="487">
        <v>639.20000000000005</v>
      </c>
      <c r="DY48" s="487">
        <v>611</v>
      </c>
      <c r="DZ48" s="487">
        <v>582.79999999999995</v>
      </c>
      <c r="EA48" s="488">
        <v>599.25</v>
      </c>
      <c r="EB48" s="487">
        <v>460.08</v>
      </c>
      <c r="EC48" s="487">
        <v>444.72</v>
      </c>
      <c r="ED48" s="487">
        <v>418.56</v>
      </c>
      <c r="EE48" s="487">
        <v>405.48</v>
      </c>
      <c r="EF48" s="488">
        <v>396</v>
      </c>
      <c r="EG48" s="534"/>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row>
    <row r="49" spans="1:169" s="45" customFormat="1" x14ac:dyDescent="0.25">
      <c r="A49" s="513"/>
      <c r="B49" s="1493" t="s">
        <v>525</v>
      </c>
      <c r="C49" s="81" t="s">
        <v>458</v>
      </c>
      <c r="D49" s="80">
        <v>649.17405720000011</v>
      </c>
      <c r="E49" s="82">
        <v>713.18636400000003</v>
      </c>
      <c r="F49" s="82">
        <v>798.15367999999989</v>
      </c>
      <c r="G49" s="82">
        <v>884.1209960000001</v>
      </c>
      <c r="H49" s="81">
        <v>921.9733212000001</v>
      </c>
      <c r="I49" s="80">
        <v>118.60333333333332</v>
      </c>
      <c r="J49" s="82">
        <v>139.06666666666669</v>
      </c>
      <c r="K49" s="82">
        <v>166.90666666666667</v>
      </c>
      <c r="L49" s="82">
        <v>237.43616666666662</v>
      </c>
      <c r="M49" s="81">
        <v>277.04960784313721</v>
      </c>
      <c r="N49" s="80">
        <v>178.81999999999994</v>
      </c>
      <c r="O49" s="82">
        <v>204.47999999999996</v>
      </c>
      <c r="P49" s="82">
        <v>229.10499999999999</v>
      </c>
      <c r="Q49" s="82">
        <v>260.7299999999999</v>
      </c>
      <c r="R49" s="81">
        <v>286.38999999999993</v>
      </c>
      <c r="S49" s="80">
        <v>190.07499999999993</v>
      </c>
      <c r="T49" s="82">
        <v>196.87500000000011</v>
      </c>
      <c r="U49" s="82">
        <v>204.04999999999995</v>
      </c>
      <c r="V49" s="82">
        <v>213.60000000000002</v>
      </c>
      <c r="W49" s="81">
        <v>220.39999999999998</v>
      </c>
      <c r="X49" s="80">
        <v>164.44785714285712</v>
      </c>
      <c r="Y49" s="82">
        <v>206.03285714285704</v>
      </c>
      <c r="Z49" s="82">
        <v>242.85785714285706</v>
      </c>
      <c r="AA49" s="82">
        <v>306.25835714285705</v>
      </c>
      <c r="AB49" s="81">
        <v>339.7828571428571</v>
      </c>
      <c r="AC49" s="80">
        <v>-54.78000000000003</v>
      </c>
      <c r="AD49" s="82">
        <v>-0.7800000000000864</v>
      </c>
      <c r="AE49" s="82">
        <v>63.879999999999939</v>
      </c>
      <c r="AF49" s="82">
        <v>143.4899999999999</v>
      </c>
      <c r="AG49" s="81">
        <v>188.59000000000003</v>
      </c>
      <c r="AH49" s="80">
        <v>68.548333333333289</v>
      </c>
      <c r="AI49" s="82">
        <v>107.58333333333334</v>
      </c>
      <c r="AJ49" s="82">
        <v>135.00333333333333</v>
      </c>
      <c r="AK49" s="82">
        <v>178.19333333333327</v>
      </c>
      <c r="AL49" s="81">
        <v>227.73333333333329</v>
      </c>
      <c r="AM49" s="80">
        <v>122.0761904761905</v>
      </c>
      <c r="AN49" s="82">
        <v>172.66734047619036</v>
      </c>
      <c r="AO49" s="82">
        <v>209.04724047619044</v>
      </c>
      <c r="AP49" s="82">
        <v>257.31199047619043</v>
      </c>
      <c r="AQ49" s="81">
        <v>311.06619047619046</v>
      </c>
      <c r="AR49" s="80">
        <v>176.29</v>
      </c>
      <c r="AS49" s="82">
        <v>189.06750000000002</v>
      </c>
      <c r="AT49" s="82">
        <v>201.84500000000006</v>
      </c>
      <c r="AU49" s="82">
        <v>211.34500000000006</v>
      </c>
      <c r="AV49" s="81">
        <v>220.84500000000006</v>
      </c>
      <c r="AW49" s="80">
        <v>86.299999999999841</v>
      </c>
      <c r="AX49" s="82">
        <v>99.1724999999999</v>
      </c>
      <c r="AY49" s="82">
        <v>115.79499999999985</v>
      </c>
      <c r="AZ49" s="82">
        <v>129.04499999999985</v>
      </c>
      <c r="BA49" s="81">
        <v>142.29499999999985</v>
      </c>
      <c r="BB49" s="80">
        <v>100.96766666666662</v>
      </c>
      <c r="BC49" s="82">
        <v>118.99666666666661</v>
      </c>
      <c r="BD49" s="81">
        <v>154.04466666666667</v>
      </c>
      <c r="BE49" s="80">
        <v>240.82</v>
      </c>
      <c r="BF49" s="82">
        <v>303.02</v>
      </c>
      <c r="BG49" s="81">
        <v>399.87999999999988</v>
      </c>
      <c r="BH49" s="80">
        <v>23.32</v>
      </c>
      <c r="BI49" s="82">
        <v>26.8765</v>
      </c>
      <c r="BJ49" s="82">
        <v>34.525999999999996</v>
      </c>
      <c r="BK49" s="82">
        <v>42.448500000000003</v>
      </c>
      <c r="BL49" s="81">
        <v>44.399999999999991</v>
      </c>
      <c r="BM49" s="80">
        <v>24.202999999999996</v>
      </c>
      <c r="BN49" s="82">
        <v>40.710481000000001</v>
      </c>
      <c r="BO49" s="82">
        <v>64.271350000000012</v>
      </c>
      <c r="BP49" s="82">
        <v>86.469210000000018</v>
      </c>
      <c r="BQ49" s="81">
        <v>107.736</v>
      </c>
      <c r="BR49" s="80">
        <v>19.799999999999997</v>
      </c>
      <c r="BS49" s="82">
        <v>21.962999999999997</v>
      </c>
      <c r="BT49" s="82">
        <v>26.61</v>
      </c>
      <c r="BU49" s="82">
        <v>31.256999999999998</v>
      </c>
      <c r="BV49" s="81">
        <v>33.299999999999997</v>
      </c>
      <c r="BW49" s="80">
        <v>9.8010000000000019</v>
      </c>
      <c r="BX49" s="82">
        <v>22.996039999999979</v>
      </c>
      <c r="BY49" s="82">
        <v>45.10920999999999</v>
      </c>
      <c r="BZ49" s="82">
        <v>53.604439999999997</v>
      </c>
      <c r="CA49" s="81">
        <v>62.380650000000003</v>
      </c>
      <c r="CB49" s="80">
        <v>-2.5999999999999979</v>
      </c>
      <c r="CC49" s="82">
        <v>7.259999999999998</v>
      </c>
      <c r="CD49" s="82">
        <v>23.009999999999998</v>
      </c>
      <c r="CE49" s="82">
        <v>42.36</v>
      </c>
      <c r="CF49" s="81">
        <v>37.4</v>
      </c>
      <c r="CG49" s="80">
        <v>181.72000000000003</v>
      </c>
      <c r="CH49" s="82">
        <v>339.21000000000004</v>
      </c>
      <c r="CI49" s="81">
        <v>523.73400000000004</v>
      </c>
      <c r="CJ49" s="80">
        <v>3.3519999999999897</v>
      </c>
      <c r="CK49" s="83">
        <v>4.9019999999999868</v>
      </c>
      <c r="CL49" s="84">
        <v>14.340000000000003</v>
      </c>
      <c r="CM49" s="80">
        <v>14.825108477666348</v>
      </c>
      <c r="CN49" s="82">
        <v>21.748850555784244</v>
      </c>
      <c r="CO49" s="81">
        <v>36.711288620949503</v>
      </c>
      <c r="CP49" s="85">
        <v>4.7639999999999976</v>
      </c>
      <c r="CQ49" s="86">
        <v>6.2995000000000001</v>
      </c>
      <c r="CR49" s="87">
        <v>8.0375999999999994</v>
      </c>
      <c r="CS49" s="85">
        <v>1.2473749999999995</v>
      </c>
      <c r="CT49" s="87">
        <v>2.0945000000000005</v>
      </c>
      <c r="CU49" s="87">
        <v>2.9159250000000005</v>
      </c>
      <c r="CV49" s="545"/>
      <c r="CW49" s="533"/>
      <c r="CX49" s="897">
        <f>CX37-CX46</f>
        <v>992</v>
      </c>
      <c r="CY49" s="893">
        <f>CY37-CY46</f>
        <v>1220</v>
      </c>
      <c r="CZ49" s="914" t="e">
        <f>CZ37-CZ46</f>
        <v>#DIV/0!</v>
      </c>
      <c r="DA49" s="915">
        <f t="shared" ref="DA49:DR49" si="22">DA37-DA46</f>
        <v>907.47368421052624</v>
      </c>
      <c r="DB49" s="898">
        <f t="shared" si="22"/>
        <v>895.47368421052624</v>
      </c>
      <c r="DC49" s="914" t="e">
        <f t="shared" si="22"/>
        <v>#DIV/0!</v>
      </c>
      <c r="DD49" s="915">
        <f t="shared" si="22"/>
        <v>212.4736842105263</v>
      </c>
      <c r="DE49" s="898">
        <f t="shared" si="22"/>
        <v>257.4736842105263</v>
      </c>
      <c r="DF49" s="914">
        <f t="shared" si="22"/>
        <v>454.16968421052621</v>
      </c>
      <c r="DG49" s="915">
        <f t="shared" si="22"/>
        <v>99.60526315789474</v>
      </c>
      <c r="DH49" s="898">
        <f t="shared" si="22"/>
        <v>138.60526315789474</v>
      </c>
      <c r="DI49" s="914">
        <f t="shared" si="22"/>
        <v>396.07606315789468</v>
      </c>
      <c r="DJ49" s="915">
        <f t="shared" si="22"/>
        <v>292.85526315789474</v>
      </c>
      <c r="DK49" s="898">
        <f t="shared" si="22"/>
        <v>392.85526315789474</v>
      </c>
      <c r="DL49" s="914">
        <f t="shared" si="22"/>
        <v>1062.7702631578948</v>
      </c>
      <c r="DM49" s="915">
        <f t="shared" si="22"/>
        <v>54.512</v>
      </c>
      <c r="DN49" s="898">
        <f t="shared" si="22"/>
        <v>61.805599999999998</v>
      </c>
      <c r="DO49" s="914">
        <f t="shared" si="22"/>
        <v>103.35249999999999</v>
      </c>
      <c r="DP49" s="915">
        <f t="shared" si="22"/>
        <v>21.320000000000007</v>
      </c>
      <c r="DQ49" s="898">
        <f t="shared" si="22"/>
        <v>26.899316835937512</v>
      </c>
      <c r="DR49" s="914">
        <f t="shared" si="22"/>
        <v>20.631999999999998</v>
      </c>
      <c r="DS49" s="238"/>
      <c r="DT49" s="238"/>
      <c r="DU49" s="590" t="s">
        <v>526</v>
      </c>
      <c r="DV49" s="147" t="s">
        <v>472</v>
      </c>
      <c r="DW49" s="600">
        <v>322</v>
      </c>
      <c r="DX49" s="601">
        <v>315</v>
      </c>
      <c r="DY49" s="601">
        <v>306</v>
      </c>
      <c r="DZ49" s="601">
        <v>297</v>
      </c>
      <c r="EA49" s="602">
        <v>270</v>
      </c>
      <c r="EB49" s="601">
        <v>217</v>
      </c>
      <c r="EC49" s="601">
        <v>211</v>
      </c>
      <c r="ED49" s="601">
        <v>205</v>
      </c>
      <c r="EE49" s="601">
        <v>199</v>
      </c>
      <c r="EF49" s="602">
        <v>194</v>
      </c>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row>
    <row r="50" spans="1:169" s="45" customFormat="1" ht="11.5" customHeight="1" thickBot="1" x14ac:dyDescent="0.3">
      <c r="A50" s="238"/>
      <c r="B50" s="1492"/>
      <c r="C50" s="441" t="s">
        <v>425</v>
      </c>
      <c r="D50" s="440">
        <f t="shared" ref="D50:AI50" si="23">D49*D10</f>
        <v>779.00886864000006</v>
      </c>
      <c r="E50" s="489">
        <f t="shared" si="23"/>
        <v>927.14227320000009</v>
      </c>
      <c r="F50" s="489">
        <f t="shared" si="23"/>
        <v>1117.4151519999998</v>
      </c>
      <c r="G50" s="489">
        <f t="shared" si="23"/>
        <v>1326.1814940000002</v>
      </c>
      <c r="H50" s="441">
        <f t="shared" si="23"/>
        <v>1475.1573139200002</v>
      </c>
      <c r="I50" s="440">
        <f t="shared" si="23"/>
        <v>177.90499999999997</v>
      </c>
      <c r="J50" s="489">
        <f t="shared" si="23"/>
        <v>229.46000000000004</v>
      </c>
      <c r="K50" s="489">
        <f t="shared" si="23"/>
        <v>300.43200000000002</v>
      </c>
      <c r="L50" s="489">
        <f t="shared" si="23"/>
        <v>522.35956666666664</v>
      </c>
      <c r="M50" s="441">
        <f t="shared" si="23"/>
        <v>637.21409803921551</v>
      </c>
      <c r="N50" s="440">
        <f t="shared" si="23"/>
        <v>447.04999999999984</v>
      </c>
      <c r="O50" s="489">
        <f t="shared" si="23"/>
        <v>562.31999999999994</v>
      </c>
      <c r="P50" s="489">
        <f t="shared" si="23"/>
        <v>687.31499999999994</v>
      </c>
      <c r="Q50" s="489">
        <f t="shared" si="23"/>
        <v>912.55499999999961</v>
      </c>
      <c r="R50" s="441">
        <f t="shared" si="23"/>
        <v>1145.5599999999997</v>
      </c>
      <c r="S50" s="440">
        <f t="shared" si="23"/>
        <v>475.18749999999983</v>
      </c>
      <c r="T50" s="489">
        <f t="shared" si="23"/>
        <v>570.93750000000034</v>
      </c>
      <c r="U50" s="489">
        <f t="shared" si="23"/>
        <v>612.14999999999986</v>
      </c>
      <c r="V50" s="489">
        <f t="shared" si="23"/>
        <v>651.48</v>
      </c>
      <c r="W50" s="441">
        <f t="shared" si="23"/>
        <v>683.2399999999999</v>
      </c>
      <c r="X50" s="440">
        <f t="shared" si="23"/>
        <v>230.22699999999995</v>
      </c>
      <c r="Y50" s="489">
        <f t="shared" si="23"/>
        <v>309.04928571428559</v>
      </c>
      <c r="Z50" s="489">
        <f t="shared" si="23"/>
        <v>400.71546428571412</v>
      </c>
      <c r="AA50" s="489">
        <f t="shared" si="23"/>
        <v>612.5167142857141</v>
      </c>
      <c r="AB50" s="441">
        <f t="shared" si="23"/>
        <v>713.54399999999998</v>
      </c>
      <c r="AC50" s="440">
        <f t="shared" si="23"/>
        <v>-164.34000000000009</v>
      </c>
      <c r="AD50" s="489">
        <f t="shared" si="23"/>
        <v>-2.6926027397263255</v>
      </c>
      <c r="AE50" s="489">
        <f t="shared" si="23"/>
        <v>259.43207091055569</v>
      </c>
      <c r="AF50" s="489">
        <f t="shared" si="23"/>
        <v>660.44712328767082</v>
      </c>
      <c r="AG50" s="441">
        <f t="shared" si="23"/>
        <v>895.80250000000012</v>
      </c>
      <c r="AH50" s="440">
        <f t="shared" si="23"/>
        <v>75.403166666666621</v>
      </c>
      <c r="AI50" s="489">
        <f t="shared" si="23"/>
        <v>139.85833333333335</v>
      </c>
      <c r="AJ50" s="489">
        <f t="shared" ref="AJ50:BO50" si="24">AJ49*AJ10</f>
        <v>216.00533333333334</v>
      </c>
      <c r="AK50" s="489">
        <f t="shared" si="24"/>
        <v>338.56733333333318</v>
      </c>
      <c r="AL50" s="441">
        <f t="shared" si="24"/>
        <v>501.01333333333326</v>
      </c>
      <c r="AM50" s="440">
        <f t="shared" si="24"/>
        <v>109.86857142857146</v>
      </c>
      <c r="AN50" s="489">
        <f t="shared" si="24"/>
        <v>172.66734047619036</v>
      </c>
      <c r="AO50" s="489">
        <f t="shared" si="24"/>
        <v>261.30905059523803</v>
      </c>
      <c r="AP50" s="489">
        <f t="shared" si="24"/>
        <v>385.96798571428565</v>
      </c>
      <c r="AQ50" s="441">
        <f t="shared" si="24"/>
        <v>497.70590476190478</v>
      </c>
      <c r="AR50" s="440">
        <f t="shared" si="24"/>
        <v>458.35399999999998</v>
      </c>
      <c r="AS50" s="489">
        <f t="shared" si="24"/>
        <v>519.93562500000007</v>
      </c>
      <c r="AT50" s="489">
        <f t="shared" si="24"/>
        <v>605.5350000000002</v>
      </c>
      <c r="AU50" s="489">
        <f t="shared" si="24"/>
        <v>686.87125000000015</v>
      </c>
      <c r="AV50" s="441">
        <f t="shared" si="24"/>
        <v>750.87300000000016</v>
      </c>
      <c r="AW50" s="440">
        <f t="shared" si="24"/>
        <v>258.89999999999952</v>
      </c>
      <c r="AX50" s="489">
        <f t="shared" si="24"/>
        <v>342.34890410958866</v>
      </c>
      <c r="AY50" s="489">
        <f t="shared" si="24"/>
        <v>470.27139403706616</v>
      </c>
      <c r="AZ50" s="489">
        <f t="shared" si="24"/>
        <v>593.96054794520489</v>
      </c>
      <c r="BA50" s="441">
        <f t="shared" si="24"/>
        <v>711.47499999999923</v>
      </c>
      <c r="BB50" s="440">
        <f t="shared" si="24"/>
        <v>90.870899999999963</v>
      </c>
      <c r="BC50" s="489">
        <f t="shared" si="24"/>
        <v>118.99666666666661</v>
      </c>
      <c r="BD50" s="441">
        <f t="shared" si="24"/>
        <v>169.44913333333335</v>
      </c>
      <c r="BE50" s="440">
        <f t="shared" si="24"/>
        <v>361.23</v>
      </c>
      <c r="BF50" s="489">
        <f t="shared" si="24"/>
        <v>378.77499999999998</v>
      </c>
      <c r="BG50" s="441">
        <f t="shared" si="24"/>
        <v>999.6999999999997</v>
      </c>
      <c r="BH50" s="440">
        <f t="shared" si="24"/>
        <v>279.84000000000003</v>
      </c>
      <c r="BI50" s="489">
        <f t="shared" si="24"/>
        <v>403.14749999999998</v>
      </c>
      <c r="BJ50" s="489">
        <f t="shared" si="24"/>
        <v>517.89</v>
      </c>
      <c r="BK50" s="489">
        <f t="shared" si="24"/>
        <v>636.72750000000008</v>
      </c>
      <c r="BL50" s="441">
        <f t="shared" si="24"/>
        <v>799.19999999999982</v>
      </c>
      <c r="BM50" s="440">
        <f t="shared" si="24"/>
        <v>169.42099999999996</v>
      </c>
      <c r="BN50" s="489">
        <f t="shared" si="24"/>
        <v>325.68384800000001</v>
      </c>
      <c r="BO50" s="489">
        <f t="shared" si="24"/>
        <v>642.71350000000007</v>
      </c>
      <c r="BP50" s="489">
        <f t="shared" ref="BP50:CU50" si="25">BP49*BP10</f>
        <v>951.16131000000019</v>
      </c>
      <c r="BQ50" s="441">
        <f t="shared" si="25"/>
        <v>1400.568</v>
      </c>
      <c r="BR50" s="440">
        <f t="shared" si="25"/>
        <v>475.19999999999993</v>
      </c>
      <c r="BS50" s="489">
        <f t="shared" si="25"/>
        <v>571.0379999999999</v>
      </c>
      <c r="BT50" s="489">
        <f t="shared" si="25"/>
        <v>745.07999999999993</v>
      </c>
      <c r="BU50" s="489">
        <f t="shared" si="25"/>
        <v>937.70999999999992</v>
      </c>
      <c r="BV50" s="441">
        <f t="shared" si="25"/>
        <v>1065.5999999999999</v>
      </c>
      <c r="BW50" s="440">
        <f t="shared" si="25"/>
        <v>29.403000000000006</v>
      </c>
      <c r="BX50" s="489">
        <f t="shared" si="25"/>
        <v>160.97227999999984</v>
      </c>
      <c r="BY50" s="489">
        <f t="shared" si="25"/>
        <v>338.31907499999994</v>
      </c>
      <c r="BZ50" s="489">
        <f t="shared" si="25"/>
        <v>428.83551999999997</v>
      </c>
      <c r="CA50" s="441">
        <f t="shared" si="25"/>
        <v>561.42585000000008</v>
      </c>
      <c r="CB50" s="440">
        <f t="shared" si="25"/>
        <v>-38.999999999999972</v>
      </c>
      <c r="CC50" s="489">
        <f t="shared" si="25"/>
        <v>108.89999999999998</v>
      </c>
      <c r="CD50" s="489">
        <f t="shared" si="25"/>
        <v>345.15</v>
      </c>
      <c r="CE50" s="489">
        <f t="shared" si="25"/>
        <v>635.4</v>
      </c>
      <c r="CF50" s="441">
        <f t="shared" si="25"/>
        <v>561</v>
      </c>
      <c r="CG50" s="440">
        <f t="shared" si="25"/>
        <v>3634.4000000000005</v>
      </c>
      <c r="CH50" s="489">
        <f t="shared" si="25"/>
        <v>6784.2000000000007</v>
      </c>
      <c r="CI50" s="441">
        <f t="shared" si="25"/>
        <v>10474.68</v>
      </c>
      <c r="CJ50" s="440">
        <f t="shared" si="25"/>
        <v>93.85599999999971</v>
      </c>
      <c r="CK50" s="489">
        <f t="shared" si="25"/>
        <v>147.0599999999996</v>
      </c>
      <c r="CL50" s="441">
        <f t="shared" si="25"/>
        <v>501.90000000000009</v>
      </c>
      <c r="CM50" s="440">
        <f t="shared" si="25"/>
        <v>355.80260346399234</v>
      </c>
      <c r="CN50" s="489">
        <f t="shared" si="25"/>
        <v>543.72126389460607</v>
      </c>
      <c r="CO50" s="441">
        <f t="shared" si="25"/>
        <v>1009.5604370761114</v>
      </c>
      <c r="CP50" s="440">
        <f t="shared" si="25"/>
        <v>4763.9999999999973</v>
      </c>
      <c r="CQ50" s="489">
        <f t="shared" si="25"/>
        <v>6299.5</v>
      </c>
      <c r="CR50" s="441">
        <f t="shared" si="25"/>
        <v>8037.5999999999995</v>
      </c>
      <c r="CS50" s="440">
        <f t="shared" si="25"/>
        <v>1247.3749999999995</v>
      </c>
      <c r="CT50" s="441">
        <f t="shared" si="25"/>
        <v>2094.5000000000005</v>
      </c>
      <c r="CU50" s="441">
        <f t="shared" si="25"/>
        <v>2915.9250000000006</v>
      </c>
      <c r="CV50" s="551"/>
      <c r="CW50" s="553"/>
      <c r="CX50" s="895">
        <f t="shared" ref="CX50:DR50" si="26">CX49*CX10</f>
        <v>992</v>
      </c>
      <c r="CY50" s="896">
        <f t="shared" si="26"/>
        <v>1220</v>
      </c>
      <c r="CZ50" s="913" t="e">
        <f>CZ49*CZ10</f>
        <v>#DIV/0!</v>
      </c>
      <c r="DA50" s="895">
        <f t="shared" si="26"/>
        <v>1088.9684210526314</v>
      </c>
      <c r="DB50" s="896">
        <f t="shared" si="26"/>
        <v>1164.1157894736841</v>
      </c>
      <c r="DC50" s="913" t="e">
        <f t="shared" si="26"/>
        <v>#DIV/0!</v>
      </c>
      <c r="DD50" s="895">
        <f t="shared" si="26"/>
        <v>283.29824561403507</v>
      </c>
      <c r="DE50" s="896">
        <f t="shared" si="26"/>
        <v>343.29824561403507</v>
      </c>
      <c r="DF50" s="913">
        <f t="shared" si="26"/>
        <v>605.55957894736821</v>
      </c>
      <c r="DG50" s="895">
        <f t="shared" si="26"/>
        <v>74.703947368421055</v>
      </c>
      <c r="DH50" s="896">
        <f t="shared" si="26"/>
        <v>103.95394736842105</v>
      </c>
      <c r="DI50" s="913">
        <f t="shared" si="26"/>
        <v>297.05704736842102</v>
      </c>
      <c r="DJ50" s="895">
        <f t="shared" si="26"/>
        <v>374.8547368421053</v>
      </c>
      <c r="DK50" s="896">
        <f t="shared" si="26"/>
        <v>502.8547368421053</v>
      </c>
      <c r="DL50" s="913">
        <f t="shared" si="26"/>
        <v>1360.3459368421054</v>
      </c>
      <c r="DM50" s="895">
        <f t="shared" si="26"/>
        <v>250.75519999999997</v>
      </c>
      <c r="DN50" s="896">
        <f t="shared" si="26"/>
        <v>290.48631999999998</v>
      </c>
      <c r="DO50" s="913">
        <f t="shared" si="26"/>
        <v>496.09199999999993</v>
      </c>
      <c r="DP50" s="895">
        <f t="shared" si="26"/>
        <v>138.58000000000004</v>
      </c>
      <c r="DQ50" s="896">
        <f t="shared" si="26"/>
        <v>180.22542280078133</v>
      </c>
      <c r="DR50" s="913">
        <f t="shared" si="26"/>
        <v>103.16</v>
      </c>
      <c r="DS50" s="238"/>
      <c r="DT50" s="238"/>
      <c r="DU50" s="591" t="s">
        <v>512</v>
      </c>
      <c r="DV50" s="147" t="s">
        <v>472</v>
      </c>
      <c r="DW50" s="603">
        <v>947.6875</v>
      </c>
      <c r="DX50" s="604">
        <v>954.2</v>
      </c>
      <c r="DY50" s="604">
        <v>917</v>
      </c>
      <c r="DZ50" s="604">
        <v>879.8</v>
      </c>
      <c r="EA50" s="605">
        <v>869.25</v>
      </c>
      <c r="EB50" s="604">
        <v>677.07999999999993</v>
      </c>
      <c r="EC50" s="604">
        <v>655.72</v>
      </c>
      <c r="ED50" s="604">
        <v>623.55999999999995</v>
      </c>
      <c r="EE50" s="604">
        <v>604.48</v>
      </c>
      <c r="EF50" s="605">
        <v>590</v>
      </c>
      <c r="EG50" s="238"/>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row>
    <row r="51" spans="1:169" s="235" customFormat="1" x14ac:dyDescent="0.25">
      <c r="B51" s="529"/>
      <c r="C51" s="529"/>
      <c r="D51" s="529"/>
      <c r="E51" s="529"/>
      <c r="F51" s="529"/>
      <c r="G51" s="529"/>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30"/>
      <c r="CL51" s="530"/>
      <c r="CM51" s="529"/>
      <c r="CN51" s="529"/>
      <c r="CO51" s="529"/>
      <c r="CP51" s="531"/>
      <c r="CQ51" s="531"/>
      <c r="CR51" s="531"/>
      <c r="CS51" s="531"/>
      <c r="CT51" s="531"/>
      <c r="CU51" s="531"/>
      <c r="CV51" s="532"/>
      <c r="CW51" s="533"/>
      <c r="CX51" s="534"/>
      <c r="CY51" s="534"/>
      <c r="CZ51" s="535"/>
      <c r="DA51" s="535"/>
      <c r="DB51" s="535"/>
      <c r="DC51" s="535"/>
      <c r="DD51" s="535"/>
      <c r="DE51" s="535"/>
      <c r="DF51" s="535"/>
      <c r="DG51" s="535"/>
      <c r="DH51" s="535"/>
      <c r="DI51" s="535"/>
      <c r="DJ51" s="535"/>
      <c r="DK51" s="535"/>
      <c r="DL51" s="535"/>
      <c r="DM51" s="535"/>
      <c r="DN51" s="535"/>
      <c r="DO51" s="535"/>
      <c r="DP51" s="534"/>
      <c r="DQ51" s="535"/>
      <c r="DR51" s="535"/>
      <c r="DT51" s="238"/>
      <c r="DU51" s="591" t="s">
        <v>514</v>
      </c>
      <c r="DV51" s="147" t="s">
        <v>472</v>
      </c>
      <c r="DW51" s="603">
        <v>938.8777380952381</v>
      </c>
      <c r="DX51" s="604">
        <v>1092.421951219512</v>
      </c>
      <c r="DY51" s="604">
        <v>1219.8277777777776</v>
      </c>
      <c r="DZ51" s="604">
        <v>1348.9559823155566</v>
      </c>
      <c r="EA51" s="605">
        <v>1547.8936879432622</v>
      </c>
      <c r="EB51" s="604">
        <v>1020.4382926829269</v>
      </c>
      <c r="EC51" s="604">
        <v>1105.2674999999999</v>
      </c>
      <c r="ED51" s="604">
        <v>1209.3516702741704</v>
      </c>
      <c r="EE51" s="604">
        <v>1300.2853105232894</v>
      </c>
      <c r="EF51" s="605">
        <v>1361.1595744680851</v>
      </c>
      <c r="EG51" s="238"/>
      <c r="EH51" s="238"/>
    </row>
    <row r="52" spans="1:169" s="235" customFormat="1" x14ac:dyDescent="0.25">
      <c r="B52" s="290" t="s">
        <v>527</v>
      </c>
      <c r="C52" s="290"/>
      <c r="D52" s="290"/>
      <c r="E52" s="290"/>
      <c r="F52" s="290"/>
      <c r="G52" s="290"/>
      <c r="H52" s="536"/>
      <c r="I52" s="290"/>
      <c r="J52" s="290"/>
      <c r="K52" s="290"/>
      <c r="L52" s="290"/>
      <c r="M52" s="536"/>
      <c r="N52" s="290"/>
      <c r="O52" s="290"/>
      <c r="P52" s="290"/>
      <c r="Q52" s="290"/>
      <c r="R52" s="536"/>
      <c r="S52" s="290"/>
      <c r="T52" s="290"/>
      <c r="U52" s="290"/>
      <c r="V52" s="290"/>
      <c r="W52" s="536"/>
      <c r="X52" s="290"/>
      <c r="Y52" s="290"/>
      <c r="Z52" s="290"/>
      <c r="AA52" s="290"/>
      <c r="AB52" s="536"/>
      <c r="AC52" s="290"/>
      <c r="AD52" s="290"/>
      <c r="AE52" s="290"/>
      <c r="AF52" s="290"/>
      <c r="AG52" s="536"/>
      <c r="AH52" s="290"/>
      <c r="AI52" s="290"/>
      <c r="AJ52" s="290"/>
      <c r="AK52" s="290"/>
      <c r="AL52" s="536"/>
      <c r="AM52" s="290"/>
      <c r="AN52" s="290"/>
      <c r="AO52" s="290"/>
      <c r="AP52" s="290"/>
      <c r="AQ52" s="536"/>
      <c r="AR52" s="290"/>
      <c r="AS52" s="290"/>
      <c r="AT52" s="290"/>
      <c r="AU52" s="290"/>
      <c r="AV52" s="536"/>
      <c r="AW52" s="290"/>
      <c r="AX52" s="290"/>
      <c r="AY52" s="290"/>
      <c r="AZ52" s="290"/>
      <c r="BA52" s="536"/>
      <c r="BB52" s="290"/>
      <c r="BC52" s="290"/>
      <c r="BD52" s="536"/>
      <c r="BE52" s="290"/>
      <c r="BF52" s="290"/>
      <c r="BG52" s="536"/>
      <c r="BH52" s="290"/>
      <c r="BI52" s="290"/>
      <c r="BJ52" s="290"/>
      <c r="BK52" s="290"/>
      <c r="BL52" s="536"/>
      <c r="BM52" s="290"/>
      <c r="BN52" s="290"/>
      <c r="BO52" s="290"/>
      <c r="BP52" s="290"/>
      <c r="BQ52" s="536"/>
      <c r="BR52" s="290"/>
      <c r="BS52" s="290"/>
      <c r="BT52" s="290"/>
      <c r="BU52" s="290"/>
      <c r="BV52" s="536"/>
      <c r="BW52" s="290"/>
      <c r="BX52" s="290"/>
      <c r="BY52" s="290"/>
      <c r="BZ52" s="290"/>
      <c r="CA52" s="536"/>
      <c r="CB52" s="290"/>
      <c r="CC52" s="290"/>
      <c r="CD52" s="290"/>
      <c r="CE52" s="290"/>
      <c r="CF52" s="536"/>
      <c r="CG52" s="290"/>
      <c r="CH52" s="290"/>
      <c r="CI52" s="536"/>
      <c r="CJ52" s="290"/>
      <c r="CK52" s="290"/>
      <c r="CL52" s="536"/>
      <c r="CM52" s="290"/>
      <c r="CN52" s="290"/>
      <c r="CO52" s="536"/>
      <c r="CP52" s="290"/>
      <c r="CQ52" s="290"/>
      <c r="CR52" s="536"/>
      <c r="CS52" s="290"/>
      <c r="CT52" s="290"/>
      <c r="CU52" s="290"/>
      <c r="CV52" s="532"/>
      <c r="CW52" s="290"/>
      <c r="CX52" s="290"/>
      <c r="CY52" s="290"/>
      <c r="CZ52" s="290"/>
      <c r="DA52" s="290"/>
      <c r="DB52" s="290"/>
      <c r="DC52" s="290"/>
      <c r="DD52" s="290"/>
      <c r="DE52" s="290"/>
      <c r="DF52" s="290"/>
      <c r="DG52" s="290"/>
      <c r="DH52" s="290"/>
      <c r="DI52" s="290"/>
      <c r="DJ52" s="290"/>
      <c r="DK52" s="290"/>
      <c r="DL52" s="290"/>
      <c r="DM52" s="290"/>
      <c r="DN52" s="290"/>
      <c r="DO52" s="290"/>
      <c r="DP52" s="290"/>
      <c r="DQ52" s="290"/>
      <c r="DR52" s="290"/>
      <c r="DT52" s="238"/>
      <c r="DU52" s="591" t="s">
        <v>516</v>
      </c>
      <c r="DV52" s="606" t="s">
        <v>425</v>
      </c>
      <c r="DW52" s="603">
        <v>1783.8677023809523</v>
      </c>
      <c r="DX52" s="604">
        <v>2184.8439024390241</v>
      </c>
      <c r="DY52" s="604">
        <v>2561.6383333333329</v>
      </c>
      <c r="DZ52" s="604">
        <v>2967.7031610942249</v>
      </c>
      <c r="EA52" s="605">
        <v>3405.3661134751769</v>
      </c>
      <c r="EB52" s="604">
        <v>2347.0080731707317</v>
      </c>
      <c r="EC52" s="604">
        <v>2652.6419999999998</v>
      </c>
      <c r="ED52" s="604">
        <v>3023.3791756854262</v>
      </c>
      <c r="EE52" s="604">
        <v>3380.7418073605522</v>
      </c>
      <c r="EF52" s="605">
        <v>3675.1308510638301</v>
      </c>
      <c r="EG52" s="238"/>
      <c r="EH52" s="238"/>
    </row>
    <row r="53" spans="1:169" s="235" customFormat="1" ht="11" thickBot="1" x14ac:dyDescent="0.3">
      <c r="DT53" s="238"/>
      <c r="DU53" s="598" t="s">
        <v>216</v>
      </c>
      <c r="DV53" s="160" t="s">
        <v>472</v>
      </c>
      <c r="DW53" s="607">
        <v>37.158958333333338</v>
      </c>
      <c r="DX53" s="608">
        <v>37.180666666666667</v>
      </c>
      <c r="DY53" s="608">
        <v>37.056666666666665</v>
      </c>
      <c r="DZ53" s="608">
        <v>36.932666666666663</v>
      </c>
      <c r="EA53" s="609">
        <v>36.897500000000001</v>
      </c>
      <c r="EB53" s="608">
        <v>33.256933333333329</v>
      </c>
      <c r="EC53" s="608">
        <v>33.185733333333332</v>
      </c>
      <c r="ED53" s="608">
        <v>33.078533333333333</v>
      </c>
      <c r="EE53" s="608">
        <v>33.014933333333332</v>
      </c>
      <c r="EF53" s="609">
        <v>32.966666666666669</v>
      </c>
      <c r="EG53" s="238"/>
      <c r="EH53" s="238"/>
    </row>
    <row r="54" spans="1:169" s="235" customFormat="1" ht="11" thickBot="1" x14ac:dyDescent="0.3">
      <c r="DT54" s="238"/>
      <c r="DU54" s="238"/>
      <c r="DV54" s="238"/>
      <c r="DW54" s="238"/>
      <c r="DX54" s="238"/>
      <c r="DY54" s="238"/>
      <c r="DZ54" s="238"/>
      <c r="EA54" s="238"/>
      <c r="EB54" s="238"/>
      <c r="EC54" s="238"/>
      <c r="ED54" s="238"/>
      <c r="EE54" s="238"/>
      <c r="EF54" s="238"/>
      <c r="EG54" s="238"/>
      <c r="EH54" s="238"/>
    </row>
    <row r="55" spans="1:169" s="235" customFormat="1" x14ac:dyDescent="0.25">
      <c r="B55" s="1087" t="s">
        <v>49</v>
      </c>
      <c r="C55" s="1088" t="s">
        <v>979</v>
      </c>
      <c r="DT55" s="238"/>
      <c r="DU55" s="238"/>
      <c r="DV55" s="238"/>
      <c r="DW55" s="238"/>
      <c r="DX55" s="238"/>
      <c r="DY55" s="238"/>
      <c r="DZ55" s="238"/>
      <c r="EA55" s="238"/>
      <c r="EB55" s="238"/>
      <c r="EC55" s="238"/>
      <c r="ED55" s="238"/>
      <c r="EE55" s="238"/>
      <c r="EF55" s="238"/>
      <c r="EG55" s="238"/>
      <c r="EH55" s="238"/>
    </row>
    <row r="56" spans="1:169" s="235" customFormat="1" ht="11" thickBot="1" x14ac:dyDescent="0.3">
      <c r="B56" s="1085" t="s">
        <v>980</v>
      </c>
      <c r="C56" s="1086">
        <v>0.43</v>
      </c>
      <c r="DT56" s="238"/>
      <c r="DU56" s="238"/>
      <c r="DV56" s="238"/>
      <c r="DW56" s="238"/>
      <c r="DX56" s="238"/>
      <c r="DY56" s="238"/>
      <c r="DZ56" s="238"/>
      <c r="EA56" s="238"/>
      <c r="EB56" s="238"/>
      <c r="EC56" s="238"/>
      <c r="ED56" s="238"/>
      <c r="EE56" s="238"/>
      <c r="EF56" s="238"/>
      <c r="EG56" s="238"/>
      <c r="EH56" s="238"/>
    </row>
    <row r="57" spans="1:169" s="235" customFormat="1" x14ac:dyDescent="0.25">
      <c r="B57" s="135"/>
      <c r="C57" s="135"/>
      <c r="D57" s="537"/>
      <c r="E57" s="290"/>
      <c r="F57" s="290"/>
      <c r="G57" s="290"/>
      <c r="H57" s="290"/>
      <c r="I57" s="537"/>
      <c r="J57" s="290"/>
      <c r="K57" s="290"/>
      <c r="L57" s="290"/>
      <c r="M57" s="290"/>
      <c r="N57" s="538"/>
      <c r="DT57" s="238"/>
      <c r="DU57" s="238"/>
      <c r="DV57" s="238"/>
      <c r="DW57" s="238"/>
      <c r="DX57" s="238"/>
      <c r="DY57" s="238"/>
      <c r="DZ57" s="238"/>
      <c r="EA57" s="238"/>
      <c r="EB57" s="238"/>
      <c r="EC57" s="238"/>
      <c r="ED57" s="238"/>
      <c r="EE57" s="238"/>
      <c r="EF57" s="238"/>
      <c r="EG57" s="238"/>
      <c r="EH57" s="238"/>
    </row>
    <row r="58" spans="1:169" s="235" customFormat="1" x14ac:dyDescent="0.25">
      <c r="DT58" s="238"/>
      <c r="DU58" s="238"/>
      <c r="DV58" s="238"/>
      <c r="DW58" s="238"/>
      <c r="DX58" s="238"/>
      <c r="DY58" s="238"/>
      <c r="DZ58" s="238"/>
      <c r="EA58" s="238"/>
      <c r="EB58" s="238"/>
      <c r="EC58" s="238"/>
      <c r="ED58" s="238"/>
      <c r="EE58" s="238"/>
      <c r="EF58" s="238"/>
      <c r="EG58" s="238"/>
      <c r="EH58" s="238"/>
    </row>
    <row r="59" spans="1:169" s="235" customFormat="1" x14ac:dyDescent="0.25">
      <c r="DT59" s="238"/>
      <c r="DU59" s="238"/>
      <c r="DV59" s="238"/>
      <c r="DW59" s="238"/>
      <c r="DX59" s="238"/>
      <c r="DY59" s="238"/>
      <c r="DZ59" s="238"/>
      <c r="EA59" s="238"/>
      <c r="EB59" s="238"/>
      <c r="EC59" s="238"/>
      <c r="ED59" s="238"/>
      <c r="EE59" s="238"/>
      <c r="EF59" s="238"/>
      <c r="EG59" s="238"/>
      <c r="EH59" s="238"/>
    </row>
    <row r="60" spans="1:169" s="235" customFormat="1" x14ac:dyDescent="0.25">
      <c r="DT60" s="238"/>
      <c r="DU60" s="238"/>
      <c r="DV60" s="238"/>
      <c r="DW60" s="238"/>
      <c r="DX60" s="238"/>
      <c r="DY60" s="238"/>
      <c r="DZ60" s="238"/>
      <c r="EA60" s="238"/>
      <c r="EB60" s="238"/>
      <c r="EC60" s="238"/>
      <c r="ED60" s="238"/>
      <c r="EE60" s="238"/>
      <c r="EF60" s="238"/>
      <c r="EG60" s="238"/>
      <c r="EH60" s="238"/>
    </row>
    <row r="61" spans="1:169" s="235" customFormat="1" x14ac:dyDescent="0.25">
      <c r="DT61" s="238"/>
      <c r="DU61" s="238"/>
      <c r="DV61" s="238"/>
      <c r="DW61" s="238"/>
      <c r="DX61" s="238"/>
      <c r="DY61" s="238"/>
      <c r="DZ61" s="238"/>
      <c r="EA61" s="238"/>
      <c r="EB61" s="238"/>
      <c r="EC61" s="238"/>
      <c r="ED61" s="238"/>
      <c r="EE61" s="238"/>
      <c r="EF61" s="238"/>
      <c r="EG61" s="238"/>
      <c r="EH61" s="238"/>
    </row>
    <row r="62" spans="1:169" s="235" customFormat="1" x14ac:dyDescent="0.25">
      <c r="DT62" s="238"/>
      <c r="DU62" s="238"/>
      <c r="DV62" s="238"/>
      <c r="DW62" s="238"/>
      <c r="DX62" s="238"/>
      <c r="DY62" s="238"/>
      <c r="DZ62" s="238"/>
      <c r="EA62" s="238"/>
      <c r="EB62" s="238"/>
      <c r="EC62" s="238"/>
      <c r="ED62" s="238"/>
      <c r="EE62" s="238"/>
      <c r="EF62" s="238"/>
      <c r="EG62" s="238"/>
      <c r="EH62" s="238"/>
    </row>
    <row r="63" spans="1:169" s="235" customFormat="1" x14ac:dyDescent="0.25">
      <c r="DT63" s="238"/>
      <c r="DU63" s="238"/>
      <c r="DV63" s="238"/>
      <c r="DW63" s="238"/>
      <c r="DX63" s="238"/>
      <c r="DY63" s="238"/>
      <c r="DZ63" s="238"/>
      <c r="EA63" s="238"/>
      <c r="EB63" s="238"/>
      <c r="EC63" s="238"/>
      <c r="ED63" s="238"/>
      <c r="EE63" s="238"/>
      <c r="EF63" s="238"/>
      <c r="EG63" s="238"/>
      <c r="EH63" s="238"/>
    </row>
    <row r="64" spans="1:169" s="235" customFormat="1" x14ac:dyDescent="0.25"/>
    <row r="65" s="235" customFormat="1" x14ac:dyDescent="0.25"/>
    <row r="66" s="235" customFormat="1" x14ac:dyDescent="0.25"/>
    <row r="67" s="235" customFormat="1" x14ac:dyDescent="0.25"/>
    <row r="68" s="235" customFormat="1" x14ac:dyDescent="0.25"/>
    <row r="69" s="235" customFormat="1" x14ac:dyDescent="0.25"/>
    <row r="70" s="235" customFormat="1" x14ac:dyDescent="0.25"/>
    <row r="71" s="235" customFormat="1" x14ac:dyDescent="0.25"/>
    <row r="72" s="235" customFormat="1" x14ac:dyDescent="0.25"/>
    <row r="73" s="235" customFormat="1" x14ac:dyDescent="0.25"/>
    <row r="74" s="235" customFormat="1" x14ac:dyDescent="0.25"/>
    <row r="75" s="235" customFormat="1" x14ac:dyDescent="0.25"/>
    <row r="76" s="235" customFormat="1" x14ac:dyDescent="0.25"/>
    <row r="77" s="235" customFormat="1" x14ac:dyDescent="0.25"/>
    <row r="78" s="235" customFormat="1" x14ac:dyDescent="0.25"/>
    <row r="79" s="235" customFormat="1" x14ac:dyDescent="0.25"/>
    <row r="80" s="235" customFormat="1" x14ac:dyDescent="0.25"/>
    <row r="81" s="235" customFormat="1" x14ac:dyDescent="0.25"/>
    <row r="82" s="235" customFormat="1" x14ac:dyDescent="0.25"/>
    <row r="83" s="235" customFormat="1" x14ac:dyDescent="0.25"/>
    <row r="84" s="235" customFormat="1" x14ac:dyDescent="0.25"/>
    <row r="85" s="235" customFormat="1" x14ac:dyDescent="0.25"/>
    <row r="86" s="235" customFormat="1" x14ac:dyDescent="0.25"/>
    <row r="87" s="235" customFormat="1" x14ac:dyDescent="0.25"/>
    <row r="88" s="235" customFormat="1" x14ac:dyDescent="0.25"/>
    <row r="89" s="235" customFormat="1" x14ac:dyDescent="0.25"/>
    <row r="90" s="235" customFormat="1" x14ac:dyDescent="0.25"/>
    <row r="91" s="235" customFormat="1" x14ac:dyDescent="0.25"/>
    <row r="92" s="235" customFormat="1" x14ac:dyDescent="0.25"/>
    <row r="93" s="235" customFormat="1" x14ac:dyDescent="0.25"/>
    <row r="94" s="235" customFormat="1" x14ac:dyDescent="0.25"/>
    <row r="95" s="235" customFormat="1" x14ac:dyDescent="0.25"/>
    <row r="96" s="235" customFormat="1" x14ac:dyDescent="0.25"/>
    <row r="97" s="235" customFormat="1" x14ac:dyDescent="0.25"/>
    <row r="98" s="235" customFormat="1" x14ac:dyDescent="0.25"/>
    <row r="99" s="235" customFormat="1" x14ac:dyDescent="0.25"/>
    <row r="100" s="235" customFormat="1" x14ac:dyDescent="0.25"/>
    <row r="101" s="235" customFormat="1" x14ac:dyDescent="0.25"/>
    <row r="102" s="235" customFormat="1" x14ac:dyDescent="0.25"/>
    <row r="103" s="235" customFormat="1" x14ac:dyDescent="0.25"/>
    <row r="104" s="235" customFormat="1" x14ac:dyDescent="0.25"/>
    <row r="105" s="235" customFormat="1" x14ac:dyDescent="0.25"/>
    <row r="106" s="235" customFormat="1" x14ac:dyDescent="0.25"/>
    <row r="107" s="235" customFormat="1" x14ac:dyDescent="0.25"/>
    <row r="108" s="235" customFormat="1" x14ac:dyDescent="0.25"/>
    <row r="109" s="235" customFormat="1" x14ac:dyDescent="0.25"/>
    <row r="110" s="235" customFormat="1" x14ac:dyDescent="0.25"/>
    <row r="111" s="235" customFormat="1" x14ac:dyDescent="0.25"/>
    <row r="112" s="235" customFormat="1" x14ac:dyDescent="0.25"/>
    <row r="113" s="235" customFormat="1" x14ac:dyDescent="0.25"/>
    <row r="114" s="235" customFormat="1" x14ac:dyDescent="0.25"/>
    <row r="115" s="235" customFormat="1" x14ac:dyDescent="0.25"/>
    <row r="116" s="235" customFormat="1" x14ac:dyDescent="0.25"/>
    <row r="117" s="235" customFormat="1" x14ac:dyDescent="0.25"/>
    <row r="118" s="235" customFormat="1" x14ac:dyDescent="0.25"/>
    <row r="119" s="235" customFormat="1" x14ac:dyDescent="0.25"/>
    <row r="120" s="235" customFormat="1" x14ac:dyDescent="0.25"/>
    <row r="121" s="235" customFormat="1" x14ac:dyDescent="0.25"/>
    <row r="122" s="235" customFormat="1" x14ac:dyDescent="0.25"/>
  </sheetData>
  <mergeCells count="51">
    <mergeCell ref="B37:B38"/>
    <mergeCell ref="B46:B47"/>
    <mergeCell ref="B49:B50"/>
    <mergeCell ref="DM4:DO4"/>
    <mergeCell ref="DP4:DR4"/>
    <mergeCell ref="CP4:CR4"/>
    <mergeCell ref="CX4:CZ4"/>
    <mergeCell ref="DA4:DC4"/>
    <mergeCell ref="DD4:DF4"/>
    <mergeCell ref="DG4:DI4"/>
    <mergeCell ref="DJ4:DL4"/>
    <mergeCell ref="BE4:BG4"/>
    <mergeCell ref="BH4:BL4"/>
    <mergeCell ref="BW4:CA4"/>
    <mergeCell ref="CG4:CI4"/>
    <mergeCell ref="CJ4:CL4"/>
    <mergeCell ref="DU4:DV4"/>
    <mergeCell ref="DW4:EA4"/>
    <mergeCell ref="EB4:EF4"/>
    <mergeCell ref="DZ6:EA6"/>
    <mergeCell ref="EB6:EC6"/>
    <mergeCell ref="EE6:EF6"/>
    <mergeCell ref="CM4:CO4"/>
    <mergeCell ref="CJ3:CL3"/>
    <mergeCell ref="CM3:CO3"/>
    <mergeCell ref="CP3:CR3"/>
    <mergeCell ref="CS3:CU3"/>
    <mergeCell ref="CX3:DC3"/>
    <mergeCell ref="B4:C4"/>
    <mergeCell ref="D4:H4"/>
    <mergeCell ref="I4:M4"/>
    <mergeCell ref="AW4:BA4"/>
    <mergeCell ref="BB4:BD4"/>
    <mergeCell ref="BH3:BL3"/>
    <mergeCell ref="BM3:BQ3"/>
    <mergeCell ref="BR3:BV3"/>
    <mergeCell ref="BW3:CA3"/>
    <mergeCell ref="CB3:CF3"/>
    <mergeCell ref="CG3:CI3"/>
    <mergeCell ref="AH3:AL3"/>
    <mergeCell ref="AM3:AQ3"/>
    <mergeCell ref="AR3:AV3"/>
    <mergeCell ref="AW3:BA3"/>
    <mergeCell ref="BB3:BD3"/>
    <mergeCell ref="BE3:BG3"/>
    <mergeCell ref="D3:H3"/>
    <mergeCell ref="I3:M3"/>
    <mergeCell ref="N3:R3"/>
    <mergeCell ref="S3:W3"/>
    <mergeCell ref="X3:AB3"/>
    <mergeCell ref="AC3:AG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CD8FF-887C-4A4F-8A3D-CA3B287E3D4F}">
  <dimension ref="A1:Z118"/>
  <sheetViews>
    <sheetView workbookViewId="0"/>
  </sheetViews>
  <sheetFormatPr defaultColWidth="8.81640625" defaultRowHeight="10.5" x14ac:dyDescent="0.25"/>
  <cols>
    <col min="1" max="1" width="2.1796875" style="235" customWidth="1"/>
    <col min="2" max="2" width="25.1796875" style="2" customWidth="1"/>
    <col min="3" max="5" width="8.81640625" style="2"/>
    <col min="6" max="7" width="9.81640625" style="2" customWidth="1"/>
    <col min="8" max="8" width="7.54296875" style="2" customWidth="1"/>
    <col min="9" max="9" width="4.54296875" style="235" customWidth="1"/>
    <col min="10" max="10" width="4.81640625" style="235" customWidth="1"/>
    <col min="11" max="11" width="26.54296875" style="2" customWidth="1"/>
    <col min="12" max="16" width="8.81640625" style="2"/>
    <col min="17" max="17" width="8.81640625" style="235"/>
    <col min="18" max="18" width="18" style="267" customWidth="1"/>
    <col min="19" max="16384" width="8.81640625" style="2"/>
  </cols>
  <sheetData>
    <row r="1" spans="1:26" s="235" customFormat="1" ht="11" thickBot="1" x14ac:dyDescent="0.3">
      <c r="R1" s="839" t="s">
        <v>69</v>
      </c>
      <c r="S1" s="2"/>
      <c r="T1" s="2"/>
      <c r="U1" s="2"/>
      <c r="V1" s="2"/>
      <c r="W1" s="2"/>
      <c r="X1" s="2"/>
      <c r="Y1" s="2"/>
      <c r="Z1" s="2"/>
    </row>
    <row r="2" spans="1:26" s="175" customFormat="1" ht="19.399999999999999" customHeight="1" x14ac:dyDescent="0.35">
      <c r="A2" s="339"/>
      <c r="B2" s="396" t="s">
        <v>528</v>
      </c>
      <c r="C2" s="1495" t="s">
        <v>196</v>
      </c>
      <c r="D2" s="1495"/>
      <c r="E2" s="1495"/>
      <c r="F2" s="1495"/>
      <c r="G2" s="1495"/>
      <c r="H2" s="1496"/>
      <c r="I2" s="339"/>
      <c r="J2" s="339"/>
      <c r="K2" s="396" t="s">
        <v>528</v>
      </c>
      <c r="L2" s="1495" t="s">
        <v>74</v>
      </c>
      <c r="M2" s="1495"/>
      <c r="N2" s="1495"/>
      <c r="O2" s="1495"/>
      <c r="P2" s="1496"/>
      <c r="Q2" s="339"/>
      <c r="R2" s="349" t="s">
        <v>529</v>
      </c>
    </row>
    <row r="3" spans="1:26" ht="31.5" x14ac:dyDescent="0.25">
      <c r="A3" s="290"/>
      <c r="B3" s="397" t="s">
        <v>530</v>
      </c>
      <c r="C3" s="393" t="s">
        <v>531</v>
      </c>
      <c r="D3" s="4" t="s">
        <v>532</v>
      </c>
      <c r="E3" s="4" t="s">
        <v>533</v>
      </c>
      <c r="F3" s="4" t="s">
        <v>534</v>
      </c>
      <c r="G3" s="4" t="s">
        <v>536</v>
      </c>
      <c r="H3" s="394" t="s">
        <v>216</v>
      </c>
      <c r="J3" s="290"/>
      <c r="K3" s="397" t="s">
        <v>530</v>
      </c>
      <c r="L3" s="4" t="s">
        <v>532</v>
      </c>
      <c r="M3" s="4" t="s">
        <v>533</v>
      </c>
      <c r="N3" s="4" t="s">
        <v>534</v>
      </c>
      <c r="O3" s="4" t="s">
        <v>536</v>
      </c>
      <c r="P3" s="394" t="s">
        <v>216</v>
      </c>
      <c r="R3" s="349" t="s">
        <v>537</v>
      </c>
    </row>
    <row r="4" spans="1:26" x14ac:dyDescent="0.25">
      <c r="A4" s="290"/>
      <c r="B4" s="398"/>
      <c r="C4" s="173"/>
      <c r="D4" s="174"/>
      <c r="E4" s="174" t="s">
        <v>538</v>
      </c>
      <c r="F4" s="174"/>
      <c r="G4" s="174"/>
      <c r="H4" s="395" t="s">
        <v>538</v>
      </c>
      <c r="J4" s="290"/>
      <c r="K4" s="398"/>
      <c r="L4" s="174"/>
      <c r="M4" s="174" t="s">
        <v>538</v>
      </c>
      <c r="N4" s="174"/>
      <c r="O4" s="174"/>
      <c r="P4" s="395" t="s">
        <v>538</v>
      </c>
      <c r="R4" s="267" t="s">
        <v>540</v>
      </c>
    </row>
    <row r="5" spans="1:26" x14ac:dyDescent="0.25">
      <c r="A5" s="290"/>
      <c r="B5" s="399" t="s">
        <v>541</v>
      </c>
      <c r="C5" s="623">
        <v>643.09457370199993</v>
      </c>
      <c r="D5" s="633">
        <v>0.19295200046128508</v>
      </c>
      <c r="E5" s="628">
        <f>'[3]Cropping GMs'!D64</f>
        <v>872.31973060313373</v>
      </c>
      <c r="F5" s="628">
        <f>'[3]Cropping GMs'!D26</f>
        <v>1447.264645083593</v>
      </c>
      <c r="G5" s="628">
        <f>'[3]Cropping GMs'!D63</f>
        <v>574.94491448045926</v>
      </c>
      <c r="H5" s="16">
        <f>'[3]Cropping GMs'!D4</f>
        <v>15.178545742284125</v>
      </c>
      <c r="J5" s="290"/>
      <c r="K5" s="399" t="s">
        <v>541</v>
      </c>
      <c r="L5" s="633">
        <f>80%*(2/6)</f>
        <v>0.26666666666666666</v>
      </c>
      <c r="M5" s="628">
        <f>'[3]Cropping GMs'!D104</f>
        <v>1411.1940000000002</v>
      </c>
      <c r="N5" s="628">
        <f>'[3]Cropping GMs'!D84</f>
        <v>1572.65</v>
      </c>
      <c r="O5" s="628">
        <f>'[3]Cropping GMs'!D101</f>
        <v>161.45599999999999</v>
      </c>
      <c r="P5" s="16">
        <f>'[3]Cropping GMs'!D72</f>
        <v>4.2624383999999997</v>
      </c>
      <c r="R5" s="636">
        <v>1</v>
      </c>
      <c r="S5" s="2" t="s">
        <v>542</v>
      </c>
    </row>
    <row r="6" spans="1:26" x14ac:dyDescent="0.25">
      <c r="A6" s="539"/>
      <c r="B6" s="399" t="s">
        <v>543</v>
      </c>
      <c r="C6" s="623">
        <v>131.71816569799998</v>
      </c>
      <c r="D6" s="633">
        <v>3.952028925110658E-2</v>
      </c>
      <c r="E6" s="628">
        <f>'[3]Cropping GMs'!E64</f>
        <v>739.17600226718719</v>
      </c>
      <c r="F6" s="628">
        <f>'[3]Cropping GMs'!E26</f>
        <v>1327.4428213875167</v>
      </c>
      <c r="G6" s="628">
        <f>'[3]Cropping GMs'!E63</f>
        <v>588.2668191203295</v>
      </c>
      <c r="H6" s="16">
        <f>'[3]Cropping GMs'!E4</f>
        <v>15.5302440247767</v>
      </c>
      <c r="J6" s="539"/>
      <c r="K6" s="399" t="s">
        <v>543</v>
      </c>
      <c r="L6" s="633">
        <v>0</v>
      </c>
      <c r="M6" s="628"/>
      <c r="N6" s="628"/>
      <c r="O6" s="628"/>
      <c r="P6" s="16"/>
      <c r="R6" s="636">
        <v>2</v>
      </c>
      <c r="S6" s="2" t="s">
        <v>542</v>
      </c>
    </row>
    <row r="7" spans="1:26" x14ac:dyDescent="0.25">
      <c r="A7" s="290"/>
      <c r="B7" s="399" t="s">
        <v>544</v>
      </c>
      <c r="C7" s="623">
        <v>538.09954126085711</v>
      </c>
      <c r="D7" s="633">
        <v>0.16144963303903445</v>
      </c>
      <c r="E7" s="628">
        <f>'[3]Cropping GMs'!F64</f>
        <v>855.2433536259357</v>
      </c>
      <c r="F7" s="628">
        <f>'[3]Cropping GMs'!F26</f>
        <v>1455.8552173475225</v>
      </c>
      <c r="G7" s="628">
        <f>'[3]Cropping GMs'!F63</f>
        <v>600.61186372158681</v>
      </c>
      <c r="H7" s="16">
        <f>'[3]Cropping GMs'!F4</f>
        <v>15.856153202249894</v>
      </c>
      <c r="J7" s="290"/>
      <c r="K7" s="399" t="s">
        <v>544</v>
      </c>
      <c r="L7" s="633">
        <v>0</v>
      </c>
      <c r="M7" s="628"/>
      <c r="N7" s="628"/>
      <c r="O7" s="628"/>
      <c r="P7" s="16"/>
      <c r="R7" s="636">
        <v>3</v>
      </c>
      <c r="S7" s="2" t="s">
        <v>545</v>
      </c>
    </row>
    <row r="8" spans="1:26" x14ac:dyDescent="0.25">
      <c r="A8" s="290"/>
      <c r="B8" s="399" t="s">
        <v>546</v>
      </c>
      <c r="C8" s="623">
        <v>110.21315905342857</v>
      </c>
      <c r="D8" s="633">
        <v>3.3067997128476939E-2</v>
      </c>
      <c r="E8" s="628">
        <f>'[3]Cropping GMs'!G64</f>
        <v>706.24882600291608</v>
      </c>
      <c r="F8" s="628">
        <f>'[3]Cropping GMs'!G26</f>
        <v>1335.2266724622052</v>
      </c>
      <c r="G8" s="628">
        <f>'[3]Cropping GMs'!G63</f>
        <v>628.97784645928914</v>
      </c>
      <c r="H8" s="16">
        <f>'[3]Cropping GMs'!G4</f>
        <v>16.605015146525233</v>
      </c>
      <c r="J8" s="290"/>
      <c r="K8" s="399" t="s">
        <v>546</v>
      </c>
      <c r="L8" s="633">
        <v>0</v>
      </c>
      <c r="M8" s="628"/>
      <c r="N8" s="628"/>
      <c r="O8" s="628"/>
      <c r="P8" s="16"/>
      <c r="R8" s="636">
        <v>4</v>
      </c>
      <c r="S8" s="2" t="s">
        <v>547</v>
      </c>
    </row>
    <row r="9" spans="1:26" x14ac:dyDescent="0.25">
      <c r="A9" s="290"/>
      <c r="B9" s="399" t="s">
        <v>548</v>
      </c>
      <c r="C9" s="623">
        <v>131.24379055142856</v>
      </c>
      <c r="D9" s="633">
        <v>3.9377959277813276E-2</v>
      </c>
      <c r="E9" s="628">
        <f>'[3]Cropping GMs'!H64</f>
        <v>854.29821481940292</v>
      </c>
      <c r="F9" s="628">
        <f>'[3]Cropping GMs'!H26</f>
        <v>1447.0119811934774</v>
      </c>
      <c r="G9" s="628">
        <f>'[3]Cropping GMs'!H63</f>
        <v>592.71376637407445</v>
      </c>
      <c r="H9" s="16">
        <f>'[3]Cropping GMs'!H4</f>
        <v>15.647643432275565</v>
      </c>
      <c r="J9" s="290"/>
      <c r="K9" s="399" t="s">
        <v>548</v>
      </c>
      <c r="L9" s="633">
        <v>0</v>
      </c>
      <c r="M9" s="628"/>
      <c r="N9" s="628"/>
      <c r="O9" s="628"/>
      <c r="P9" s="16"/>
      <c r="R9" s="636">
        <v>5</v>
      </c>
      <c r="S9" s="2" t="s">
        <v>545</v>
      </c>
    </row>
    <row r="10" spans="1:26" x14ac:dyDescent="0.25">
      <c r="A10" s="290"/>
      <c r="B10" s="399" t="s">
        <v>549</v>
      </c>
      <c r="C10" s="623">
        <v>26.881258305714283</v>
      </c>
      <c r="D10" s="633">
        <v>8.0653651532870563E-3</v>
      </c>
      <c r="E10" s="628">
        <f>'[3]Cropping GMs'!I64</f>
        <v>708.96660030279975</v>
      </c>
      <c r="F10" s="628">
        <f>'[3]Cropping GMs'!I26</f>
        <v>1327.2138845912025</v>
      </c>
      <c r="G10" s="628">
        <f>'[3]Cropping GMs'!I63</f>
        <v>618.24728428840274</v>
      </c>
      <c r="H10" s="16">
        <f>'[3]Cropping GMs'!I4</f>
        <v>16.321728305213831</v>
      </c>
      <c r="J10" s="290"/>
      <c r="K10" s="399" t="s">
        <v>549</v>
      </c>
      <c r="L10" s="633">
        <v>0</v>
      </c>
      <c r="M10" s="628"/>
      <c r="N10" s="628"/>
      <c r="O10" s="628"/>
      <c r="P10" s="16"/>
      <c r="R10" s="636">
        <v>6</v>
      </c>
      <c r="S10" s="2" t="s">
        <v>550</v>
      </c>
    </row>
    <row r="11" spans="1:26" x14ac:dyDescent="0.25">
      <c r="A11" s="290"/>
      <c r="B11" s="399" t="s">
        <v>551</v>
      </c>
      <c r="C11" s="623">
        <v>48.90465428571428</v>
      </c>
      <c r="D11" s="633">
        <v>1.4673193123020721E-2</v>
      </c>
      <c r="E11" s="628">
        <f>'[3]Cropping GMs'!J64</f>
        <v>711.17360759021471</v>
      </c>
      <c r="F11" s="628">
        <f>'[3]Cropping GMs'!J26</f>
        <v>1160.6394715928743</v>
      </c>
      <c r="G11" s="628">
        <f>'[3]Cropping GMs'!J63</f>
        <v>449.46586400265966</v>
      </c>
      <c r="H11" s="16">
        <f>'[3]Cropping GMs'!J4</f>
        <v>8.9893172800531929</v>
      </c>
      <c r="J11" s="290"/>
      <c r="K11" s="399" t="s">
        <v>551</v>
      </c>
      <c r="L11" s="633">
        <f>20%*(2/6)</f>
        <v>6.6666666666666666E-2</v>
      </c>
      <c r="M11" s="628">
        <f>'[3]Cropping GMs'!J104</f>
        <v>832.12625000000003</v>
      </c>
      <c r="N11" s="628">
        <f>'[3]Cropping GMs'!J84</f>
        <v>1059.6500000000001</v>
      </c>
      <c r="O11" s="628">
        <f>'[3]Cropping GMs'!J101</f>
        <v>227.52375000000001</v>
      </c>
      <c r="P11" s="16">
        <f>'[3]Cropping GMs'!J72</f>
        <v>4.5504750000000005</v>
      </c>
    </row>
    <row r="12" spans="1:26" x14ac:dyDescent="0.25">
      <c r="A12" s="290"/>
      <c r="B12" s="399" t="s">
        <v>552</v>
      </c>
      <c r="C12" s="623">
        <v>175.57064285714287</v>
      </c>
      <c r="D12" s="633">
        <v>5.2677643610871905E-2</v>
      </c>
      <c r="E12" s="628">
        <f>'[3]Cropping GMs'!K64</f>
        <v>700.96031757456615</v>
      </c>
      <c r="F12" s="628">
        <f>'[3]Cropping GMs'!K26</f>
        <v>1135.4003013670419</v>
      </c>
      <c r="G12" s="628">
        <f>'[3]Cropping GMs'!K63</f>
        <v>434.4399837924758</v>
      </c>
      <c r="H12" s="16">
        <f>'[3]Cropping GMs'!K4</f>
        <v>11.469215572121362</v>
      </c>
      <c r="J12" s="290"/>
      <c r="K12" s="399" t="s">
        <v>552</v>
      </c>
      <c r="L12" s="633">
        <f>50%*(1/6)</f>
        <v>8.3333333333333329E-2</v>
      </c>
      <c r="M12" s="628">
        <f>'[3]Cropping GMs'!K104</f>
        <v>825.53700000000003</v>
      </c>
      <c r="N12" s="628">
        <f>'[3]Cropping GMs'!K84</f>
        <v>990.72</v>
      </c>
      <c r="O12" s="628">
        <f>'[3]Cropping GMs'!K101</f>
        <v>165.18299999999999</v>
      </c>
      <c r="P12" s="16">
        <f>'[3]Cropping GMs'!K72</f>
        <v>4.3608311999999998</v>
      </c>
      <c r="R12" s="267" t="s">
        <v>541</v>
      </c>
      <c r="S12" s="2">
        <v>8.1</v>
      </c>
      <c r="T12" s="637">
        <v>0.8</v>
      </c>
      <c r="U12" s="2" t="s">
        <v>553</v>
      </c>
    </row>
    <row r="13" spans="1:26" x14ac:dyDescent="0.25">
      <c r="A13" s="290"/>
      <c r="B13" s="399" t="s">
        <v>554</v>
      </c>
      <c r="C13" s="623">
        <v>175.57064285714287</v>
      </c>
      <c r="D13" s="633">
        <v>5.2677643610871905E-2</v>
      </c>
      <c r="E13" s="628">
        <f>'[3]Cropping GMs'!L64</f>
        <v>810.16895307672246</v>
      </c>
      <c r="F13" s="628">
        <f>'[3]Cropping GMs'!L26</f>
        <v>1208.1801063777216</v>
      </c>
      <c r="G13" s="628">
        <f>'[3]Cropping GMs'!L63</f>
        <v>398.01115330099913</v>
      </c>
      <c r="H13" s="16">
        <f>'[3]Cropping GMs'!L4</f>
        <v>10.507494447146378</v>
      </c>
      <c r="J13" s="290"/>
      <c r="K13" s="399" t="s">
        <v>554</v>
      </c>
      <c r="L13" s="633">
        <v>0</v>
      </c>
      <c r="M13" s="628"/>
      <c r="N13" s="628"/>
      <c r="O13" s="628"/>
      <c r="P13" s="16"/>
      <c r="R13" s="267" t="s">
        <v>551</v>
      </c>
      <c r="S13" s="2">
        <v>2</v>
      </c>
      <c r="T13" s="637">
        <v>0.2</v>
      </c>
      <c r="U13" s="2" t="s">
        <v>553</v>
      </c>
    </row>
    <row r="14" spans="1:26" x14ac:dyDescent="0.25">
      <c r="A14" s="290"/>
      <c r="B14" s="399" t="s">
        <v>555</v>
      </c>
      <c r="C14" s="623">
        <v>23.881657142857147</v>
      </c>
      <c r="D14" s="633">
        <v>7.1653745941574467E-3</v>
      </c>
      <c r="E14" s="628">
        <f>'[3]Cropping GMs'!M64</f>
        <v>613.79199471547327</v>
      </c>
      <c r="F14" s="628">
        <f>'[3]Cropping GMs'!M26</f>
        <v>970.13414414183239</v>
      </c>
      <c r="G14" s="628">
        <f>'[3]Cropping GMs'!M63</f>
        <v>356.34214942635913</v>
      </c>
      <c r="H14" s="16">
        <f>'[3]Cropping GMs'!M4</f>
        <v>7.1268429885271827</v>
      </c>
      <c r="J14" s="290"/>
      <c r="K14" s="399" t="s">
        <v>555</v>
      </c>
      <c r="L14" s="633">
        <f>50%*(1/6)</f>
        <v>8.3333333333333329E-2</v>
      </c>
      <c r="M14" s="628">
        <f>'[3]Cropping GMs'!M104</f>
        <v>825.6880000000001</v>
      </c>
      <c r="N14" s="628">
        <f>'[3]Cropping GMs'!M84</f>
        <v>989.22</v>
      </c>
      <c r="O14" s="628">
        <f>'[3]Cropping GMs'!M101</f>
        <v>163.53199999999998</v>
      </c>
      <c r="P14" s="16">
        <f>'[3]Cropping GMs'!M72</f>
        <v>3.2706399999999998</v>
      </c>
      <c r="R14" s="267" t="s">
        <v>552</v>
      </c>
      <c r="S14" s="2">
        <v>6</v>
      </c>
      <c r="T14" s="637">
        <v>0.5</v>
      </c>
      <c r="U14" s="2" t="s">
        <v>556</v>
      </c>
    </row>
    <row r="15" spans="1:26" x14ac:dyDescent="0.25">
      <c r="A15" s="290"/>
      <c r="B15" s="399" t="s">
        <v>557</v>
      </c>
      <c r="C15" s="623">
        <v>453.75148571428571</v>
      </c>
      <c r="D15" s="633">
        <v>0.13614211728899145</v>
      </c>
      <c r="E15" s="628">
        <f>'[3]Cropping GMs'!N64</f>
        <v>769.30352713738796</v>
      </c>
      <c r="F15" s="628">
        <f>'[3]Cropping GMs'!N26</f>
        <v>1099.1028143523129</v>
      </c>
      <c r="G15" s="628">
        <f>'[3]Cropping GMs'!N63</f>
        <v>329.7992872149249</v>
      </c>
      <c r="H15" s="16">
        <f>'[3]Cropping GMs'!N4</f>
        <v>6.5959857442984982</v>
      </c>
      <c r="J15" s="290"/>
      <c r="K15" s="399" t="s">
        <v>557</v>
      </c>
      <c r="L15" s="633">
        <v>0</v>
      </c>
      <c r="M15" s="628"/>
      <c r="N15" s="628"/>
      <c r="O15" s="628"/>
      <c r="P15" s="16"/>
      <c r="R15" s="267" t="s">
        <v>555</v>
      </c>
      <c r="S15" s="2">
        <v>4</v>
      </c>
      <c r="T15" s="637">
        <v>0.3</v>
      </c>
      <c r="U15" s="2" t="s">
        <v>556</v>
      </c>
    </row>
    <row r="16" spans="1:26" x14ac:dyDescent="0.25">
      <c r="A16" s="290"/>
      <c r="B16" s="399" t="s">
        <v>558</v>
      </c>
      <c r="C16" s="623">
        <v>124.49</v>
      </c>
      <c r="D16" s="633">
        <v>3.735157396702922E-2</v>
      </c>
      <c r="E16" s="628">
        <f>'[3]Cropping GMs'!O64</f>
        <v>546.72660107878403</v>
      </c>
      <c r="F16" s="628">
        <f>'[3]Cropping GMs'!O26</f>
        <v>915.65679849758544</v>
      </c>
      <c r="G16" s="628">
        <f>'[3]Cropping GMs'!O63</f>
        <v>368.93019741880141</v>
      </c>
      <c r="H16" s="16">
        <f>'[3]Cropping GMs'!O4</f>
        <v>9.7397572118563573</v>
      </c>
      <c r="J16" s="290"/>
      <c r="K16" s="399" t="s">
        <v>558</v>
      </c>
      <c r="L16" s="633">
        <v>0</v>
      </c>
      <c r="M16" s="628">
        <f>'[3]Cropping GMs'!O104</f>
        <v>922.76220000000012</v>
      </c>
      <c r="N16" s="628">
        <f>'[3]Cropping GMs'!O84</f>
        <v>1073.8800000000001</v>
      </c>
      <c r="O16" s="628">
        <f>'[3]Cropping GMs'!O101</f>
        <v>151.11779999999999</v>
      </c>
      <c r="P16" s="16">
        <f>'[3]Cropping GMs'!O72</f>
        <v>3.0223559999999998</v>
      </c>
      <c r="R16" s="267" t="s">
        <v>559</v>
      </c>
      <c r="S16" s="2">
        <v>8</v>
      </c>
      <c r="T16" s="637">
        <v>0.5</v>
      </c>
      <c r="U16" s="2" t="s">
        <v>560</v>
      </c>
    </row>
    <row r="17" spans="1:26" x14ac:dyDescent="0.25">
      <c r="A17" s="290"/>
      <c r="B17" s="399" t="s">
        <v>561</v>
      </c>
      <c r="C17" s="623"/>
      <c r="D17" s="633"/>
      <c r="E17" s="628"/>
      <c r="F17" s="628"/>
      <c r="G17" s="628"/>
      <c r="H17" s="16"/>
      <c r="J17" s="290"/>
      <c r="K17" s="399" t="s">
        <v>561</v>
      </c>
      <c r="L17" s="633">
        <v>0</v>
      </c>
      <c r="M17" s="628">
        <f>'[3]Cropping GMs'!P104</f>
        <v>939.90000000000009</v>
      </c>
      <c r="N17" s="634"/>
      <c r="O17" s="634"/>
      <c r="P17" s="635"/>
      <c r="R17" s="267" t="s">
        <v>561</v>
      </c>
      <c r="S17" s="2">
        <v>8</v>
      </c>
      <c r="T17" s="637">
        <v>0.5</v>
      </c>
      <c r="U17" s="2" t="s">
        <v>560</v>
      </c>
    </row>
    <row r="18" spans="1:26" x14ac:dyDescent="0.25">
      <c r="A18" s="290"/>
      <c r="B18" s="399" t="s">
        <v>562</v>
      </c>
      <c r="C18" s="623">
        <v>519.13571428571424</v>
      </c>
      <c r="D18" s="633">
        <v>0.15575978818434738</v>
      </c>
      <c r="E18" s="628">
        <f>'[3]Cropping GMs'!Q64</f>
        <v>741.65109138717662</v>
      </c>
      <c r="F18" s="628">
        <f>'[3]Cropping GMs'!Q26</f>
        <v>1201.165639084739</v>
      </c>
      <c r="G18" s="628">
        <f>'[3]Cropping GMs'!Q63</f>
        <v>459.51454769756236</v>
      </c>
      <c r="H18" s="16">
        <f>'[3]Cropping GMs'!Q4</f>
        <v>12.131184059215649</v>
      </c>
      <c r="J18" s="290"/>
      <c r="K18" s="399" t="s">
        <v>562</v>
      </c>
      <c r="L18" s="633">
        <v>0</v>
      </c>
      <c r="M18" s="628"/>
      <c r="N18" s="628"/>
      <c r="O18" s="628"/>
      <c r="P18" s="16"/>
      <c r="R18" s="267" t="s">
        <v>563</v>
      </c>
      <c r="S18" s="2">
        <v>0</v>
      </c>
      <c r="T18" s="637">
        <v>0.25</v>
      </c>
      <c r="U18" s="2" t="s">
        <v>564</v>
      </c>
    </row>
    <row r="19" spans="1:26" x14ac:dyDescent="0.25">
      <c r="A19" s="290"/>
      <c r="B19" s="399" t="s">
        <v>565</v>
      </c>
      <c r="C19" s="623">
        <v>8.9548571428571417</v>
      </c>
      <c r="D19" s="633">
        <v>2.6867861590136439E-3</v>
      </c>
      <c r="E19" s="628">
        <f>'[3]Cropping GMs'!R64</f>
        <v>492.19927478742193</v>
      </c>
      <c r="F19" s="628">
        <f>'[3]Cropping GMs'!R26</f>
        <v>780.7576654050805</v>
      </c>
      <c r="G19" s="628">
        <f>'[3]Cropping GMs'!R63</f>
        <v>288.55839061765857</v>
      </c>
      <c r="H19" s="16">
        <f>'[3]Cropping GMs'!R4</f>
        <v>5.7711678123531716</v>
      </c>
      <c r="J19" s="290"/>
      <c r="K19" s="399" t="s">
        <v>565</v>
      </c>
      <c r="L19" s="633">
        <v>0</v>
      </c>
      <c r="M19" s="628"/>
      <c r="N19" s="628"/>
      <c r="O19" s="628"/>
      <c r="P19" s="16"/>
      <c r="R19" s="267" t="s">
        <v>566</v>
      </c>
      <c r="S19" s="2">
        <v>0</v>
      </c>
      <c r="T19" s="637">
        <v>0.25</v>
      </c>
      <c r="U19" s="2" t="s">
        <v>564</v>
      </c>
    </row>
    <row r="20" spans="1:26" x14ac:dyDescent="0.25">
      <c r="A20" s="290"/>
      <c r="B20" s="399" t="s">
        <v>563</v>
      </c>
      <c r="C20" s="623">
        <v>47.277471428571445</v>
      </c>
      <c r="D20" s="633">
        <v>1.4184978480507648E-2</v>
      </c>
      <c r="E20" s="628">
        <f>'[3]Cropping GMs'!S64</f>
        <v>458.47682163236431</v>
      </c>
      <c r="F20" s="628">
        <f>'[3]Cropping GMs'!S26</f>
        <v>738.73275000000001</v>
      </c>
      <c r="G20" s="628">
        <f>'[3]Cropping GMs'!S63</f>
        <v>280.2559283676357</v>
      </c>
      <c r="H20" s="16">
        <f>'[3]Cropping GMs'!S4</f>
        <v>7.3987565089055831</v>
      </c>
      <c r="J20" s="290"/>
      <c r="K20" s="399" t="s">
        <v>563</v>
      </c>
      <c r="L20" s="633">
        <f>T18*(1/6)</f>
        <v>4.1666666666666664E-2</v>
      </c>
      <c r="M20" s="628">
        <f>'[3]Cropping GMs'!S104</f>
        <v>923.06000000000017</v>
      </c>
      <c r="N20" s="628">
        <f>'[3]Cropping GMs'!S84</f>
        <v>1139.6000000000001</v>
      </c>
      <c r="O20" s="628">
        <f>'[3]Cropping GMs'!S101</f>
        <v>216.54000000000002</v>
      </c>
      <c r="P20" s="16">
        <f>'[3]Cropping GMs'!S72</f>
        <v>5.7166560000000004</v>
      </c>
      <c r="R20" s="267" t="s">
        <v>567</v>
      </c>
      <c r="S20" s="2">
        <v>0</v>
      </c>
      <c r="T20" s="637">
        <v>0.25</v>
      </c>
      <c r="U20" s="2" t="s">
        <v>564</v>
      </c>
    </row>
    <row r="21" spans="1:26" x14ac:dyDescent="0.25">
      <c r="A21" s="290"/>
      <c r="B21" s="399" t="s">
        <v>566</v>
      </c>
      <c r="C21" s="623">
        <v>55.157049999999991</v>
      </c>
      <c r="D21" s="633">
        <v>1.654914156059225E-2</v>
      </c>
      <c r="E21" s="628">
        <f>'[3]Cropping GMs'!T64</f>
        <v>401.65884424105991</v>
      </c>
      <c r="F21" s="628">
        <f>'[3]Cropping GMs'!T26</f>
        <v>679.21579999999994</v>
      </c>
      <c r="G21" s="628">
        <f>'[3]Cropping GMs'!T63</f>
        <v>277.55695575894003</v>
      </c>
      <c r="H21" s="16">
        <f>'[3]Cropping GMs'!T4</f>
        <v>5.5511391151788008</v>
      </c>
      <c r="J21" s="290"/>
      <c r="K21" s="399" t="s">
        <v>566</v>
      </c>
      <c r="L21" s="633">
        <f t="shared" ref="L21:L23" si="0">T19*(1/6)</f>
        <v>4.1666666666666664E-2</v>
      </c>
      <c r="M21" s="628">
        <f>'[3]Cropping GMs'!T104</f>
        <v>273.82</v>
      </c>
      <c r="N21" s="628">
        <f>'[3]Cropping GMs'!T84</f>
        <v>496.32</v>
      </c>
      <c r="O21" s="628">
        <f>'[3]Cropping GMs'!T101</f>
        <v>222.5</v>
      </c>
      <c r="P21" s="16">
        <f>'[3]Cropping GMs'!T72</f>
        <v>5.8739999999999997</v>
      </c>
      <c r="R21" s="267" t="s">
        <v>568</v>
      </c>
      <c r="S21" s="2">
        <v>0</v>
      </c>
      <c r="T21" s="637">
        <v>0.25</v>
      </c>
      <c r="U21" s="2" t="s">
        <v>564</v>
      </c>
    </row>
    <row r="22" spans="1:26" x14ac:dyDescent="0.25">
      <c r="A22" s="290"/>
      <c r="B22" s="399" t="s">
        <v>569</v>
      </c>
      <c r="C22" s="623">
        <v>55.157049999999991</v>
      </c>
      <c r="D22" s="633">
        <v>1.654914156059225E-2</v>
      </c>
      <c r="E22" s="628">
        <f>'[3]Cropping GMs'!U64</f>
        <v>391.15779424105995</v>
      </c>
      <c r="F22" s="628">
        <f>'[3]Cropping GMs'!U26</f>
        <v>668.37725</v>
      </c>
      <c r="G22" s="628">
        <f>'[3]Cropping GMs'!U63</f>
        <v>277.21945575894006</v>
      </c>
      <c r="H22" s="16">
        <f>'[3]Cropping GMs'!U4</f>
        <v>5.5443891151788014</v>
      </c>
      <c r="J22" s="290"/>
      <c r="K22" s="399" t="s">
        <v>569</v>
      </c>
      <c r="L22" s="633">
        <f t="shared" si="0"/>
        <v>4.1666666666666664E-2</v>
      </c>
      <c r="M22" s="628">
        <f>'[3]Cropping GMs'!U104</f>
        <v>428.70000000000005</v>
      </c>
      <c r="N22" s="628">
        <f>'[3]Cropping GMs'!U84</f>
        <v>651.20000000000005</v>
      </c>
      <c r="O22" s="628">
        <f>'[3]Cropping GMs'!U101</f>
        <v>222.5</v>
      </c>
      <c r="P22" s="16">
        <f>'[3]Cropping GMs'!U72</f>
        <v>4.45</v>
      </c>
      <c r="R22" s="267" t="s">
        <v>570</v>
      </c>
      <c r="S22" s="2">
        <v>2</v>
      </c>
      <c r="T22" s="637">
        <v>0.2</v>
      </c>
      <c r="U22" s="2" t="s">
        <v>556</v>
      </c>
    </row>
    <row r="23" spans="1:26" x14ac:dyDescent="0.25">
      <c r="A23" s="290"/>
      <c r="B23" s="399" t="s">
        <v>571</v>
      </c>
      <c r="C23" s="623">
        <v>41.674571428571426</v>
      </c>
      <c r="D23" s="633">
        <v>1.2503902620760931E-2</v>
      </c>
      <c r="E23" s="628">
        <f>'[3]Cropping GMs'!V64</f>
        <v>403.45787504896191</v>
      </c>
      <c r="F23" s="628">
        <f>'[3]Cropping GMs'!V26</f>
        <v>692.51666666666654</v>
      </c>
      <c r="G23" s="628">
        <f>'[3]Cropping GMs'!V63</f>
        <v>289.05879161770463</v>
      </c>
      <c r="H23" s="16">
        <f>'[3]Cropping GMs'!V4</f>
        <v>5.7811758323540925</v>
      </c>
      <c r="J23" s="290"/>
      <c r="K23" s="399" t="s">
        <v>568</v>
      </c>
      <c r="L23" s="633">
        <f t="shared" si="0"/>
        <v>4.1666666666666664E-2</v>
      </c>
      <c r="M23" s="628">
        <f>'[3]Cropping GMs'!V104</f>
        <v>507.599079975</v>
      </c>
      <c r="N23" s="628">
        <f>'[3]Cropping GMs'!V84</f>
        <v>770</v>
      </c>
      <c r="O23" s="628">
        <f>'[3]Cropping GMs'!V101</f>
        <v>262.400920025</v>
      </c>
      <c r="P23" s="16">
        <f>'[3]Cropping GMs'!V72</f>
        <v>5.2480184005000003</v>
      </c>
      <c r="R23" s="267" t="s">
        <v>572</v>
      </c>
      <c r="S23" s="2">
        <v>2</v>
      </c>
      <c r="T23" s="637">
        <v>0.33</v>
      </c>
      <c r="U23" s="2" t="s">
        <v>573</v>
      </c>
    </row>
    <row r="24" spans="1:26" x14ac:dyDescent="0.25">
      <c r="A24" s="290"/>
      <c r="B24" s="399" t="s">
        <v>574</v>
      </c>
      <c r="C24" s="623">
        <v>4.7142857142857144</v>
      </c>
      <c r="D24" s="633">
        <v>1.4144589248843446E-3</v>
      </c>
      <c r="E24" s="628">
        <f>'[3]Cropping GMs'!W64</f>
        <v>479.5150856389987</v>
      </c>
      <c r="F24" s="628">
        <f>'[3]Cropping GMs'!W26</f>
        <v>700</v>
      </c>
      <c r="G24" s="628">
        <f>'[3]Cropping GMs'!W63</f>
        <v>220.48491436100133</v>
      </c>
      <c r="H24" s="16">
        <f>'[3]Cropping GMs'!W4</f>
        <v>4.409698287220027</v>
      </c>
      <c r="J24" s="290"/>
      <c r="K24" s="399" t="s">
        <v>574</v>
      </c>
      <c r="L24" s="633">
        <v>0</v>
      </c>
      <c r="M24" s="628"/>
      <c r="N24" s="628"/>
      <c r="O24" s="628"/>
      <c r="P24" s="16"/>
    </row>
    <row r="25" spans="1:26" x14ac:dyDescent="0.25">
      <c r="A25" s="290"/>
      <c r="B25" s="399" t="s">
        <v>575</v>
      </c>
      <c r="C25" s="623">
        <v>17.434571428571427</v>
      </c>
      <c r="D25" s="633">
        <v>5.2310120033556111E-3</v>
      </c>
      <c r="E25" s="628">
        <f>'[3]Cropping GMs'!X64</f>
        <v>633.01073781291166</v>
      </c>
      <c r="F25" s="628">
        <f>'[3]Cropping GMs'!X26</f>
        <v>900</v>
      </c>
      <c r="G25" s="628">
        <f>'[3]Cropping GMs'!X63</f>
        <v>266.98926218708829</v>
      </c>
      <c r="H25" s="16">
        <f>'[3]Cropping GMs'!X4</f>
        <v>7.0485165217391303</v>
      </c>
      <c r="J25" s="290"/>
      <c r="K25" s="399" t="s">
        <v>575</v>
      </c>
      <c r="L25" s="633">
        <v>0</v>
      </c>
      <c r="M25" s="628"/>
      <c r="N25" s="628"/>
      <c r="O25" s="628"/>
      <c r="P25" s="16"/>
    </row>
    <row r="26" spans="1:26" x14ac:dyDescent="0.25">
      <c r="A26" s="290"/>
      <c r="B26" s="399" t="s">
        <v>576</v>
      </c>
      <c r="C26" s="623"/>
      <c r="D26" s="633"/>
      <c r="E26" s="628"/>
      <c r="F26" s="628"/>
      <c r="G26" s="628"/>
      <c r="H26" s="16"/>
      <c r="J26" s="290"/>
      <c r="K26" s="399" t="s">
        <v>576</v>
      </c>
      <c r="L26" s="633">
        <v>0.33300000000000002</v>
      </c>
      <c r="M26" s="628">
        <v>0</v>
      </c>
      <c r="N26" s="628">
        <v>0</v>
      </c>
      <c r="O26" s="628">
        <f>([3]Forage!V29)</f>
        <v>125.66500000000001</v>
      </c>
      <c r="P26" s="16">
        <f>[3]Forage!V6</f>
        <v>2.5133000000000001</v>
      </c>
    </row>
    <row r="27" spans="1:26" ht="11" thickBot="1" x14ac:dyDescent="0.3">
      <c r="A27" s="290"/>
      <c r="B27" s="400" t="s">
        <v>246</v>
      </c>
      <c r="C27" s="631">
        <v>3332.9251428571424</v>
      </c>
      <c r="D27" s="632">
        <v>1.0000000000000004</v>
      </c>
      <c r="E27" s="629">
        <f>SUMPRODUCT($D$5:$D$25,E5:E25)</f>
        <v>763.41162645513634</v>
      </c>
      <c r="F27" s="629">
        <f t="shared" ref="F27:H27" si="1">SUMPRODUCT($D$5:$D$25,F5:F25)</f>
        <v>1246.1989443760331</v>
      </c>
      <c r="G27" s="629">
        <f t="shared" si="1"/>
        <v>482.78731792089673</v>
      </c>
      <c r="H27" s="630">
        <f t="shared" si="1"/>
        <v>12.310829381613869</v>
      </c>
      <c r="J27" s="290"/>
      <c r="K27" s="400" t="s">
        <v>246</v>
      </c>
      <c r="L27" s="632">
        <f>SUM(L5:L26)</f>
        <v>0.99966666666666648</v>
      </c>
      <c r="M27" s="629">
        <f>SUMPRODUCT($L$5:$L$26,M5:M26)</f>
        <v>658.27802833229168</v>
      </c>
      <c r="N27" s="629">
        <f>SUMPRODUCT($L$5:$L$26,N5:N26)</f>
        <v>782.39166666666654</v>
      </c>
      <c r="O27" s="629">
        <f>SUMPRODUCT($L$5:$L$26,O5:O26)</f>
        <v>165.96008333437499</v>
      </c>
      <c r="P27" s="630">
        <f>SUMPRODUCT($L$5:$L$26,P5:P26)</f>
        <v>3.7999281733541665</v>
      </c>
    </row>
    <row r="28" spans="1:26" s="235" customFormat="1" x14ac:dyDescent="0.25">
      <c r="A28" s="290"/>
      <c r="B28" s="340"/>
      <c r="C28" s="621"/>
      <c r="D28" s="92"/>
      <c r="E28" s="622"/>
      <c r="F28" s="622"/>
      <c r="G28" s="622"/>
      <c r="H28" s="622"/>
      <c r="J28" s="290"/>
      <c r="K28" s="340"/>
      <c r="L28" s="92"/>
      <c r="M28" s="622"/>
      <c r="N28" s="622"/>
      <c r="O28" s="622"/>
      <c r="P28" s="622"/>
      <c r="R28" s="267"/>
      <c r="S28" s="2"/>
      <c r="T28" s="2"/>
      <c r="U28" s="2"/>
      <c r="V28" s="2"/>
      <c r="W28" s="2"/>
      <c r="X28" s="2"/>
      <c r="Y28" s="2"/>
      <c r="Z28" s="2"/>
    </row>
    <row r="29" spans="1:26" s="235" customFormat="1" x14ac:dyDescent="0.25">
      <c r="A29" s="290"/>
      <c r="B29" s="340"/>
      <c r="C29" s="621"/>
      <c r="D29" s="92"/>
      <c r="E29" s="622"/>
      <c r="F29" s="622"/>
      <c r="G29" s="622"/>
      <c r="H29" s="622"/>
      <c r="J29" s="290"/>
      <c r="K29" s="340"/>
      <c r="L29" s="92"/>
      <c r="M29" s="622"/>
      <c r="N29" s="622"/>
      <c r="O29" s="622"/>
      <c r="P29" s="622"/>
      <c r="R29" s="267"/>
      <c r="S29" s="2"/>
      <c r="T29" s="2"/>
      <c r="U29" s="2"/>
      <c r="V29" s="2"/>
      <c r="W29" s="2"/>
      <c r="X29" s="2"/>
      <c r="Y29" s="2"/>
      <c r="Z29" s="2"/>
    </row>
    <row r="30" spans="1:26" s="235" customFormat="1" ht="11" thickBot="1" x14ac:dyDescent="0.3">
      <c r="A30" s="290"/>
      <c r="B30" s="340"/>
      <c r="C30" s="621"/>
      <c r="D30" s="92"/>
      <c r="E30" s="622"/>
      <c r="F30" s="622"/>
      <c r="G30" s="622"/>
      <c r="H30" s="622"/>
      <c r="J30" s="290"/>
      <c r="K30" s="340"/>
      <c r="L30" s="92"/>
      <c r="M30" s="622"/>
      <c r="N30" s="622"/>
      <c r="O30" s="622"/>
      <c r="P30" s="622"/>
      <c r="R30" s="267"/>
      <c r="S30" s="2"/>
      <c r="T30" s="2"/>
      <c r="U30" s="2"/>
      <c r="V30" s="2"/>
      <c r="W30" s="2"/>
      <c r="X30" s="2"/>
      <c r="Y30" s="2"/>
      <c r="Z30" s="2"/>
    </row>
    <row r="31" spans="1:26" s="235" customFormat="1" ht="20.5" customHeight="1" x14ac:dyDescent="0.25">
      <c r="A31" s="290"/>
      <c r="B31" s="396" t="s">
        <v>528</v>
      </c>
      <c r="C31" s="1495" t="s">
        <v>196</v>
      </c>
      <c r="D31" s="1495"/>
      <c r="E31" s="1495"/>
      <c r="F31" s="1495"/>
      <c r="G31" s="1495"/>
      <c r="H31" s="1496"/>
      <c r="J31" s="290"/>
      <c r="K31" s="396" t="s">
        <v>528</v>
      </c>
      <c r="L31" s="1495" t="s">
        <v>74</v>
      </c>
      <c r="M31" s="1495"/>
      <c r="N31" s="1495"/>
      <c r="O31" s="1495"/>
      <c r="P31" s="1496"/>
      <c r="R31" s="349" t="s">
        <v>577</v>
      </c>
      <c r="S31" s="2"/>
      <c r="T31" s="2"/>
      <c r="U31" s="2"/>
      <c r="V31" s="2"/>
      <c r="W31" s="2"/>
      <c r="X31" s="2"/>
      <c r="Y31" s="2"/>
      <c r="Z31" s="2"/>
    </row>
    <row r="32" spans="1:26" s="235" customFormat="1" ht="31.5" x14ac:dyDescent="0.25">
      <c r="A32" s="290"/>
      <c r="B32" s="397" t="s">
        <v>530</v>
      </c>
      <c r="C32" s="393" t="s">
        <v>531</v>
      </c>
      <c r="D32" s="4" t="s">
        <v>532</v>
      </c>
      <c r="E32" s="4" t="s">
        <v>533</v>
      </c>
      <c r="F32" s="4" t="s">
        <v>534</v>
      </c>
      <c r="G32" s="4" t="s">
        <v>536</v>
      </c>
      <c r="H32" s="394" t="s">
        <v>216</v>
      </c>
      <c r="J32" s="290"/>
      <c r="K32" s="397" t="s">
        <v>530</v>
      </c>
      <c r="L32" s="4" t="s">
        <v>532</v>
      </c>
      <c r="M32" s="4" t="s">
        <v>533</v>
      </c>
      <c r="N32" s="4" t="s">
        <v>534</v>
      </c>
      <c r="O32" s="4" t="s">
        <v>536</v>
      </c>
      <c r="P32" s="394" t="s">
        <v>216</v>
      </c>
      <c r="R32" s="267"/>
      <c r="S32" s="2"/>
      <c r="T32" s="2"/>
      <c r="U32" s="2"/>
      <c r="V32" s="2"/>
      <c r="W32" s="2"/>
      <c r="X32" s="2"/>
      <c r="Y32" s="2"/>
      <c r="Z32" s="2"/>
    </row>
    <row r="33" spans="1:26" s="235" customFormat="1" x14ac:dyDescent="0.25">
      <c r="A33" s="290"/>
      <c r="B33" s="398"/>
      <c r="C33" s="173"/>
      <c r="D33" s="174"/>
      <c r="E33" s="174" t="s">
        <v>538</v>
      </c>
      <c r="F33" s="174"/>
      <c r="G33" s="174"/>
      <c r="H33" s="395" t="s">
        <v>538</v>
      </c>
      <c r="J33" s="290"/>
      <c r="K33" s="398"/>
      <c r="L33" s="174"/>
      <c r="M33" s="174" t="s">
        <v>538</v>
      </c>
      <c r="N33" s="174"/>
      <c r="O33" s="174"/>
      <c r="P33" s="395" t="s">
        <v>538</v>
      </c>
      <c r="R33" s="267"/>
      <c r="S33" s="2"/>
      <c r="T33" s="2"/>
      <c r="U33" s="2"/>
      <c r="V33" s="2"/>
      <c r="W33" s="2"/>
      <c r="X33" s="2"/>
      <c r="Y33" s="2"/>
      <c r="Z33" s="2"/>
    </row>
    <row r="34" spans="1:26" s="235" customFormat="1" x14ac:dyDescent="0.25">
      <c r="A34" s="290"/>
      <c r="B34" s="399" t="s">
        <v>541</v>
      </c>
      <c r="C34" s="623">
        <v>643.09457370199993</v>
      </c>
      <c r="D34" s="633">
        <v>0.19295200046128508</v>
      </c>
      <c r="E34" s="628">
        <v>872.31973060313373</v>
      </c>
      <c r="F34" s="628">
        <v>1447.264645083593</v>
      </c>
      <c r="G34" s="628">
        <v>574.94491448045926</v>
      </c>
      <c r="H34" s="16">
        <v>15.178545742284125</v>
      </c>
      <c r="J34" s="290"/>
      <c r="K34" s="399" t="s">
        <v>541</v>
      </c>
      <c r="L34" s="633">
        <f>80%*(2/6)</f>
        <v>0.26666666666666666</v>
      </c>
      <c r="M34" s="628">
        <f t="shared" ref="M34:P49" si="2">M5</f>
        <v>1411.1940000000002</v>
      </c>
      <c r="N34" s="628">
        <f t="shared" si="2"/>
        <v>1572.65</v>
      </c>
      <c r="O34" s="628">
        <f t="shared" si="2"/>
        <v>161.45599999999999</v>
      </c>
      <c r="P34" s="16">
        <f t="shared" si="2"/>
        <v>4.2624383999999997</v>
      </c>
      <c r="R34" s="267"/>
      <c r="S34" s="2"/>
      <c r="T34" s="2"/>
      <c r="U34" s="2"/>
      <c r="V34" s="2"/>
      <c r="W34" s="2"/>
      <c r="X34" s="2"/>
      <c r="Y34" s="2"/>
      <c r="Z34" s="2"/>
    </row>
    <row r="35" spans="1:26" s="235" customFormat="1" x14ac:dyDescent="0.25">
      <c r="A35" s="290"/>
      <c r="B35" s="399" t="s">
        <v>543</v>
      </c>
      <c r="C35" s="623">
        <v>131.71816569799998</v>
      </c>
      <c r="D35" s="633">
        <v>3.952028925110658E-2</v>
      </c>
      <c r="E35" s="628">
        <v>739.17600226718719</v>
      </c>
      <c r="F35" s="628">
        <v>1327.4428213875167</v>
      </c>
      <c r="G35" s="628">
        <v>588.2668191203295</v>
      </c>
      <c r="H35" s="16">
        <v>15.5302440247767</v>
      </c>
      <c r="J35" s="290"/>
      <c r="K35" s="399" t="s">
        <v>543</v>
      </c>
      <c r="L35" s="633">
        <f>L6</f>
        <v>0</v>
      </c>
      <c r="M35" s="628">
        <f t="shared" si="2"/>
        <v>0</v>
      </c>
      <c r="N35" s="628">
        <f t="shared" si="2"/>
        <v>0</v>
      </c>
      <c r="O35" s="628">
        <f t="shared" si="2"/>
        <v>0</v>
      </c>
      <c r="P35" s="16">
        <f t="shared" si="2"/>
        <v>0</v>
      </c>
      <c r="R35" s="267"/>
      <c r="S35" s="2"/>
      <c r="T35" s="2"/>
      <c r="U35" s="2"/>
      <c r="V35" s="2"/>
      <c r="W35" s="2"/>
      <c r="X35" s="2"/>
      <c r="Y35" s="2"/>
      <c r="Z35" s="2"/>
    </row>
    <row r="36" spans="1:26" s="235" customFormat="1" x14ac:dyDescent="0.25">
      <c r="A36" s="290"/>
      <c r="B36" s="399" t="s">
        <v>544</v>
      </c>
      <c r="C36" s="623">
        <v>538.09954126085711</v>
      </c>
      <c r="D36" s="633">
        <v>0.16144963303903445</v>
      </c>
      <c r="E36" s="628">
        <v>855.2433536259357</v>
      </c>
      <c r="F36" s="628">
        <v>1455.8552173475225</v>
      </c>
      <c r="G36" s="628">
        <v>600.61186372158681</v>
      </c>
      <c r="H36" s="16">
        <v>15.856153202249894</v>
      </c>
      <c r="J36" s="290"/>
      <c r="K36" s="399" t="s">
        <v>544</v>
      </c>
      <c r="L36" s="633">
        <f t="shared" ref="L36:P51" si="3">L7</f>
        <v>0</v>
      </c>
      <c r="M36" s="628">
        <f t="shared" si="2"/>
        <v>0</v>
      </c>
      <c r="N36" s="628">
        <f t="shared" si="2"/>
        <v>0</v>
      </c>
      <c r="O36" s="628">
        <f t="shared" si="2"/>
        <v>0</v>
      </c>
      <c r="P36" s="16">
        <f t="shared" si="2"/>
        <v>0</v>
      </c>
      <c r="R36" s="267"/>
      <c r="S36" s="2"/>
      <c r="T36" s="2"/>
      <c r="U36" s="2"/>
      <c r="V36" s="2"/>
      <c r="W36" s="2"/>
      <c r="X36" s="2"/>
      <c r="Y36" s="2"/>
      <c r="Z36" s="2"/>
    </row>
    <row r="37" spans="1:26" s="235" customFormat="1" x14ac:dyDescent="0.25">
      <c r="A37" s="290"/>
      <c r="B37" s="399" t="s">
        <v>546</v>
      </c>
      <c r="C37" s="623">
        <v>110.21315905342857</v>
      </c>
      <c r="D37" s="633">
        <v>3.3067997128476939E-2</v>
      </c>
      <c r="E37" s="628">
        <v>706.24882600291608</v>
      </c>
      <c r="F37" s="628">
        <v>1335.2266724622052</v>
      </c>
      <c r="G37" s="628">
        <v>628.97784645928914</v>
      </c>
      <c r="H37" s="16">
        <v>16.605015146525233</v>
      </c>
      <c r="J37" s="290"/>
      <c r="K37" s="399" t="s">
        <v>546</v>
      </c>
      <c r="L37" s="633">
        <f t="shared" si="3"/>
        <v>0</v>
      </c>
      <c r="M37" s="628">
        <f t="shared" si="2"/>
        <v>0</v>
      </c>
      <c r="N37" s="628">
        <f t="shared" si="2"/>
        <v>0</v>
      </c>
      <c r="O37" s="628">
        <f t="shared" si="2"/>
        <v>0</v>
      </c>
      <c r="P37" s="16">
        <f t="shared" si="2"/>
        <v>0</v>
      </c>
      <c r="R37" s="267"/>
      <c r="S37" s="2"/>
      <c r="T37" s="2"/>
      <c r="U37" s="2"/>
      <c r="V37" s="2"/>
      <c r="W37" s="2"/>
      <c r="X37" s="2"/>
      <c r="Y37" s="2"/>
      <c r="Z37" s="2"/>
    </row>
    <row r="38" spans="1:26" s="235" customFormat="1" x14ac:dyDescent="0.25">
      <c r="A38" s="290"/>
      <c r="B38" s="399" t="s">
        <v>548</v>
      </c>
      <c r="C38" s="623">
        <v>131.24379055142856</v>
      </c>
      <c r="D38" s="633">
        <v>3.9377959277813276E-2</v>
      </c>
      <c r="E38" s="628">
        <v>854.29821481940292</v>
      </c>
      <c r="F38" s="628">
        <v>1447.0119811934774</v>
      </c>
      <c r="G38" s="628">
        <v>592.71376637407445</v>
      </c>
      <c r="H38" s="16">
        <v>15.647643432275565</v>
      </c>
      <c r="J38" s="290"/>
      <c r="K38" s="399" t="s">
        <v>548</v>
      </c>
      <c r="L38" s="633">
        <f t="shared" si="3"/>
        <v>0</v>
      </c>
      <c r="M38" s="628">
        <f t="shared" si="2"/>
        <v>0</v>
      </c>
      <c r="N38" s="628">
        <f t="shared" si="2"/>
        <v>0</v>
      </c>
      <c r="O38" s="628">
        <f t="shared" si="2"/>
        <v>0</v>
      </c>
      <c r="P38" s="16">
        <f t="shared" si="2"/>
        <v>0</v>
      </c>
      <c r="R38" s="267"/>
      <c r="S38" s="2"/>
      <c r="T38" s="2"/>
      <c r="U38" s="2"/>
      <c r="V38" s="2"/>
      <c r="W38" s="2"/>
      <c r="X38" s="2"/>
      <c r="Y38" s="2"/>
      <c r="Z38" s="2"/>
    </row>
    <row r="39" spans="1:26" s="235" customFormat="1" x14ac:dyDescent="0.25">
      <c r="A39" s="290"/>
      <c r="B39" s="399" t="s">
        <v>549</v>
      </c>
      <c r="C39" s="623">
        <v>26.881258305714283</v>
      </c>
      <c r="D39" s="633">
        <v>8.0653651532870563E-3</v>
      </c>
      <c r="E39" s="628">
        <v>708.96660030279975</v>
      </c>
      <c r="F39" s="628">
        <v>1327.2138845912025</v>
      </c>
      <c r="G39" s="628">
        <v>618.24728428840274</v>
      </c>
      <c r="H39" s="16">
        <v>16.321728305213831</v>
      </c>
      <c r="J39" s="290"/>
      <c r="K39" s="399" t="s">
        <v>549</v>
      </c>
      <c r="L39" s="633">
        <f t="shared" si="3"/>
        <v>0</v>
      </c>
      <c r="M39" s="628">
        <f t="shared" si="2"/>
        <v>0</v>
      </c>
      <c r="N39" s="628">
        <f t="shared" si="2"/>
        <v>0</v>
      </c>
      <c r="O39" s="628">
        <f t="shared" si="2"/>
        <v>0</v>
      </c>
      <c r="P39" s="16">
        <f t="shared" si="2"/>
        <v>0</v>
      </c>
      <c r="R39" s="267"/>
      <c r="S39" s="2"/>
      <c r="T39" s="2"/>
      <c r="U39" s="2"/>
      <c r="V39" s="2"/>
      <c r="W39" s="2"/>
      <c r="X39" s="2"/>
      <c r="Y39" s="2"/>
      <c r="Z39" s="2"/>
    </row>
    <row r="40" spans="1:26" s="235" customFormat="1" x14ac:dyDescent="0.25">
      <c r="B40" s="399" t="s">
        <v>551</v>
      </c>
      <c r="C40" s="623">
        <v>48.90465428571428</v>
      </c>
      <c r="D40" s="633">
        <v>1.4673193123020721E-2</v>
      </c>
      <c r="E40" s="628">
        <v>711.17360759021471</v>
      </c>
      <c r="F40" s="628">
        <v>1160.6394715928743</v>
      </c>
      <c r="G40" s="628">
        <v>449.46586400265966</v>
      </c>
      <c r="H40" s="16">
        <v>8.9893172800531929</v>
      </c>
      <c r="K40" s="399" t="s">
        <v>551</v>
      </c>
      <c r="L40" s="633">
        <f>20%*(2/6)</f>
        <v>6.6666666666666666E-2</v>
      </c>
      <c r="M40" s="628">
        <f t="shared" si="2"/>
        <v>832.12625000000003</v>
      </c>
      <c r="N40" s="628">
        <f t="shared" si="2"/>
        <v>1059.6500000000001</v>
      </c>
      <c r="O40" s="628">
        <f t="shared" si="2"/>
        <v>227.52375000000001</v>
      </c>
      <c r="P40" s="16">
        <f t="shared" si="2"/>
        <v>4.5504750000000005</v>
      </c>
      <c r="R40" s="267"/>
      <c r="S40" s="2"/>
      <c r="T40" s="2"/>
      <c r="U40" s="2"/>
      <c r="V40" s="2"/>
      <c r="W40" s="2"/>
      <c r="X40" s="2"/>
      <c r="Y40" s="2"/>
      <c r="Z40" s="2"/>
    </row>
    <row r="41" spans="1:26" s="235" customFormat="1" x14ac:dyDescent="0.25">
      <c r="B41" s="399" t="s">
        <v>552</v>
      </c>
      <c r="C41" s="623">
        <v>175.57064285714287</v>
      </c>
      <c r="D41" s="633">
        <v>5.2677643610871905E-2</v>
      </c>
      <c r="E41" s="628">
        <v>700.96031757456615</v>
      </c>
      <c r="F41" s="628">
        <v>1135.4003013670419</v>
      </c>
      <c r="G41" s="628">
        <v>434.4399837924758</v>
      </c>
      <c r="H41" s="16">
        <v>11.469215572121362</v>
      </c>
      <c r="K41" s="399" t="s">
        <v>552</v>
      </c>
      <c r="L41" s="633">
        <v>0</v>
      </c>
      <c r="M41" s="628">
        <f t="shared" si="2"/>
        <v>825.53700000000003</v>
      </c>
      <c r="N41" s="628">
        <f t="shared" si="2"/>
        <v>990.72</v>
      </c>
      <c r="O41" s="628">
        <f t="shared" si="2"/>
        <v>165.18299999999999</v>
      </c>
      <c r="P41" s="16">
        <f t="shared" si="2"/>
        <v>4.3608311999999998</v>
      </c>
      <c r="R41" s="267"/>
      <c r="S41" s="2"/>
      <c r="T41" s="2"/>
      <c r="U41" s="2"/>
      <c r="V41" s="2"/>
      <c r="W41" s="2"/>
      <c r="X41" s="2"/>
      <c r="Y41" s="2"/>
      <c r="Z41" s="2"/>
    </row>
    <row r="42" spans="1:26" s="235" customFormat="1" x14ac:dyDescent="0.25">
      <c r="B42" s="399" t="s">
        <v>554</v>
      </c>
      <c r="C42" s="623">
        <v>175.57064285714287</v>
      </c>
      <c r="D42" s="633">
        <v>5.2677643610871905E-2</v>
      </c>
      <c r="E42" s="628">
        <v>810.16895307672246</v>
      </c>
      <c r="F42" s="628">
        <v>1208.1801063777216</v>
      </c>
      <c r="G42" s="628">
        <v>398.01115330099913</v>
      </c>
      <c r="H42" s="16">
        <v>10.507494447146378</v>
      </c>
      <c r="K42" s="399" t="s">
        <v>554</v>
      </c>
      <c r="L42" s="633">
        <f t="shared" si="3"/>
        <v>0</v>
      </c>
      <c r="M42" s="628">
        <f t="shared" si="2"/>
        <v>0</v>
      </c>
      <c r="N42" s="628">
        <f t="shared" si="2"/>
        <v>0</v>
      </c>
      <c r="O42" s="628">
        <f t="shared" si="2"/>
        <v>0</v>
      </c>
      <c r="P42" s="16">
        <f t="shared" si="2"/>
        <v>0</v>
      </c>
      <c r="R42" s="267"/>
      <c r="S42" s="2"/>
      <c r="T42" s="2"/>
      <c r="U42" s="2"/>
      <c r="V42" s="2"/>
      <c r="W42" s="2"/>
      <c r="X42" s="2"/>
      <c r="Y42" s="2"/>
      <c r="Z42" s="2"/>
    </row>
    <row r="43" spans="1:26" s="235" customFormat="1" x14ac:dyDescent="0.25">
      <c r="B43" s="399" t="s">
        <v>555</v>
      </c>
      <c r="C43" s="623">
        <v>23.881657142857147</v>
      </c>
      <c r="D43" s="633">
        <v>7.1653745941574467E-3</v>
      </c>
      <c r="E43" s="628">
        <v>613.79199471547327</v>
      </c>
      <c r="F43" s="628">
        <v>970.13414414183239</v>
      </c>
      <c r="G43" s="628">
        <v>356.34214942635913</v>
      </c>
      <c r="H43" s="16">
        <v>7.1268429885271827</v>
      </c>
      <c r="K43" s="399" t="s">
        <v>555</v>
      </c>
      <c r="L43" s="633">
        <v>0</v>
      </c>
      <c r="M43" s="628">
        <f t="shared" si="2"/>
        <v>825.6880000000001</v>
      </c>
      <c r="N43" s="628">
        <f t="shared" si="2"/>
        <v>989.22</v>
      </c>
      <c r="O43" s="628">
        <f t="shared" si="2"/>
        <v>163.53199999999998</v>
      </c>
      <c r="P43" s="16">
        <f t="shared" si="2"/>
        <v>3.2706399999999998</v>
      </c>
      <c r="R43" s="267"/>
      <c r="S43" s="2"/>
      <c r="T43" s="2"/>
      <c r="U43" s="2"/>
      <c r="V43" s="2"/>
      <c r="W43" s="2"/>
      <c r="X43" s="2"/>
      <c r="Y43" s="2"/>
      <c r="Z43" s="2"/>
    </row>
    <row r="44" spans="1:26" s="235" customFormat="1" x14ac:dyDescent="0.25">
      <c r="B44" s="399" t="s">
        <v>557</v>
      </c>
      <c r="C44" s="623">
        <v>453.75148571428571</v>
      </c>
      <c r="D44" s="633">
        <v>0.13614211728899145</v>
      </c>
      <c r="E44" s="628">
        <v>769.30352713738796</v>
      </c>
      <c r="F44" s="628">
        <v>1099.1028143523129</v>
      </c>
      <c r="G44" s="628">
        <v>329.7992872149249</v>
      </c>
      <c r="H44" s="16">
        <v>6.5959857442984982</v>
      </c>
      <c r="K44" s="399" t="s">
        <v>557</v>
      </c>
      <c r="L44" s="633">
        <f t="shared" si="3"/>
        <v>0</v>
      </c>
      <c r="M44" s="628">
        <f t="shared" si="2"/>
        <v>0</v>
      </c>
      <c r="N44" s="628">
        <f t="shared" si="2"/>
        <v>0</v>
      </c>
      <c r="O44" s="628">
        <f t="shared" si="2"/>
        <v>0</v>
      </c>
      <c r="P44" s="16">
        <f t="shared" si="2"/>
        <v>0</v>
      </c>
      <c r="R44" s="267"/>
      <c r="S44" s="2"/>
      <c r="T44" s="2"/>
      <c r="U44" s="2"/>
      <c r="V44" s="2"/>
      <c r="W44" s="2"/>
      <c r="X44" s="2"/>
      <c r="Y44" s="2"/>
      <c r="Z44" s="2"/>
    </row>
    <row r="45" spans="1:26" s="235" customFormat="1" x14ac:dyDescent="0.25">
      <c r="B45" s="399" t="s">
        <v>558</v>
      </c>
      <c r="C45" s="623">
        <v>124.49</v>
      </c>
      <c r="D45" s="633">
        <v>3.735157396702922E-2</v>
      </c>
      <c r="E45" s="628">
        <v>546.72660107878403</v>
      </c>
      <c r="F45" s="628">
        <v>915.65679849758544</v>
      </c>
      <c r="G45" s="628">
        <v>368.93019741880141</v>
      </c>
      <c r="H45" s="16">
        <v>9.7397572118563573</v>
      </c>
      <c r="K45" s="399" t="s">
        <v>558</v>
      </c>
      <c r="L45" s="633">
        <f t="shared" si="3"/>
        <v>0</v>
      </c>
      <c r="M45" s="628">
        <f t="shared" si="2"/>
        <v>922.76220000000012</v>
      </c>
      <c r="N45" s="628">
        <f t="shared" si="2"/>
        <v>1073.8800000000001</v>
      </c>
      <c r="O45" s="628">
        <f t="shared" si="2"/>
        <v>151.11779999999999</v>
      </c>
      <c r="P45" s="16">
        <f t="shared" si="2"/>
        <v>3.0223559999999998</v>
      </c>
      <c r="R45" s="267"/>
      <c r="S45" s="2"/>
      <c r="T45" s="2"/>
      <c r="U45" s="2"/>
      <c r="V45" s="2"/>
      <c r="W45" s="2"/>
      <c r="X45" s="2"/>
      <c r="Y45" s="2"/>
      <c r="Z45" s="2"/>
    </row>
    <row r="46" spans="1:26" s="235" customFormat="1" x14ac:dyDescent="0.25">
      <c r="B46" s="399" t="s">
        <v>561</v>
      </c>
      <c r="C46" s="623"/>
      <c r="D46" s="633"/>
      <c r="E46" s="628"/>
      <c r="F46" s="628"/>
      <c r="G46" s="628"/>
      <c r="H46" s="16"/>
      <c r="K46" s="399" t="s">
        <v>561</v>
      </c>
      <c r="L46" s="633">
        <f t="shared" si="3"/>
        <v>0</v>
      </c>
      <c r="M46" s="628">
        <f t="shared" si="2"/>
        <v>939.90000000000009</v>
      </c>
      <c r="N46" s="634">
        <f t="shared" si="2"/>
        <v>0</v>
      </c>
      <c r="O46" s="634">
        <f t="shared" si="2"/>
        <v>0</v>
      </c>
      <c r="P46" s="635">
        <f t="shared" si="2"/>
        <v>0</v>
      </c>
      <c r="R46" s="267"/>
      <c r="S46" s="2"/>
      <c r="T46" s="2"/>
      <c r="U46" s="2"/>
      <c r="V46" s="2"/>
      <c r="W46" s="2"/>
      <c r="X46" s="2"/>
      <c r="Y46" s="2"/>
      <c r="Z46" s="2"/>
    </row>
    <row r="47" spans="1:26" s="235" customFormat="1" x14ac:dyDescent="0.25">
      <c r="B47" s="399" t="s">
        <v>562</v>
      </c>
      <c r="C47" s="623">
        <v>519.13571428571424</v>
      </c>
      <c r="D47" s="633">
        <v>0.15575978818434738</v>
      </c>
      <c r="E47" s="628">
        <v>741.65109138717662</v>
      </c>
      <c r="F47" s="628">
        <v>1201.165639084739</v>
      </c>
      <c r="G47" s="628">
        <v>459.51454769756236</v>
      </c>
      <c r="H47" s="16">
        <v>12.131184059215649</v>
      </c>
      <c r="K47" s="399" t="s">
        <v>562</v>
      </c>
      <c r="L47" s="633">
        <f t="shared" si="3"/>
        <v>0</v>
      </c>
      <c r="M47" s="628">
        <f t="shared" si="2"/>
        <v>0</v>
      </c>
      <c r="N47" s="628">
        <f t="shared" si="2"/>
        <v>0</v>
      </c>
      <c r="O47" s="628">
        <f t="shared" si="2"/>
        <v>0</v>
      </c>
      <c r="P47" s="16">
        <f t="shared" si="2"/>
        <v>0</v>
      </c>
      <c r="R47" s="267"/>
      <c r="S47" s="2"/>
      <c r="T47" s="2"/>
      <c r="U47" s="2"/>
      <c r="V47" s="2"/>
      <c r="W47" s="2"/>
      <c r="X47" s="2"/>
      <c r="Y47" s="2"/>
      <c r="Z47" s="2"/>
    </row>
    <row r="48" spans="1:26" s="235" customFormat="1" x14ac:dyDescent="0.25">
      <c r="B48" s="399" t="s">
        <v>565</v>
      </c>
      <c r="C48" s="623">
        <v>8.9548571428571417</v>
      </c>
      <c r="D48" s="633">
        <v>2.6867861590136439E-3</v>
      </c>
      <c r="E48" s="628">
        <v>492.19927478742193</v>
      </c>
      <c r="F48" s="628">
        <v>780.7576654050805</v>
      </c>
      <c r="G48" s="628">
        <v>288.55839061765857</v>
      </c>
      <c r="H48" s="16">
        <v>5.7711678123531716</v>
      </c>
      <c r="K48" s="399" t="s">
        <v>565</v>
      </c>
      <c r="L48" s="633">
        <f t="shared" si="3"/>
        <v>0</v>
      </c>
      <c r="M48" s="628">
        <f t="shared" si="2"/>
        <v>0</v>
      </c>
      <c r="N48" s="628">
        <f t="shared" si="2"/>
        <v>0</v>
      </c>
      <c r="O48" s="628">
        <f t="shared" si="2"/>
        <v>0</v>
      </c>
      <c r="P48" s="16">
        <f t="shared" si="2"/>
        <v>0</v>
      </c>
      <c r="R48" s="267"/>
      <c r="S48" s="2"/>
      <c r="T48" s="2"/>
      <c r="U48" s="2"/>
      <c r="V48" s="2"/>
      <c r="W48" s="2"/>
      <c r="X48" s="2"/>
      <c r="Y48" s="2"/>
      <c r="Z48" s="2"/>
    </row>
    <row r="49" spans="1:26" s="235" customFormat="1" x14ac:dyDescent="0.25">
      <c r="B49" s="399" t="s">
        <v>563</v>
      </c>
      <c r="C49" s="623">
        <v>47.277471428571445</v>
      </c>
      <c r="D49" s="633">
        <v>1.4184978480507648E-2</v>
      </c>
      <c r="E49" s="628">
        <v>458.47682163236431</v>
      </c>
      <c r="F49" s="628">
        <v>738.73275000000001</v>
      </c>
      <c r="G49" s="628">
        <v>280.2559283676357</v>
      </c>
      <c r="H49" s="16">
        <v>7.3987565089055831</v>
      </c>
      <c r="K49" s="399" t="s">
        <v>563</v>
      </c>
      <c r="L49" s="633">
        <f t="shared" si="3"/>
        <v>4.1666666666666664E-2</v>
      </c>
      <c r="M49" s="628">
        <f t="shared" si="2"/>
        <v>923.06000000000017</v>
      </c>
      <c r="N49" s="628">
        <f t="shared" si="2"/>
        <v>1139.6000000000001</v>
      </c>
      <c r="O49" s="628">
        <f t="shared" si="2"/>
        <v>216.54000000000002</v>
      </c>
      <c r="P49" s="16">
        <f t="shared" si="2"/>
        <v>5.7166560000000004</v>
      </c>
      <c r="R49" s="267"/>
      <c r="S49" s="2"/>
      <c r="T49" s="2"/>
      <c r="U49" s="2"/>
      <c r="V49" s="2"/>
      <c r="W49" s="2"/>
      <c r="X49" s="2"/>
      <c r="Y49" s="2"/>
      <c r="Z49" s="2"/>
    </row>
    <row r="50" spans="1:26" s="235" customFormat="1" x14ac:dyDescent="0.25">
      <c r="B50" s="399" t="s">
        <v>566</v>
      </c>
      <c r="C50" s="623">
        <v>55.157049999999991</v>
      </c>
      <c r="D50" s="633">
        <v>1.654914156059225E-2</v>
      </c>
      <c r="E50" s="628">
        <v>401.65884424105991</v>
      </c>
      <c r="F50" s="628">
        <v>679.21579999999994</v>
      </c>
      <c r="G50" s="628">
        <v>277.55695575894003</v>
      </c>
      <c r="H50" s="16">
        <v>5.5511391151788008</v>
      </c>
      <c r="K50" s="399" t="s">
        <v>566</v>
      </c>
      <c r="L50" s="633">
        <f t="shared" si="3"/>
        <v>4.1666666666666664E-2</v>
      </c>
      <c r="M50" s="628">
        <f t="shared" si="3"/>
        <v>273.82</v>
      </c>
      <c r="N50" s="628">
        <f t="shared" si="3"/>
        <v>496.32</v>
      </c>
      <c r="O50" s="628">
        <f t="shared" si="3"/>
        <v>222.5</v>
      </c>
      <c r="P50" s="16">
        <f t="shared" si="3"/>
        <v>5.8739999999999997</v>
      </c>
      <c r="R50" s="267"/>
      <c r="S50" s="2"/>
      <c r="T50" s="2"/>
      <c r="U50" s="2"/>
      <c r="V50" s="2"/>
      <c r="W50" s="2"/>
      <c r="X50" s="2"/>
      <c r="Y50" s="2"/>
      <c r="Z50" s="2"/>
    </row>
    <row r="51" spans="1:26" s="235" customFormat="1" x14ac:dyDescent="0.25">
      <c r="B51" s="399" t="s">
        <v>569</v>
      </c>
      <c r="C51" s="623">
        <v>55.157049999999991</v>
      </c>
      <c r="D51" s="633">
        <v>1.654914156059225E-2</v>
      </c>
      <c r="E51" s="628">
        <v>391.15779424105995</v>
      </c>
      <c r="F51" s="628">
        <v>668.37725</v>
      </c>
      <c r="G51" s="628">
        <v>277.21945575894006</v>
      </c>
      <c r="H51" s="16">
        <v>5.5443891151788014</v>
      </c>
      <c r="K51" s="399" t="s">
        <v>569</v>
      </c>
      <c r="L51" s="633">
        <f t="shared" si="3"/>
        <v>4.1666666666666664E-2</v>
      </c>
      <c r="M51" s="628">
        <f t="shared" si="3"/>
        <v>428.70000000000005</v>
      </c>
      <c r="N51" s="628">
        <f t="shared" si="3"/>
        <v>651.20000000000005</v>
      </c>
      <c r="O51" s="628">
        <f t="shared" si="3"/>
        <v>222.5</v>
      </c>
      <c r="P51" s="16">
        <f t="shared" si="3"/>
        <v>4.45</v>
      </c>
      <c r="R51" s="267"/>
      <c r="S51" s="2"/>
      <c r="T51" s="2"/>
      <c r="U51" s="2"/>
      <c r="V51" s="2"/>
      <c r="W51" s="2"/>
      <c r="X51" s="2"/>
      <c r="Y51" s="2"/>
      <c r="Z51" s="2"/>
    </row>
    <row r="52" spans="1:26" s="235" customFormat="1" x14ac:dyDescent="0.25">
      <c r="B52" s="399" t="s">
        <v>571</v>
      </c>
      <c r="C52" s="623">
        <v>41.674571428571426</v>
      </c>
      <c r="D52" s="633">
        <v>1.2503902620760931E-2</v>
      </c>
      <c r="E52" s="628">
        <v>403.45787504896191</v>
      </c>
      <c r="F52" s="628">
        <v>692.51666666666654</v>
      </c>
      <c r="G52" s="628">
        <v>289.05879161770463</v>
      </c>
      <c r="H52" s="16">
        <v>5.7811758323540925</v>
      </c>
      <c r="K52" s="399" t="s">
        <v>568</v>
      </c>
      <c r="L52" s="633">
        <f t="shared" ref="L52:P55" si="4">L23</f>
        <v>4.1666666666666664E-2</v>
      </c>
      <c r="M52" s="628">
        <f t="shared" si="4"/>
        <v>507.599079975</v>
      </c>
      <c r="N52" s="628">
        <f t="shared" si="4"/>
        <v>770</v>
      </c>
      <c r="O52" s="628">
        <f t="shared" si="4"/>
        <v>262.400920025</v>
      </c>
      <c r="P52" s="16">
        <f t="shared" si="4"/>
        <v>5.2480184005000003</v>
      </c>
      <c r="R52" s="267"/>
      <c r="S52" s="2"/>
      <c r="T52" s="2"/>
      <c r="U52" s="2"/>
      <c r="V52" s="2"/>
      <c r="W52" s="2"/>
      <c r="X52" s="2"/>
      <c r="Y52" s="2"/>
      <c r="Z52" s="2"/>
    </row>
    <row r="53" spans="1:26" s="235" customFormat="1" x14ac:dyDescent="0.25">
      <c r="A53" s="290"/>
      <c r="B53" s="399" t="s">
        <v>574</v>
      </c>
      <c r="C53" s="623">
        <v>4.7142857142857144</v>
      </c>
      <c r="D53" s="633">
        <v>1.4144589248843446E-3</v>
      </c>
      <c r="E53" s="628">
        <v>479.5150856389987</v>
      </c>
      <c r="F53" s="628">
        <v>700</v>
      </c>
      <c r="G53" s="628">
        <v>220.48491436100133</v>
      </c>
      <c r="H53" s="16">
        <v>4.409698287220027</v>
      </c>
      <c r="K53" s="399" t="s">
        <v>574</v>
      </c>
      <c r="L53" s="633">
        <f t="shared" si="4"/>
        <v>0</v>
      </c>
      <c r="M53" s="628">
        <f t="shared" si="4"/>
        <v>0</v>
      </c>
      <c r="N53" s="628">
        <f t="shared" si="4"/>
        <v>0</v>
      </c>
      <c r="O53" s="628">
        <f t="shared" si="4"/>
        <v>0</v>
      </c>
      <c r="P53" s="16">
        <f t="shared" si="4"/>
        <v>0</v>
      </c>
      <c r="R53" s="267"/>
      <c r="S53" s="2"/>
      <c r="T53" s="2"/>
      <c r="U53" s="2"/>
      <c r="V53" s="2"/>
      <c r="W53" s="2"/>
      <c r="X53" s="2"/>
      <c r="Y53" s="2"/>
      <c r="Z53" s="2"/>
    </row>
    <row r="54" spans="1:26" s="235" customFormat="1" x14ac:dyDescent="0.25">
      <c r="A54" s="290"/>
      <c r="B54" s="399" t="s">
        <v>575</v>
      </c>
      <c r="C54" s="623">
        <v>17.434571428571427</v>
      </c>
      <c r="D54" s="633">
        <v>5.2310120033556111E-3</v>
      </c>
      <c r="E54" s="628">
        <v>633.01073781291166</v>
      </c>
      <c r="F54" s="628">
        <v>900</v>
      </c>
      <c r="G54" s="628">
        <v>266.98926218708829</v>
      </c>
      <c r="H54" s="16">
        <v>7.0485165217391303</v>
      </c>
      <c r="K54" s="399" t="s">
        <v>575</v>
      </c>
      <c r="L54" s="633">
        <f t="shared" si="4"/>
        <v>0</v>
      </c>
      <c r="M54" s="628">
        <f t="shared" si="4"/>
        <v>0</v>
      </c>
      <c r="N54" s="628">
        <f t="shared" si="4"/>
        <v>0</v>
      </c>
      <c r="O54" s="628">
        <f t="shared" si="4"/>
        <v>0</v>
      </c>
      <c r="P54" s="16">
        <f t="shared" si="4"/>
        <v>0</v>
      </c>
      <c r="R54" s="267"/>
      <c r="S54" s="2"/>
      <c r="T54" s="2"/>
      <c r="U54" s="2"/>
      <c r="V54" s="2"/>
      <c r="W54" s="2"/>
      <c r="X54" s="2"/>
      <c r="Y54" s="2"/>
      <c r="Z54" s="2"/>
    </row>
    <row r="55" spans="1:26" s="235" customFormat="1" x14ac:dyDescent="0.25">
      <c r="A55" s="290"/>
      <c r="B55" s="399" t="s">
        <v>576</v>
      </c>
      <c r="C55" s="623"/>
      <c r="D55" s="633"/>
      <c r="E55" s="628"/>
      <c r="F55" s="628"/>
      <c r="G55" s="628"/>
      <c r="H55" s="16"/>
      <c r="K55" s="399" t="s">
        <v>576</v>
      </c>
      <c r="L55" s="633">
        <v>0.5</v>
      </c>
      <c r="M55" s="628">
        <f t="shared" si="4"/>
        <v>0</v>
      </c>
      <c r="N55" s="628">
        <f t="shared" si="4"/>
        <v>0</v>
      </c>
      <c r="O55" s="628">
        <f t="shared" si="4"/>
        <v>125.66500000000001</v>
      </c>
      <c r="P55" s="16">
        <f t="shared" si="4"/>
        <v>2.5133000000000001</v>
      </c>
      <c r="R55" s="267"/>
      <c r="S55" s="2"/>
      <c r="T55" s="2"/>
      <c r="U55" s="2"/>
      <c r="V55" s="2"/>
      <c r="W55" s="2"/>
      <c r="X55" s="2"/>
      <c r="Y55" s="2"/>
      <c r="Z55" s="2"/>
    </row>
    <row r="56" spans="1:26" s="235" customFormat="1" ht="11" thickBot="1" x14ac:dyDescent="0.3">
      <c r="B56" s="400" t="s">
        <v>246</v>
      </c>
      <c r="C56" s="631">
        <v>3332.9251428571424</v>
      </c>
      <c r="D56" s="632">
        <v>1.0000000000000004</v>
      </c>
      <c r="E56" s="629">
        <v>763.41162645513634</v>
      </c>
      <c r="F56" s="629">
        <v>1246.1989443760331</v>
      </c>
      <c r="G56" s="629">
        <v>482.78731792089673</v>
      </c>
      <c r="H56" s="630">
        <v>12.310829381613869</v>
      </c>
      <c r="K56" s="400" t="s">
        <v>246</v>
      </c>
      <c r="L56" s="632">
        <f>SUM(L34:L55)</f>
        <v>1</v>
      </c>
      <c r="M56" s="629">
        <f>SUMPRODUCT($L$34:$L$55,M34:M55)</f>
        <v>520.67594499895836</v>
      </c>
      <c r="N56" s="629">
        <f>SUMPRODUCT($L$34:$L$55,N34:N55)</f>
        <v>617.39666666666665</v>
      </c>
      <c r="O56" s="629">
        <f>SUMPRODUCT($L$34:$L$55,O34:O55)</f>
        <v>159.55322166770833</v>
      </c>
      <c r="P56" s="630">
        <f>SUMPRODUCT($L$34:$L$55,P34:P55)</f>
        <v>3.5836933400208335</v>
      </c>
      <c r="R56" s="267"/>
      <c r="S56" s="2"/>
      <c r="T56" s="2"/>
      <c r="U56" s="2"/>
      <c r="V56" s="2"/>
      <c r="W56" s="2"/>
      <c r="X56" s="2"/>
      <c r="Y56" s="2"/>
      <c r="Z56" s="2"/>
    </row>
    <row r="57" spans="1:26" s="235" customFormat="1" x14ac:dyDescent="0.25">
      <c r="A57" s="290"/>
      <c r="R57" s="267"/>
      <c r="S57" s="2"/>
      <c r="T57" s="2"/>
      <c r="U57" s="2"/>
      <c r="V57" s="2"/>
      <c r="W57" s="2"/>
      <c r="X57" s="2"/>
      <c r="Y57" s="2"/>
      <c r="Z57" s="2"/>
    </row>
    <row r="58" spans="1:26" s="235" customFormat="1" x14ac:dyDescent="0.25">
      <c r="A58" s="290"/>
      <c r="R58" s="267"/>
      <c r="S58" s="2"/>
      <c r="T58" s="2"/>
      <c r="U58" s="2"/>
      <c r="V58" s="2"/>
      <c r="W58" s="2"/>
      <c r="X58" s="2"/>
      <c r="Y58" s="2"/>
      <c r="Z58" s="2"/>
    </row>
    <row r="59" spans="1:26" s="235" customFormat="1" ht="11" thickBot="1" x14ac:dyDescent="0.3">
      <c r="A59" s="290"/>
      <c r="R59" s="267"/>
      <c r="S59" s="2"/>
      <c r="T59" s="2"/>
      <c r="U59" s="2"/>
      <c r="V59" s="2"/>
      <c r="W59" s="2"/>
      <c r="X59" s="2"/>
      <c r="Y59" s="2"/>
      <c r="Z59" s="2"/>
    </row>
    <row r="60" spans="1:26" s="235" customFormat="1" ht="21" customHeight="1" x14ac:dyDescent="0.25">
      <c r="A60" s="290"/>
      <c r="K60" s="396" t="s">
        <v>528</v>
      </c>
      <c r="L60" s="1494" t="s">
        <v>74</v>
      </c>
      <c r="M60" s="1495"/>
      <c r="N60" s="1495"/>
      <c r="O60" s="1495"/>
      <c r="P60" s="1496"/>
      <c r="R60" s="349" t="s">
        <v>578</v>
      </c>
      <c r="S60" s="2"/>
      <c r="T60" s="2"/>
      <c r="U60" s="2"/>
      <c r="V60" s="2"/>
      <c r="W60" s="2"/>
      <c r="X60" s="2"/>
      <c r="Y60" s="2"/>
      <c r="Z60" s="2"/>
    </row>
    <row r="61" spans="1:26" s="235" customFormat="1" ht="31.5" x14ac:dyDescent="0.25">
      <c r="A61" s="290"/>
      <c r="K61" s="397" t="s">
        <v>530</v>
      </c>
      <c r="L61" s="917" t="s">
        <v>532</v>
      </c>
      <c r="M61" s="4" t="s">
        <v>533</v>
      </c>
      <c r="N61" s="4" t="s">
        <v>534</v>
      </c>
      <c r="O61" s="4" t="s">
        <v>536</v>
      </c>
      <c r="P61" s="394" t="s">
        <v>216</v>
      </c>
      <c r="R61" s="267"/>
      <c r="S61" s="2"/>
      <c r="T61" s="2"/>
      <c r="U61" s="2"/>
      <c r="V61" s="2"/>
      <c r="W61" s="2"/>
      <c r="X61" s="2"/>
      <c r="Y61" s="2"/>
      <c r="Z61" s="2"/>
    </row>
    <row r="62" spans="1:26" s="235" customFormat="1" x14ac:dyDescent="0.25">
      <c r="A62" s="290"/>
      <c r="K62" s="398"/>
      <c r="L62" s="918"/>
      <c r="M62" s="174" t="s">
        <v>538</v>
      </c>
      <c r="N62" s="174"/>
      <c r="O62" s="174"/>
      <c r="P62" s="395" t="s">
        <v>538</v>
      </c>
      <c r="R62" s="267"/>
      <c r="S62" s="2"/>
      <c r="T62" s="2"/>
      <c r="U62" s="2"/>
      <c r="V62" s="2"/>
      <c r="W62" s="2"/>
      <c r="X62" s="2"/>
      <c r="Y62" s="2"/>
      <c r="Z62" s="2"/>
    </row>
    <row r="63" spans="1:26" s="235" customFormat="1" x14ac:dyDescent="0.25">
      <c r="K63" s="399" t="s">
        <v>552</v>
      </c>
      <c r="L63" s="838">
        <f>1/2*50%</f>
        <v>0.25</v>
      </c>
      <c r="M63" s="628">
        <f>M41</f>
        <v>825.53700000000003</v>
      </c>
      <c r="N63" s="628">
        <f>N41</f>
        <v>990.72</v>
      </c>
      <c r="O63" s="628">
        <f>O41</f>
        <v>165.18299999999999</v>
      </c>
      <c r="P63" s="861">
        <f>P41</f>
        <v>4.3608311999999998</v>
      </c>
      <c r="R63" s="267"/>
      <c r="S63" s="2"/>
      <c r="T63" s="2"/>
      <c r="U63" s="2"/>
      <c r="V63" s="2"/>
      <c r="W63" s="2"/>
      <c r="X63" s="2"/>
      <c r="Y63" s="2"/>
      <c r="Z63" s="2"/>
    </row>
    <row r="64" spans="1:26" s="235" customFormat="1" x14ac:dyDescent="0.25">
      <c r="K64" s="399" t="s">
        <v>555</v>
      </c>
      <c r="L64" s="838">
        <v>0.25</v>
      </c>
      <c r="M64" s="628">
        <f>M43</f>
        <v>825.6880000000001</v>
      </c>
      <c r="N64" s="628">
        <f>N43</f>
        <v>989.22</v>
      </c>
      <c r="O64" s="628">
        <f>O43</f>
        <v>163.53199999999998</v>
      </c>
      <c r="P64" s="861">
        <f>P43</f>
        <v>3.2706399999999998</v>
      </c>
      <c r="R64" s="267"/>
      <c r="S64" s="2"/>
      <c r="T64" s="2"/>
      <c r="U64" s="2"/>
      <c r="V64" s="2"/>
      <c r="W64" s="2"/>
      <c r="X64" s="2"/>
      <c r="Y64" s="2"/>
      <c r="Z64" s="2"/>
    </row>
    <row r="65" spans="2:26" s="235" customFormat="1" x14ac:dyDescent="0.25">
      <c r="K65" s="399" t="s">
        <v>563</v>
      </c>
      <c r="L65" s="838">
        <f>1/4*50%</f>
        <v>0.125</v>
      </c>
      <c r="M65" s="628">
        <f t="shared" ref="M65:P68" si="5">M49</f>
        <v>923.06000000000017</v>
      </c>
      <c r="N65" s="628">
        <f t="shared" si="5"/>
        <v>1139.6000000000001</v>
      </c>
      <c r="O65" s="628">
        <f t="shared" si="5"/>
        <v>216.54000000000002</v>
      </c>
      <c r="P65" s="861">
        <f t="shared" si="5"/>
        <v>5.7166560000000004</v>
      </c>
      <c r="R65" s="267"/>
      <c r="S65" s="2"/>
      <c r="T65" s="2"/>
      <c r="U65" s="2"/>
      <c r="V65" s="2"/>
      <c r="W65" s="2"/>
      <c r="X65" s="2"/>
      <c r="Y65" s="2"/>
      <c r="Z65" s="2"/>
    </row>
    <row r="66" spans="2:26" s="235" customFormat="1" x14ac:dyDescent="0.25">
      <c r="K66" s="399" t="s">
        <v>566</v>
      </c>
      <c r="L66" s="838">
        <f t="shared" ref="L66:L68" si="6">1/4*50%</f>
        <v>0.125</v>
      </c>
      <c r="M66" s="628">
        <f t="shared" si="5"/>
        <v>273.82</v>
      </c>
      <c r="N66" s="628">
        <f t="shared" si="5"/>
        <v>496.32</v>
      </c>
      <c r="O66" s="628">
        <f t="shared" si="5"/>
        <v>222.5</v>
      </c>
      <c r="P66" s="861">
        <f t="shared" si="5"/>
        <v>5.8739999999999997</v>
      </c>
      <c r="R66" s="267"/>
      <c r="S66" s="2"/>
      <c r="T66" s="2"/>
      <c r="U66" s="2"/>
      <c r="V66" s="2"/>
      <c r="W66" s="2"/>
      <c r="X66" s="2"/>
      <c r="Y66" s="2"/>
      <c r="Z66" s="2"/>
    </row>
    <row r="67" spans="2:26" s="235" customFormat="1" x14ac:dyDescent="0.25">
      <c r="K67" s="399" t="s">
        <v>569</v>
      </c>
      <c r="L67" s="838">
        <f t="shared" si="6"/>
        <v>0.125</v>
      </c>
      <c r="M67" s="628">
        <f t="shared" si="5"/>
        <v>428.70000000000005</v>
      </c>
      <c r="N67" s="628">
        <f t="shared" si="5"/>
        <v>651.20000000000005</v>
      </c>
      <c r="O67" s="628">
        <f t="shared" si="5"/>
        <v>222.5</v>
      </c>
      <c r="P67" s="861">
        <f t="shared" si="5"/>
        <v>4.45</v>
      </c>
      <c r="R67" s="267"/>
      <c r="S67" s="2"/>
      <c r="T67" s="2"/>
      <c r="U67" s="2"/>
      <c r="V67" s="2"/>
      <c r="W67" s="2"/>
      <c r="X67" s="2"/>
      <c r="Y67" s="2"/>
      <c r="Z67" s="2"/>
    </row>
    <row r="68" spans="2:26" s="235" customFormat="1" x14ac:dyDescent="0.25">
      <c r="K68" s="399" t="s">
        <v>568</v>
      </c>
      <c r="L68" s="838">
        <f t="shared" si="6"/>
        <v>0.125</v>
      </c>
      <c r="M68" s="628">
        <f t="shared" si="5"/>
        <v>507.599079975</v>
      </c>
      <c r="N68" s="628">
        <f t="shared" si="5"/>
        <v>770</v>
      </c>
      <c r="O68" s="628">
        <f t="shared" si="5"/>
        <v>262.400920025</v>
      </c>
      <c r="P68" s="861">
        <f t="shared" si="5"/>
        <v>5.2480184005000003</v>
      </c>
      <c r="R68" s="267"/>
      <c r="S68" s="2"/>
      <c r="T68" s="2"/>
      <c r="U68" s="2"/>
      <c r="V68" s="2"/>
      <c r="W68" s="2"/>
      <c r="X68" s="2"/>
      <c r="Y68" s="2"/>
      <c r="Z68" s="2"/>
    </row>
    <row r="69" spans="2:26" s="235" customFormat="1" ht="11" thickBot="1" x14ac:dyDescent="0.3">
      <c r="K69" s="400" t="s">
        <v>246</v>
      </c>
      <c r="L69" s="919">
        <f>SUM(L63:L68)</f>
        <v>1</v>
      </c>
      <c r="M69" s="629">
        <f>SUMPRODUCT($L$63:$L$68,M63:M68)</f>
        <v>679.45363499687494</v>
      </c>
      <c r="N69" s="629">
        <f>SUMPRODUCT($L$63:$L$68,N63:N68)</f>
        <v>877.125</v>
      </c>
      <c r="O69" s="629">
        <f>SUMPRODUCT($L$63:$L$68,O63:O68)</f>
        <v>197.671365003125</v>
      </c>
      <c r="P69" s="630">
        <f>SUMPRODUCT($L$63:$L$68,P63:P68)</f>
        <v>4.5689521000625</v>
      </c>
      <c r="R69" s="267"/>
      <c r="S69" s="2"/>
      <c r="T69" s="2"/>
      <c r="U69" s="2"/>
      <c r="V69" s="2"/>
      <c r="W69" s="2"/>
      <c r="X69" s="2"/>
      <c r="Y69" s="2"/>
      <c r="Z69" s="2"/>
    </row>
    <row r="70" spans="2:26" s="235" customFormat="1" x14ac:dyDescent="0.25">
      <c r="R70" s="267"/>
      <c r="S70" s="2"/>
      <c r="T70" s="2"/>
      <c r="U70" s="2"/>
      <c r="V70" s="2"/>
      <c r="W70" s="2"/>
      <c r="X70" s="2"/>
      <c r="Y70" s="2"/>
      <c r="Z70" s="2"/>
    </row>
    <row r="71" spans="2:26" s="235" customFormat="1" x14ac:dyDescent="0.25">
      <c r="R71" s="267"/>
      <c r="S71" s="2"/>
      <c r="T71" s="2"/>
      <c r="U71" s="2"/>
      <c r="V71" s="2"/>
      <c r="W71" s="2"/>
      <c r="X71" s="2"/>
      <c r="Y71" s="2"/>
      <c r="Z71" s="2"/>
    </row>
    <row r="72" spans="2:26" s="235" customFormat="1" ht="11" thickBot="1" x14ac:dyDescent="0.3">
      <c r="Q72" s="965"/>
      <c r="R72" s="267"/>
      <c r="S72" s="2"/>
      <c r="T72" s="2"/>
      <c r="U72" s="2"/>
      <c r="V72" s="2"/>
      <c r="W72" s="2"/>
      <c r="X72" s="2"/>
      <c r="Y72" s="2"/>
      <c r="Z72" s="2"/>
    </row>
    <row r="73" spans="2:26" s="339" customFormat="1" ht="22.75" customHeight="1" thickBot="1" x14ac:dyDescent="0.4">
      <c r="B73" s="396" t="s">
        <v>580</v>
      </c>
      <c r="C73" s="1497" t="s">
        <v>581</v>
      </c>
      <c r="D73" s="1497"/>
      <c r="E73" s="1497"/>
      <c r="F73" s="1497"/>
      <c r="G73" s="1497"/>
      <c r="H73" s="1498"/>
      <c r="K73" s="396" t="s">
        <v>580</v>
      </c>
      <c r="L73" s="1499" t="s">
        <v>74</v>
      </c>
      <c r="M73" s="1497"/>
      <c r="N73" s="1497"/>
      <c r="O73" s="1497"/>
      <c r="P73" s="1497"/>
      <c r="Q73" s="966"/>
      <c r="R73" s="349"/>
      <c r="S73" s="175"/>
      <c r="T73" s="175"/>
      <c r="U73" s="175"/>
      <c r="V73" s="175"/>
      <c r="W73" s="175"/>
      <c r="X73" s="175"/>
      <c r="Y73" s="175"/>
      <c r="Z73" s="175"/>
    </row>
    <row r="74" spans="2:26" s="235" customFormat="1" x14ac:dyDescent="0.25">
      <c r="B74" s="953"/>
      <c r="C74" s="955" t="s">
        <v>531</v>
      </c>
      <c r="D74" s="955" t="s">
        <v>582</v>
      </c>
      <c r="E74" s="955" t="s">
        <v>583</v>
      </c>
      <c r="F74" s="955"/>
      <c r="G74" s="955"/>
      <c r="H74" s="956"/>
      <c r="K74" s="953"/>
      <c r="L74" s="955" t="s">
        <v>582</v>
      </c>
      <c r="M74" s="955" t="s">
        <v>583</v>
      </c>
      <c r="N74" s="955"/>
      <c r="O74" s="955"/>
      <c r="P74" s="956"/>
      <c r="Q74" s="299"/>
      <c r="R74" s="267"/>
      <c r="S74" s="2"/>
      <c r="T74" s="2"/>
      <c r="U74" s="2"/>
      <c r="V74" s="2"/>
      <c r="W74" s="2"/>
      <c r="X74" s="2"/>
      <c r="Y74" s="2"/>
    </row>
    <row r="75" spans="2:26" s="235" customFormat="1" ht="31.5" x14ac:dyDescent="0.25">
      <c r="B75" s="397"/>
      <c r="C75" s="957" t="s">
        <v>584</v>
      </c>
      <c r="D75" s="1"/>
      <c r="E75" s="4" t="s">
        <v>525</v>
      </c>
      <c r="F75" s="4" t="s">
        <v>534</v>
      </c>
      <c r="G75" s="4" t="s">
        <v>536</v>
      </c>
      <c r="H75" s="958" t="s">
        <v>216</v>
      </c>
      <c r="K75" s="397"/>
      <c r="L75" s="1"/>
      <c r="M75" s="4" t="s">
        <v>525</v>
      </c>
      <c r="N75" s="4" t="s">
        <v>534</v>
      </c>
      <c r="O75" s="4" t="s">
        <v>536</v>
      </c>
      <c r="P75" s="958" t="s">
        <v>216</v>
      </c>
      <c r="Q75" s="299"/>
      <c r="R75" s="267"/>
      <c r="S75" s="2"/>
      <c r="T75" s="2"/>
      <c r="U75" s="2"/>
      <c r="V75" s="2"/>
      <c r="W75" s="2"/>
      <c r="X75" s="2"/>
      <c r="Y75" s="2"/>
    </row>
    <row r="76" spans="2:26" s="235" customFormat="1" ht="11" thickBot="1" x14ac:dyDescent="0.3">
      <c r="B76" s="953"/>
      <c r="C76" s="959"/>
      <c r="D76" s="960"/>
      <c r="E76" s="960" t="s">
        <v>538</v>
      </c>
      <c r="F76" s="960"/>
      <c r="G76" s="960"/>
      <c r="H76" s="961" t="s">
        <v>538</v>
      </c>
      <c r="K76" s="953"/>
      <c r="L76" s="960"/>
      <c r="M76" s="960" t="s">
        <v>538</v>
      </c>
      <c r="N76" s="960"/>
      <c r="O76" s="960"/>
      <c r="P76" s="961" t="s">
        <v>538</v>
      </c>
      <c r="Q76" s="299"/>
      <c r="R76" s="267"/>
      <c r="S76" s="2"/>
      <c r="T76" s="2"/>
      <c r="U76" s="2"/>
      <c r="V76" s="2"/>
      <c r="W76" s="2"/>
      <c r="X76" s="2"/>
      <c r="Y76" s="2"/>
    </row>
    <row r="77" spans="2:26" s="235" customFormat="1" x14ac:dyDescent="0.25">
      <c r="B77" s="951"/>
      <c r="C77" s="967"/>
      <c r="D77" s="968"/>
      <c r="E77" s="968"/>
      <c r="F77" s="968"/>
      <c r="G77" s="968"/>
      <c r="H77" s="969"/>
      <c r="K77" s="951"/>
      <c r="L77" s="967"/>
      <c r="M77" s="968"/>
      <c r="N77" s="968"/>
      <c r="O77" s="968"/>
      <c r="P77" s="969"/>
      <c r="R77" s="267"/>
      <c r="S77" s="2"/>
      <c r="T77" s="2"/>
      <c r="U77" s="2"/>
      <c r="V77" s="2"/>
      <c r="W77" s="2"/>
      <c r="X77" s="2"/>
      <c r="Y77" s="2"/>
    </row>
    <row r="78" spans="2:26" s="235" customFormat="1" x14ac:dyDescent="0.25">
      <c r="B78" s="399" t="s">
        <v>541</v>
      </c>
      <c r="C78" s="970">
        <v>643.09457370199993</v>
      </c>
      <c r="D78" s="962">
        <f t="shared" ref="D78:D92" si="7">C78/$C$93</f>
        <v>0.34837633290459108</v>
      </c>
      <c r="E78" s="323">
        <f>E34</f>
        <v>872.31973060313373</v>
      </c>
      <c r="F78" s="323">
        <f>F34</f>
        <v>1447.264645083593</v>
      </c>
      <c r="G78" s="323">
        <f>G34</f>
        <v>574.94491448045926</v>
      </c>
      <c r="H78" s="964">
        <f>H34</f>
        <v>15.178545742284125</v>
      </c>
      <c r="K78" s="399" t="s">
        <v>541</v>
      </c>
      <c r="L78" s="992">
        <v>0</v>
      </c>
      <c r="M78" s="323">
        <f>E78</f>
        <v>872.31973060313373</v>
      </c>
      <c r="N78" s="323">
        <f t="shared" ref="N78:P92" si="8">F78</f>
        <v>1447.264645083593</v>
      </c>
      <c r="O78" s="323">
        <f t="shared" si="8"/>
        <v>574.94491448045926</v>
      </c>
      <c r="P78" s="964">
        <f t="shared" si="8"/>
        <v>15.178545742284125</v>
      </c>
      <c r="R78" s="267"/>
      <c r="S78" s="2"/>
      <c r="T78" s="2"/>
      <c r="U78" s="2"/>
      <c r="V78" s="2"/>
      <c r="W78" s="2"/>
      <c r="X78" s="2"/>
      <c r="Y78" s="2"/>
    </row>
    <row r="79" spans="2:26" s="235" customFormat="1" x14ac:dyDescent="0.25">
      <c r="B79" s="397" t="s">
        <v>544</v>
      </c>
      <c r="C79" s="970">
        <v>538.09954126085711</v>
      </c>
      <c r="D79" s="962">
        <f t="shared" si="7"/>
        <v>0.29149856426710685</v>
      </c>
      <c r="E79" s="323">
        <f>E36</f>
        <v>855.2433536259357</v>
      </c>
      <c r="F79" s="323">
        <f>F36</f>
        <v>1455.8552173475225</v>
      </c>
      <c r="G79" s="323">
        <f>G36</f>
        <v>600.61186372158681</v>
      </c>
      <c r="H79" s="964">
        <f>H36</f>
        <v>15.856153202249894</v>
      </c>
      <c r="K79" s="397" t="s">
        <v>544</v>
      </c>
      <c r="L79" s="992">
        <v>0</v>
      </c>
      <c r="M79" s="323">
        <f t="shared" ref="M79:M92" si="9">E79</f>
        <v>855.2433536259357</v>
      </c>
      <c r="N79" s="323">
        <f t="shared" si="8"/>
        <v>1455.8552173475225</v>
      </c>
      <c r="O79" s="323">
        <f t="shared" si="8"/>
        <v>600.61186372158681</v>
      </c>
      <c r="P79" s="964">
        <f t="shared" si="8"/>
        <v>15.856153202249894</v>
      </c>
      <c r="R79" s="267"/>
      <c r="S79" s="2"/>
      <c r="T79" s="2"/>
      <c r="U79" s="2"/>
      <c r="V79" s="2"/>
      <c r="W79" s="2"/>
      <c r="X79" s="2"/>
      <c r="Y79" s="2"/>
    </row>
    <row r="80" spans="2:26" s="235" customFormat="1" x14ac:dyDescent="0.25">
      <c r="B80" s="399" t="s">
        <v>554</v>
      </c>
      <c r="C80" s="970">
        <v>175.57064285714287</v>
      </c>
      <c r="D80" s="962">
        <f t="shared" si="7"/>
        <v>9.510989398056377E-2</v>
      </c>
      <c r="E80" s="323">
        <f t="shared" ref="E80:G81" si="10">E42</f>
        <v>810.16895307672246</v>
      </c>
      <c r="F80" s="323">
        <f t="shared" si="10"/>
        <v>1208.1801063777216</v>
      </c>
      <c r="G80" s="323">
        <f t="shared" si="10"/>
        <v>398.01115330099913</v>
      </c>
      <c r="H80" s="964">
        <v>10.507494447146378</v>
      </c>
      <c r="K80" s="399" t="s">
        <v>554</v>
      </c>
      <c r="L80" s="992">
        <v>0</v>
      </c>
      <c r="M80" s="323">
        <f t="shared" si="9"/>
        <v>810.16895307672246</v>
      </c>
      <c r="N80" s="323">
        <f t="shared" si="8"/>
        <v>1208.1801063777216</v>
      </c>
      <c r="O80" s="323">
        <f t="shared" si="8"/>
        <v>398.01115330099913</v>
      </c>
      <c r="P80" s="964">
        <f t="shared" si="8"/>
        <v>10.507494447146378</v>
      </c>
      <c r="R80" s="267"/>
      <c r="S80" s="2"/>
      <c r="T80" s="2"/>
      <c r="U80" s="2"/>
      <c r="V80" s="2"/>
      <c r="W80" s="2"/>
      <c r="X80" s="2"/>
      <c r="Y80" s="2"/>
    </row>
    <row r="81" spans="2:26" s="235" customFormat="1" x14ac:dyDescent="0.25">
      <c r="B81" s="399" t="s">
        <v>555</v>
      </c>
      <c r="C81" s="970">
        <v>23.881657142857147</v>
      </c>
      <c r="D81" s="962">
        <f t="shared" si="7"/>
        <v>1.2937139387166677E-2</v>
      </c>
      <c r="E81" s="323">
        <f t="shared" si="10"/>
        <v>613.79199471547327</v>
      </c>
      <c r="F81" s="323">
        <f t="shared" si="10"/>
        <v>970.13414414183239</v>
      </c>
      <c r="G81" s="323">
        <f t="shared" si="10"/>
        <v>356.34214942635913</v>
      </c>
      <c r="H81" s="964">
        <f>H43</f>
        <v>7.1268429885271827</v>
      </c>
      <c r="K81" s="399" t="s">
        <v>555</v>
      </c>
      <c r="L81" s="992">
        <v>0</v>
      </c>
      <c r="M81" s="323">
        <f t="shared" si="9"/>
        <v>613.79199471547327</v>
      </c>
      <c r="N81" s="323">
        <f t="shared" si="8"/>
        <v>970.13414414183239</v>
      </c>
      <c r="O81" s="323">
        <f t="shared" si="8"/>
        <v>356.34214942635913</v>
      </c>
      <c r="P81" s="964">
        <f t="shared" si="8"/>
        <v>7.1268429885271827</v>
      </c>
      <c r="R81" s="267"/>
      <c r="S81" s="2"/>
      <c r="T81" s="2"/>
      <c r="U81" s="2"/>
      <c r="V81" s="2"/>
      <c r="W81" s="2"/>
      <c r="X81" s="2"/>
      <c r="Y81" s="2"/>
    </row>
    <row r="82" spans="2:26" s="235" customFormat="1" x14ac:dyDescent="0.25">
      <c r="B82" s="399" t="s">
        <v>563</v>
      </c>
      <c r="C82" s="970">
        <v>47.277471428571445</v>
      </c>
      <c r="D82" s="962">
        <f t="shared" si="7"/>
        <v>2.5611088631140286E-2</v>
      </c>
      <c r="E82" s="323">
        <f t="shared" ref="E82:H84" si="11">E49</f>
        <v>458.47682163236431</v>
      </c>
      <c r="F82" s="323">
        <f t="shared" si="11"/>
        <v>738.73275000000001</v>
      </c>
      <c r="G82" s="323">
        <f t="shared" si="11"/>
        <v>280.2559283676357</v>
      </c>
      <c r="H82" s="964">
        <f t="shared" si="11"/>
        <v>7.3987565089055831</v>
      </c>
      <c r="K82" s="399" t="s">
        <v>563</v>
      </c>
      <c r="L82" s="992">
        <v>0</v>
      </c>
      <c r="M82" s="323">
        <f t="shared" si="9"/>
        <v>458.47682163236431</v>
      </c>
      <c r="N82" s="323">
        <f t="shared" si="8"/>
        <v>738.73275000000001</v>
      </c>
      <c r="O82" s="323">
        <f t="shared" si="8"/>
        <v>280.2559283676357</v>
      </c>
      <c r="P82" s="964">
        <f t="shared" si="8"/>
        <v>7.3987565089055831</v>
      </c>
      <c r="R82" s="267"/>
      <c r="S82" s="2"/>
      <c r="T82" s="2"/>
      <c r="U82" s="2"/>
      <c r="V82" s="2"/>
      <c r="W82" s="2"/>
      <c r="X82" s="2"/>
      <c r="Y82" s="2"/>
    </row>
    <row r="83" spans="2:26" s="235" customFormat="1" x14ac:dyDescent="0.25">
      <c r="B83" s="399" t="s">
        <v>566</v>
      </c>
      <c r="C83" s="970">
        <v>55.157049999999991</v>
      </c>
      <c r="D83" s="962">
        <f t="shared" si="7"/>
        <v>2.9879603402996984E-2</v>
      </c>
      <c r="E83" s="323">
        <f t="shared" si="11"/>
        <v>401.65884424105991</v>
      </c>
      <c r="F83" s="323">
        <f t="shared" si="11"/>
        <v>679.21579999999994</v>
      </c>
      <c r="G83" s="323">
        <f t="shared" si="11"/>
        <v>277.55695575894003</v>
      </c>
      <c r="H83" s="964">
        <f t="shared" si="11"/>
        <v>5.5511391151788008</v>
      </c>
      <c r="K83" s="399" t="s">
        <v>566</v>
      </c>
      <c r="L83" s="992">
        <v>0</v>
      </c>
      <c r="M83" s="323">
        <f t="shared" si="9"/>
        <v>401.65884424105991</v>
      </c>
      <c r="N83" s="323">
        <f t="shared" si="8"/>
        <v>679.21579999999994</v>
      </c>
      <c r="O83" s="323">
        <f t="shared" si="8"/>
        <v>277.55695575894003</v>
      </c>
      <c r="P83" s="964">
        <f t="shared" si="8"/>
        <v>5.5511391151788008</v>
      </c>
      <c r="R83" s="267"/>
      <c r="S83" s="2"/>
      <c r="T83" s="2"/>
      <c r="U83" s="2"/>
      <c r="V83" s="2"/>
      <c r="W83" s="2"/>
      <c r="X83" s="2"/>
      <c r="Y83" s="2"/>
    </row>
    <row r="84" spans="2:26" s="235" customFormat="1" x14ac:dyDescent="0.25">
      <c r="B84" s="399" t="s">
        <v>569</v>
      </c>
      <c r="C84" s="970">
        <v>55.157049999999991</v>
      </c>
      <c r="D84" s="962">
        <f t="shared" si="7"/>
        <v>2.9879603402996984E-2</v>
      </c>
      <c r="E84" s="323">
        <f t="shared" si="11"/>
        <v>391.15779424105995</v>
      </c>
      <c r="F84" s="323">
        <f t="shared" si="11"/>
        <v>668.37725</v>
      </c>
      <c r="G84" s="323">
        <f t="shared" si="11"/>
        <v>277.21945575894006</v>
      </c>
      <c r="H84" s="964">
        <f t="shared" si="11"/>
        <v>5.5443891151788014</v>
      </c>
      <c r="K84" s="399" t="s">
        <v>569</v>
      </c>
      <c r="L84" s="992">
        <v>0</v>
      </c>
      <c r="M84" s="323">
        <f t="shared" si="9"/>
        <v>391.15779424105995</v>
      </c>
      <c r="N84" s="323">
        <f t="shared" si="8"/>
        <v>668.37725</v>
      </c>
      <c r="O84" s="323">
        <f t="shared" si="8"/>
        <v>277.21945575894006</v>
      </c>
      <c r="P84" s="964">
        <f t="shared" si="8"/>
        <v>5.5443891151788014</v>
      </c>
      <c r="R84" s="267"/>
      <c r="S84" s="2"/>
      <c r="T84" s="2"/>
      <c r="U84" s="2"/>
      <c r="V84" s="2"/>
      <c r="W84" s="2"/>
      <c r="X84" s="2"/>
      <c r="Y84" s="2"/>
    </row>
    <row r="85" spans="2:26" s="235" customFormat="1" x14ac:dyDescent="0.25">
      <c r="B85" s="952" t="s">
        <v>585</v>
      </c>
      <c r="C85" s="970">
        <v>105.23928571428571</v>
      </c>
      <c r="D85" s="962">
        <f t="shared" si="7"/>
        <v>5.7010085194141892E-2</v>
      </c>
      <c r="E85" s="323">
        <f>'[3]Cropping GMs'!AI3</f>
        <v>2714.6502028985515</v>
      </c>
      <c r="F85" s="323">
        <f>'[3]Cropping GMs'!AI26</f>
        <v>7875.2500000000009</v>
      </c>
      <c r="G85" s="323">
        <f>'[3]Cropping GMs'!AI63</f>
        <v>5160.5997971014494</v>
      </c>
      <c r="H85" s="964">
        <f>'[3]Cropping GMs'!AI4</f>
        <v>136.23983464347828</v>
      </c>
      <c r="K85" s="952" t="s">
        <v>585</v>
      </c>
      <c r="L85" s="992">
        <v>0</v>
      </c>
      <c r="M85" s="323">
        <f t="shared" si="9"/>
        <v>2714.6502028985515</v>
      </c>
      <c r="N85" s="323">
        <f t="shared" si="8"/>
        <v>7875.2500000000009</v>
      </c>
      <c r="O85" s="323">
        <f t="shared" si="8"/>
        <v>5160.5997971014494</v>
      </c>
      <c r="P85" s="964">
        <f t="shared" si="8"/>
        <v>136.23983464347828</v>
      </c>
      <c r="R85" s="267"/>
      <c r="S85" s="2"/>
      <c r="T85" s="2"/>
      <c r="U85" s="2"/>
      <c r="V85" s="2"/>
      <c r="W85" s="2"/>
      <c r="X85" s="2"/>
      <c r="Y85" s="2"/>
    </row>
    <row r="86" spans="2:26" s="235" customFormat="1" x14ac:dyDescent="0.25">
      <c r="B86" s="952" t="s">
        <v>586</v>
      </c>
      <c r="C86" s="970">
        <v>105.40814285714285</v>
      </c>
      <c r="D86" s="962">
        <f t="shared" si="7"/>
        <v>5.7101558259875722E-2</v>
      </c>
      <c r="E86" s="323">
        <f>'[3]Cropping GMs'!AG3</f>
        <v>768.08357778885488</v>
      </c>
      <c r="F86" s="323">
        <f>'[3]Cropping GMs'!AG26</f>
        <v>1615.2143665781769</v>
      </c>
      <c r="G86" s="323">
        <f>'[3]Cropping GMs'!AG63</f>
        <v>847.13078878932197</v>
      </c>
      <c r="H86" s="964">
        <f>'[3]Cropping GMs'!AG4</f>
        <v>22.3642528240381</v>
      </c>
      <c r="K86" s="952" t="s">
        <v>586</v>
      </c>
      <c r="L86" s="992">
        <v>0</v>
      </c>
      <c r="M86" s="323">
        <f t="shared" si="9"/>
        <v>768.08357778885488</v>
      </c>
      <c r="N86" s="323">
        <f t="shared" si="8"/>
        <v>1615.2143665781769</v>
      </c>
      <c r="O86" s="323">
        <f t="shared" si="8"/>
        <v>847.13078878932197</v>
      </c>
      <c r="P86" s="964">
        <f t="shared" si="8"/>
        <v>22.3642528240381</v>
      </c>
      <c r="R86" s="267"/>
      <c r="S86" s="2"/>
      <c r="T86" s="2"/>
      <c r="U86" s="2"/>
      <c r="V86" s="2"/>
      <c r="W86" s="2"/>
      <c r="X86" s="2"/>
      <c r="Y86" s="2"/>
    </row>
    <row r="87" spans="2:26" s="235" customFormat="1" x14ac:dyDescent="0.25">
      <c r="B87" s="952" t="s">
        <v>587</v>
      </c>
      <c r="C87" s="970">
        <v>97.091228571428573</v>
      </c>
      <c r="D87" s="962">
        <f t="shared" si="7"/>
        <v>5.2596130569419787E-2</v>
      </c>
      <c r="E87" s="323">
        <f>'[3]Cropping GMs'!AJ3</f>
        <v>1058</v>
      </c>
      <c r="F87" s="323">
        <f>'[3]Cropping GMs'!AJ26</f>
        <v>4920</v>
      </c>
      <c r="G87" s="323">
        <f>'[3]Cropping GMs'!AJ63</f>
        <v>3862</v>
      </c>
      <c r="H87" s="964">
        <f>'[3]Cropping GMs'!AJ4</f>
        <v>101.9568</v>
      </c>
      <c r="K87" s="952" t="s">
        <v>587</v>
      </c>
      <c r="L87" s="992">
        <v>0</v>
      </c>
      <c r="M87" s="323">
        <f t="shared" si="9"/>
        <v>1058</v>
      </c>
      <c r="N87" s="323">
        <f t="shared" si="8"/>
        <v>4920</v>
      </c>
      <c r="O87" s="323">
        <f t="shared" si="8"/>
        <v>3862</v>
      </c>
      <c r="P87" s="964">
        <f t="shared" si="8"/>
        <v>101.9568</v>
      </c>
      <c r="R87" s="267"/>
      <c r="S87" s="2"/>
      <c r="T87" s="2"/>
      <c r="U87" s="2"/>
      <c r="V87" s="2"/>
      <c r="W87" s="2"/>
      <c r="X87" s="2"/>
      <c r="Y87" s="2"/>
    </row>
    <row r="88" spans="2:26" s="235" customFormat="1" x14ac:dyDescent="0.25">
      <c r="B88" s="952" t="s">
        <v>588</v>
      </c>
      <c r="C88" s="970">
        <v>0</v>
      </c>
      <c r="D88" s="962">
        <f t="shared" si="7"/>
        <v>0</v>
      </c>
      <c r="E88" s="323">
        <f>0</f>
        <v>0</v>
      </c>
      <c r="F88" s="323">
        <v>0</v>
      </c>
      <c r="G88" s="323">
        <f>O55</f>
        <v>125.66500000000001</v>
      </c>
      <c r="H88" s="964">
        <f>P55</f>
        <v>2.5133000000000001</v>
      </c>
      <c r="K88" s="952" t="str">
        <f>B88</f>
        <v>Agroecological herbal ley</v>
      </c>
      <c r="L88" s="992">
        <f>3/7</f>
        <v>0.42857142857142855</v>
      </c>
      <c r="M88" s="323">
        <f t="shared" si="9"/>
        <v>0</v>
      </c>
      <c r="N88" s="323">
        <f t="shared" si="8"/>
        <v>0</v>
      </c>
      <c r="O88" s="323">
        <f t="shared" si="8"/>
        <v>125.66500000000001</v>
      </c>
      <c r="P88" s="964">
        <f t="shared" si="8"/>
        <v>2.5133000000000001</v>
      </c>
      <c r="R88" s="267"/>
      <c r="S88" s="2"/>
      <c r="T88" s="2"/>
      <c r="U88" s="2"/>
      <c r="V88" s="2"/>
      <c r="W88" s="2"/>
      <c r="X88" s="2"/>
      <c r="Y88" s="2"/>
    </row>
    <row r="89" spans="2:26" s="235" customFormat="1" x14ac:dyDescent="0.25">
      <c r="B89" s="952" t="s">
        <v>589</v>
      </c>
      <c r="C89" s="970">
        <v>0</v>
      </c>
      <c r="D89" s="962">
        <f t="shared" si="7"/>
        <v>0</v>
      </c>
      <c r="E89" s="323">
        <f>'[3]Cropping GMs'!AI69</f>
        <v>4580</v>
      </c>
      <c r="F89" s="323">
        <f>'[3]Cropping GMs'!AI84</f>
        <v>8280</v>
      </c>
      <c r="G89" s="323">
        <f>'[3]Cropping GMs'!AI101</f>
        <v>3700</v>
      </c>
      <c r="H89" s="964">
        <f>'[3]Cropping GMs'!AI72</f>
        <v>74</v>
      </c>
      <c r="K89" s="952" t="str">
        <f t="shared" ref="K89:K92" si="12">B89</f>
        <v>Agroecological potatoes</v>
      </c>
      <c r="L89" s="992">
        <f>1/7</f>
        <v>0.14285714285714285</v>
      </c>
      <c r="M89" s="323">
        <f t="shared" si="9"/>
        <v>4580</v>
      </c>
      <c r="N89" s="323">
        <f t="shared" si="8"/>
        <v>8280</v>
      </c>
      <c r="O89" s="323">
        <f t="shared" si="8"/>
        <v>3700</v>
      </c>
      <c r="P89" s="964">
        <f t="shared" si="8"/>
        <v>74</v>
      </c>
      <c r="R89" s="267"/>
      <c r="S89" s="2"/>
      <c r="T89" s="2"/>
      <c r="U89" s="2"/>
      <c r="V89" s="2"/>
      <c r="W89" s="2"/>
      <c r="X89" s="2"/>
      <c r="Y89" s="2"/>
    </row>
    <row r="90" spans="2:26" s="235" customFormat="1" x14ac:dyDescent="0.25">
      <c r="B90" s="952" t="s">
        <v>590</v>
      </c>
      <c r="C90" s="970">
        <v>0</v>
      </c>
      <c r="D90" s="962">
        <f t="shared" si="7"/>
        <v>0</v>
      </c>
      <c r="E90" s="323">
        <f>'[3]Cropping GMs'!AR69</f>
        <v>5440</v>
      </c>
      <c r="F90" s="323">
        <f>'[3]Cropping GMs'!AR84</f>
        <v>11700</v>
      </c>
      <c r="G90" s="323">
        <f>'[3]Cropping GMs'!AR101</f>
        <v>6260</v>
      </c>
      <c r="H90" s="964">
        <f>'[3]Cropping GMs'!AR72</f>
        <v>125.2</v>
      </c>
      <c r="K90" s="952" t="str">
        <f t="shared" si="12"/>
        <v>Agroecological carrots</v>
      </c>
      <c r="L90" s="992">
        <f>1/7</f>
        <v>0.14285714285714285</v>
      </c>
      <c r="M90" s="323">
        <f t="shared" si="9"/>
        <v>5440</v>
      </c>
      <c r="N90" s="323">
        <f t="shared" si="8"/>
        <v>11700</v>
      </c>
      <c r="O90" s="323">
        <f t="shared" si="8"/>
        <v>6260</v>
      </c>
      <c r="P90" s="964">
        <f t="shared" si="8"/>
        <v>125.2</v>
      </c>
      <c r="R90" s="267"/>
      <c r="S90" s="2"/>
      <c r="T90" s="2"/>
      <c r="U90" s="2"/>
      <c r="V90" s="2"/>
      <c r="W90" s="2"/>
      <c r="X90" s="2"/>
      <c r="Y90" s="2"/>
    </row>
    <row r="91" spans="2:26" s="235" customFormat="1" x14ac:dyDescent="0.25">
      <c r="B91" s="952" t="s">
        <v>591</v>
      </c>
      <c r="C91" s="970">
        <v>0</v>
      </c>
      <c r="D91" s="962">
        <f t="shared" si="7"/>
        <v>0</v>
      </c>
      <c r="E91" s="323">
        <f>M34</f>
        <v>1411.1940000000002</v>
      </c>
      <c r="F91" s="323">
        <f t="shared" ref="F91:H91" si="13">N34</f>
        <v>1572.65</v>
      </c>
      <c r="G91" s="323">
        <f t="shared" si="13"/>
        <v>161.45599999999999</v>
      </c>
      <c r="H91" s="964">
        <f t="shared" si="13"/>
        <v>4.2624383999999997</v>
      </c>
      <c r="K91" s="952" t="str">
        <f t="shared" si="12"/>
        <v>Agroecological wheat</v>
      </c>
      <c r="L91" s="992">
        <f>1/7</f>
        <v>0.14285714285714285</v>
      </c>
      <c r="M91" s="323">
        <f t="shared" si="9"/>
        <v>1411.1940000000002</v>
      </c>
      <c r="N91" s="323">
        <f t="shared" si="8"/>
        <v>1572.65</v>
      </c>
      <c r="O91" s="323">
        <f t="shared" si="8"/>
        <v>161.45599999999999</v>
      </c>
      <c r="P91" s="964">
        <f t="shared" si="8"/>
        <v>4.2624383999999997</v>
      </c>
      <c r="R91" s="267"/>
      <c r="S91" s="2"/>
      <c r="T91" s="2"/>
      <c r="U91" s="2"/>
      <c r="V91" s="2"/>
      <c r="W91" s="2"/>
      <c r="X91" s="2"/>
      <c r="Y91" s="2"/>
    </row>
    <row r="92" spans="2:26" s="235" customFormat="1" ht="11" thickBot="1" x14ac:dyDescent="0.3">
      <c r="B92" s="952" t="s">
        <v>592</v>
      </c>
      <c r="C92" s="998">
        <v>0</v>
      </c>
      <c r="D92" s="999">
        <f t="shared" si="7"/>
        <v>0</v>
      </c>
      <c r="E92" s="1000">
        <f>M67</f>
        <v>428.70000000000005</v>
      </c>
      <c r="F92" s="1000">
        <f t="shared" ref="F92:H92" si="14">N67</f>
        <v>651.20000000000005</v>
      </c>
      <c r="G92" s="1000">
        <f t="shared" si="14"/>
        <v>222.5</v>
      </c>
      <c r="H92" s="1001">
        <f t="shared" si="14"/>
        <v>4.45</v>
      </c>
      <c r="K92" s="952" t="str">
        <f t="shared" si="12"/>
        <v>Agroecological beans</v>
      </c>
      <c r="L92" s="992">
        <f>1/7</f>
        <v>0.14285714285714285</v>
      </c>
      <c r="M92" s="323">
        <f t="shared" si="9"/>
        <v>428.70000000000005</v>
      </c>
      <c r="N92" s="323">
        <f t="shared" si="8"/>
        <v>651.20000000000005</v>
      </c>
      <c r="O92" s="323">
        <f t="shared" si="8"/>
        <v>222.5</v>
      </c>
      <c r="P92" s="964">
        <f t="shared" si="8"/>
        <v>4.45</v>
      </c>
      <c r="R92" s="267"/>
      <c r="S92" s="2"/>
      <c r="T92" s="2"/>
      <c r="U92" s="2"/>
      <c r="V92" s="2"/>
      <c r="W92" s="2"/>
      <c r="X92" s="2"/>
      <c r="Y92" s="2"/>
    </row>
    <row r="93" spans="2:26" s="235" customFormat="1" ht="11" thickBot="1" x14ac:dyDescent="0.3">
      <c r="B93" s="954" t="s">
        <v>246</v>
      </c>
      <c r="C93" s="994">
        <f>SUM(C78:C92)</f>
        <v>1845.9766435342856</v>
      </c>
      <c r="D93" s="995">
        <f>SUM(D78:D92)</f>
        <v>1</v>
      </c>
      <c r="E93" s="996">
        <f>SUMPRODUCT($D$78:$D$87,E78:E87)</f>
        <v>927.89260626346322</v>
      </c>
      <c r="F93" s="996">
        <f>SUMPRODUCT($D$78:$D$87,F78:F87)</f>
        <v>1915.1912868079642</v>
      </c>
      <c r="G93" s="996">
        <f>SUMPRODUCT($D$78:$D$87,G78:G87)</f>
        <v>987.29868054450162</v>
      </c>
      <c r="H93" s="997">
        <f>SUMPRODUCT($D$78:$D$87,H78:H87)</f>
        <v>25.929091264229925</v>
      </c>
      <c r="K93" s="954" t="s">
        <v>246</v>
      </c>
      <c r="L93" s="993">
        <f>SUM(L78:L92)</f>
        <v>0.99999999999999978</v>
      </c>
      <c r="M93" s="963">
        <f>SUMPRODUCT($L$78:$L$92,M78:M92)</f>
        <v>1694.2705714285714</v>
      </c>
      <c r="N93" s="963">
        <f t="shared" ref="N93:P93" si="15">SUMPRODUCT($L$78:$L$92,N78:N92)</f>
        <v>3171.9785714285713</v>
      </c>
      <c r="O93" s="963">
        <f>SUMPRODUCT($L$78:$L$92,O78:O92)</f>
        <v>1531.5644285714284</v>
      </c>
      <c r="P93" s="971">
        <f t="shared" si="15"/>
        <v>30.778905485714287</v>
      </c>
      <c r="R93" s="267"/>
      <c r="S93" s="2"/>
      <c r="T93" s="2"/>
      <c r="U93" s="2"/>
      <c r="V93" s="2"/>
      <c r="W93" s="2"/>
      <c r="X93" s="2"/>
      <c r="Y93" s="2"/>
    </row>
    <row r="94" spans="2:26" s="235" customFormat="1" x14ac:dyDescent="0.25">
      <c r="R94" s="267"/>
      <c r="S94" s="2"/>
      <c r="T94" s="2"/>
      <c r="U94" s="2"/>
      <c r="V94" s="2"/>
      <c r="W94" s="2"/>
      <c r="X94" s="2"/>
      <c r="Y94" s="2"/>
      <c r="Z94" s="2"/>
    </row>
    <row r="95" spans="2:26" s="235" customFormat="1" x14ac:dyDescent="0.25">
      <c r="R95" s="267"/>
      <c r="S95" s="2"/>
      <c r="T95" s="2"/>
      <c r="U95" s="2"/>
      <c r="V95" s="2"/>
      <c r="W95" s="2"/>
      <c r="X95" s="2"/>
      <c r="Y95" s="2"/>
      <c r="Z95" s="2"/>
    </row>
    <row r="96" spans="2:26" s="235" customFormat="1" x14ac:dyDescent="0.25">
      <c r="R96" s="267"/>
      <c r="S96" s="2"/>
      <c r="T96" s="2"/>
      <c r="U96" s="2"/>
      <c r="V96" s="2"/>
      <c r="W96" s="2"/>
      <c r="X96" s="2"/>
      <c r="Y96" s="2"/>
      <c r="Z96" s="2"/>
    </row>
    <row r="97" spans="18:26" s="235" customFormat="1" x14ac:dyDescent="0.25">
      <c r="R97" s="267"/>
      <c r="S97" s="2"/>
      <c r="T97" s="2"/>
      <c r="U97" s="2"/>
      <c r="V97" s="2"/>
      <c r="W97" s="2"/>
      <c r="X97" s="2"/>
      <c r="Y97" s="2"/>
      <c r="Z97" s="2"/>
    </row>
    <row r="98" spans="18:26" s="235" customFormat="1" x14ac:dyDescent="0.25">
      <c r="R98" s="267"/>
      <c r="S98" s="2"/>
      <c r="T98" s="2"/>
      <c r="U98" s="2"/>
      <c r="V98" s="2"/>
      <c r="W98" s="2"/>
      <c r="X98" s="2"/>
      <c r="Y98" s="2"/>
      <c r="Z98" s="2"/>
    </row>
    <row r="99" spans="18:26" s="235" customFormat="1" x14ac:dyDescent="0.25">
      <c r="R99" s="267"/>
      <c r="S99" s="2"/>
      <c r="T99" s="2"/>
      <c r="U99" s="2"/>
      <c r="V99" s="2"/>
      <c r="W99" s="2"/>
      <c r="X99" s="2"/>
      <c r="Y99" s="2"/>
      <c r="Z99" s="2"/>
    </row>
    <row r="100" spans="18:26" s="235" customFormat="1" x14ac:dyDescent="0.25">
      <c r="R100" s="267"/>
      <c r="S100" s="2"/>
      <c r="T100" s="2"/>
      <c r="U100" s="2"/>
      <c r="V100" s="2"/>
      <c r="W100" s="2"/>
      <c r="X100" s="2"/>
      <c r="Y100" s="2"/>
      <c r="Z100" s="2"/>
    </row>
    <row r="101" spans="18:26" s="235" customFormat="1" x14ac:dyDescent="0.25">
      <c r="R101" s="267"/>
      <c r="S101" s="2"/>
      <c r="T101" s="2"/>
      <c r="U101" s="2"/>
      <c r="V101" s="2"/>
      <c r="W101" s="2"/>
      <c r="X101" s="2"/>
      <c r="Y101" s="2"/>
      <c r="Z101" s="2"/>
    </row>
    <row r="102" spans="18:26" s="235" customFormat="1" x14ac:dyDescent="0.25">
      <c r="R102" s="267"/>
      <c r="S102" s="2"/>
      <c r="T102" s="2"/>
      <c r="U102" s="2"/>
      <c r="V102" s="2"/>
      <c r="W102" s="2"/>
      <c r="X102" s="2"/>
      <c r="Y102" s="2"/>
      <c r="Z102" s="2"/>
    </row>
    <row r="103" spans="18:26" s="235" customFormat="1" x14ac:dyDescent="0.25">
      <c r="R103" s="267"/>
      <c r="S103" s="2"/>
      <c r="T103" s="2"/>
      <c r="U103" s="2"/>
      <c r="V103" s="2"/>
      <c r="W103" s="2"/>
      <c r="X103" s="2"/>
      <c r="Y103" s="2"/>
      <c r="Z103" s="2"/>
    </row>
    <row r="104" spans="18:26" s="235" customFormat="1" x14ac:dyDescent="0.25">
      <c r="R104" s="267"/>
      <c r="S104" s="2"/>
      <c r="T104" s="2"/>
      <c r="U104" s="2"/>
      <c r="V104" s="2"/>
      <c r="W104" s="2"/>
      <c r="X104" s="2"/>
      <c r="Y104" s="2"/>
      <c r="Z104" s="2"/>
    </row>
    <row r="105" spans="18:26" s="235" customFormat="1" x14ac:dyDescent="0.25">
      <c r="R105" s="267"/>
      <c r="S105" s="2"/>
      <c r="T105" s="2"/>
      <c r="U105" s="2"/>
      <c r="V105" s="2"/>
      <c r="W105" s="2"/>
      <c r="X105" s="2"/>
      <c r="Y105" s="2"/>
      <c r="Z105" s="2"/>
    </row>
    <row r="106" spans="18:26" s="235" customFormat="1" x14ac:dyDescent="0.25">
      <c r="R106" s="267"/>
      <c r="S106" s="2"/>
      <c r="T106" s="2"/>
      <c r="U106" s="2"/>
      <c r="V106" s="2"/>
      <c r="W106" s="2"/>
      <c r="X106" s="2"/>
      <c r="Y106" s="2"/>
      <c r="Z106" s="2"/>
    </row>
    <row r="107" spans="18:26" s="235" customFormat="1" x14ac:dyDescent="0.25">
      <c r="R107" s="267"/>
      <c r="S107" s="2"/>
      <c r="T107" s="2"/>
      <c r="U107" s="2"/>
      <c r="V107" s="2"/>
      <c r="W107" s="2"/>
      <c r="X107" s="2"/>
      <c r="Y107" s="2"/>
      <c r="Z107" s="2"/>
    </row>
    <row r="108" spans="18:26" s="235" customFormat="1" x14ac:dyDescent="0.25">
      <c r="R108" s="267"/>
      <c r="S108" s="2"/>
      <c r="T108" s="2"/>
      <c r="U108" s="2"/>
      <c r="V108" s="2"/>
      <c r="W108" s="2"/>
      <c r="X108" s="2"/>
      <c r="Y108" s="2"/>
      <c r="Z108" s="2"/>
    </row>
    <row r="109" spans="18:26" s="235" customFormat="1" x14ac:dyDescent="0.25">
      <c r="R109" s="267"/>
      <c r="S109" s="2"/>
      <c r="T109" s="2"/>
      <c r="U109" s="2"/>
      <c r="V109" s="2"/>
      <c r="W109" s="2"/>
      <c r="X109" s="2"/>
      <c r="Y109" s="2"/>
      <c r="Z109" s="2"/>
    </row>
    <row r="110" spans="18:26" s="235" customFormat="1" x14ac:dyDescent="0.25">
      <c r="R110" s="267"/>
      <c r="S110" s="2"/>
      <c r="T110" s="2"/>
      <c r="U110" s="2"/>
      <c r="V110" s="2"/>
      <c r="W110" s="2"/>
      <c r="X110" s="2"/>
      <c r="Y110" s="2"/>
      <c r="Z110" s="2"/>
    </row>
    <row r="111" spans="18:26" s="235" customFormat="1" x14ac:dyDescent="0.25">
      <c r="R111" s="267"/>
      <c r="S111" s="2"/>
      <c r="T111" s="2"/>
      <c r="U111" s="2"/>
      <c r="V111" s="2"/>
      <c r="W111" s="2"/>
      <c r="X111" s="2"/>
      <c r="Y111" s="2"/>
      <c r="Z111" s="2"/>
    </row>
    <row r="112" spans="18:26" s="235" customFormat="1" x14ac:dyDescent="0.25">
      <c r="R112" s="267"/>
      <c r="S112" s="2"/>
      <c r="T112" s="2"/>
      <c r="U112" s="2"/>
      <c r="V112" s="2"/>
      <c r="W112" s="2"/>
      <c r="X112" s="2"/>
      <c r="Y112" s="2"/>
      <c r="Z112" s="2"/>
    </row>
    <row r="113" spans="18:26" s="235" customFormat="1" x14ac:dyDescent="0.25">
      <c r="R113" s="267"/>
      <c r="S113" s="2"/>
      <c r="T113" s="2"/>
      <c r="U113" s="2"/>
      <c r="V113" s="2"/>
      <c r="W113" s="2"/>
      <c r="X113" s="2"/>
      <c r="Y113" s="2"/>
      <c r="Z113" s="2"/>
    </row>
    <row r="114" spans="18:26" s="235" customFormat="1" x14ac:dyDescent="0.25">
      <c r="R114" s="267"/>
      <c r="S114" s="2"/>
      <c r="T114" s="2"/>
      <c r="U114" s="2"/>
      <c r="V114" s="2"/>
      <c r="W114" s="2"/>
      <c r="X114" s="2"/>
      <c r="Y114" s="2"/>
      <c r="Z114" s="2"/>
    </row>
    <row r="115" spans="18:26" s="235" customFormat="1" x14ac:dyDescent="0.25">
      <c r="R115" s="267"/>
      <c r="S115" s="2"/>
      <c r="T115" s="2"/>
      <c r="U115" s="2"/>
      <c r="V115" s="2"/>
      <c r="W115" s="2"/>
      <c r="X115" s="2"/>
      <c r="Y115" s="2"/>
      <c r="Z115" s="2"/>
    </row>
    <row r="116" spans="18:26" s="235" customFormat="1" x14ac:dyDescent="0.25">
      <c r="R116" s="267"/>
      <c r="S116" s="2"/>
      <c r="T116" s="2"/>
      <c r="U116" s="2"/>
      <c r="V116" s="2"/>
      <c r="W116" s="2"/>
      <c r="X116" s="2"/>
      <c r="Y116" s="2"/>
      <c r="Z116" s="2"/>
    </row>
    <row r="117" spans="18:26" s="235" customFormat="1" x14ac:dyDescent="0.25">
      <c r="R117" s="267"/>
      <c r="S117" s="2"/>
      <c r="T117" s="2"/>
      <c r="U117" s="2"/>
      <c r="V117" s="2"/>
      <c r="W117" s="2"/>
      <c r="X117" s="2"/>
      <c r="Y117" s="2"/>
      <c r="Z117" s="2"/>
    </row>
    <row r="118" spans="18:26" s="235" customFormat="1" x14ac:dyDescent="0.25">
      <c r="R118" s="267"/>
      <c r="S118" s="2"/>
      <c r="T118" s="2"/>
      <c r="U118" s="2"/>
      <c r="V118" s="2"/>
      <c r="W118" s="2"/>
      <c r="X118" s="2"/>
      <c r="Y118" s="2"/>
      <c r="Z118" s="2"/>
    </row>
  </sheetData>
  <mergeCells count="7">
    <mergeCell ref="C73:H73"/>
    <mergeCell ref="L73:P73"/>
    <mergeCell ref="C2:H2"/>
    <mergeCell ref="L2:P2"/>
    <mergeCell ref="L31:P31"/>
    <mergeCell ref="L60:P60"/>
    <mergeCell ref="C31:H31"/>
  </mergeCells>
  <phoneticPr fontId="1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5CDAE-5425-4117-8981-426F630C4A30}">
  <dimension ref="A1:Z119"/>
  <sheetViews>
    <sheetView workbookViewId="0"/>
  </sheetViews>
  <sheetFormatPr defaultColWidth="8.81640625" defaultRowHeight="10.5" x14ac:dyDescent="0.25"/>
  <cols>
    <col min="1" max="1" width="2.1796875" style="235" customWidth="1"/>
    <col min="2" max="2" width="25.1796875" style="2" customWidth="1"/>
    <col min="3" max="5" width="8.81640625" style="2"/>
    <col min="6" max="7" width="9.81640625" style="2" customWidth="1"/>
    <col min="8" max="8" width="7.54296875" style="2" customWidth="1"/>
    <col min="9" max="9" width="4.54296875" style="235" customWidth="1"/>
    <col min="10" max="10" width="4.81640625" style="235" customWidth="1"/>
    <col min="11" max="11" width="26.54296875" style="2" customWidth="1"/>
    <col min="12" max="16" width="8.81640625" style="2"/>
    <col min="17" max="17" width="8.81640625" style="235"/>
    <col min="18" max="18" width="18" style="267" customWidth="1"/>
    <col min="19" max="16384" width="8.81640625" style="2"/>
  </cols>
  <sheetData>
    <row r="1" spans="1:26" s="235" customFormat="1" ht="11" thickBot="1" x14ac:dyDescent="0.3">
      <c r="R1" s="839" t="s">
        <v>69</v>
      </c>
      <c r="S1" s="2"/>
      <c r="T1" s="2"/>
      <c r="U1" s="2"/>
      <c r="V1" s="2"/>
      <c r="W1" s="2"/>
      <c r="X1" s="2"/>
      <c r="Y1" s="2"/>
      <c r="Z1" s="2"/>
    </row>
    <row r="2" spans="1:26" s="175" customFormat="1" ht="19.399999999999999" customHeight="1" x14ac:dyDescent="0.35">
      <c r="A2" s="339"/>
      <c r="B2" s="396" t="s">
        <v>528</v>
      </c>
      <c r="C2" s="1495" t="s">
        <v>196</v>
      </c>
      <c r="D2" s="1495"/>
      <c r="E2" s="1495"/>
      <c r="F2" s="1495"/>
      <c r="G2" s="1495"/>
      <c r="H2" s="1496"/>
      <c r="I2" s="339"/>
      <c r="J2" s="339"/>
      <c r="K2" s="396" t="s">
        <v>528</v>
      </c>
      <c r="L2" s="1495" t="s">
        <v>74</v>
      </c>
      <c r="M2" s="1495"/>
      <c r="N2" s="1495"/>
      <c r="O2" s="1495"/>
      <c r="P2" s="1496"/>
      <c r="Q2" s="339"/>
      <c r="R2" s="349" t="s">
        <v>529</v>
      </c>
    </row>
    <row r="3" spans="1:26" ht="31.5" x14ac:dyDescent="0.25">
      <c r="A3" s="290"/>
      <c r="B3" s="397" t="s">
        <v>530</v>
      </c>
      <c r="C3" s="393" t="s">
        <v>531</v>
      </c>
      <c r="D3" s="4" t="s">
        <v>532</v>
      </c>
      <c r="E3" s="4" t="s">
        <v>533</v>
      </c>
      <c r="F3" s="4" t="s">
        <v>534</v>
      </c>
      <c r="G3" s="4" t="s">
        <v>536</v>
      </c>
      <c r="H3" s="394" t="s">
        <v>216</v>
      </c>
      <c r="J3" s="290"/>
      <c r="K3" s="397" t="s">
        <v>530</v>
      </c>
      <c r="L3" s="4" t="s">
        <v>532</v>
      </c>
      <c r="M3" s="4" t="s">
        <v>533</v>
      </c>
      <c r="N3" s="4" t="s">
        <v>534</v>
      </c>
      <c r="O3" s="4" t="s">
        <v>536</v>
      </c>
      <c r="P3" s="394" t="s">
        <v>216</v>
      </c>
      <c r="R3" s="349" t="s">
        <v>537</v>
      </c>
    </row>
    <row r="4" spans="1:26" x14ac:dyDescent="0.25">
      <c r="A4" s="290"/>
      <c r="B4" s="398"/>
      <c r="C4" s="173"/>
      <c r="D4" s="174"/>
      <c r="E4" s="174" t="s">
        <v>538</v>
      </c>
      <c r="F4" s="174"/>
      <c r="G4" s="174"/>
      <c r="H4" s="395" t="s">
        <v>538</v>
      </c>
      <c r="J4" s="290"/>
      <c r="K4" s="398"/>
      <c r="L4" s="174"/>
      <c r="M4" s="174" t="s">
        <v>538</v>
      </c>
      <c r="N4" s="174"/>
      <c r="O4" s="174"/>
      <c r="P4" s="395" t="s">
        <v>538</v>
      </c>
      <c r="R4" s="267" t="s">
        <v>540</v>
      </c>
    </row>
    <row r="5" spans="1:26" x14ac:dyDescent="0.25">
      <c r="A5" s="290"/>
      <c r="B5" s="399" t="s">
        <v>541</v>
      </c>
      <c r="C5" s="623">
        <v>643.09457370199993</v>
      </c>
      <c r="D5" s="633">
        <v>0.19295200046128508</v>
      </c>
      <c r="E5" s="628">
        <f>'Cropping GMs - baseline'!D64</f>
        <v>872.31973060313373</v>
      </c>
      <c r="F5" s="628">
        <f>'Cropping GMs - baseline'!D26</f>
        <v>1447.264645083593</v>
      </c>
      <c r="G5" s="628">
        <f>'Cropping GMs - baseline'!D63</f>
        <v>574.94491448045926</v>
      </c>
      <c r="H5" s="16">
        <f>'Cropping GMs - N cost Grain £'!D4</f>
        <v>15.178545742284125</v>
      </c>
      <c r="J5" s="290"/>
      <c r="K5" s="399" t="s">
        <v>541</v>
      </c>
      <c r="L5" s="633">
        <f>80%*(2/6)</f>
        <v>0.26666666666666666</v>
      </c>
      <c r="M5" s="628">
        <f>'Cropping GMs - price variation'!D105</f>
        <v>870.19199999999989</v>
      </c>
      <c r="N5" s="628">
        <f>'Cropping GMs - price variation'!D85</f>
        <v>983.59999999999991</v>
      </c>
      <c r="O5" s="628">
        <f>'Cropping GMs - price variation'!D102</f>
        <v>113.408</v>
      </c>
      <c r="P5" s="16">
        <f>'Cropping GMs - N cost Grain £'!D87</f>
        <v>4.4746944000000006</v>
      </c>
      <c r="R5" s="636">
        <v>1</v>
      </c>
      <c r="S5" s="2" t="s">
        <v>542</v>
      </c>
    </row>
    <row r="6" spans="1:26" x14ac:dyDescent="0.25">
      <c r="A6" s="539"/>
      <c r="B6" s="399" t="s">
        <v>543</v>
      </c>
      <c r="C6" s="623">
        <v>131.71816569799998</v>
      </c>
      <c r="D6" s="633">
        <v>3.952028925110658E-2</v>
      </c>
      <c r="E6" s="628">
        <f>'Cropping GMs - N cost Grain £'!E64</f>
        <v>739.17600226718719</v>
      </c>
      <c r="F6" s="628">
        <f>'Cropping GMs - N cost Grain £'!E26</f>
        <v>1327.4428213875167</v>
      </c>
      <c r="G6" s="628">
        <f>'Cropping GMs - N cost Grain £'!E63</f>
        <v>588.2668191203295</v>
      </c>
      <c r="H6" s="16">
        <f>'Cropping GMs - N cost Grain £'!E4</f>
        <v>15.5302440247767</v>
      </c>
      <c r="J6" s="539"/>
      <c r="K6" s="399" t="s">
        <v>543</v>
      </c>
      <c r="L6" s="633">
        <v>0</v>
      </c>
      <c r="M6" s="628"/>
      <c r="N6" s="628"/>
      <c r="O6" s="628"/>
      <c r="P6" s="16"/>
      <c r="R6" s="636">
        <v>2</v>
      </c>
      <c r="S6" s="2" t="s">
        <v>542</v>
      </c>
    </row>
    <row r="7" spans="1:26" x14ac:dyDescent="0.25">
      <c r="A7" s="290"/>
      <c r="B7" s="399" t="s">
        <v>544</v>
      </c>
      <c r="C7" s="623">
        <v>538.09954126085711</v>
      </c>
      <c r="D7" s="633">
        <v>0.16144963303903445</v>
      </c>
      <c r="E7" s="628">
        <f>'Cropping GMs - N cost Grain £'!F64</f>
        <v>855.2433536259357</v>
      </c>
      <c r="F7" s="628">
        <f>'Cropping GMs - N cost Grain £'!F26</f>
        <v>1455.8552173475225</v>
      </c>
      <c r="G7" s="628">
        <f>'Cropping GMs - N cost Grain £'!F63</f>
        <v>600.61186372158681</v>
      </c>
      <c r="H7" s="16">
        <f>'Cropping GMs - N cost Grain £'!F4</f>
        <v>15.856153202249894</v>
      </c>
      <c r="J7" s="290"/>
      <c r="K7" s="399" t="s">
        <v>544</v>
      </c>
      <c r="L7" s="633">
        <v>0</v>
      </c>
      <c r="M7" s="628"/>
      <c r="N7" s="628"/>
      <c r="O7" s="628"/>
      <c r="P7" s="16"/>
      <c r="R7" s="636">
        <v>3</v>
      </c>
      <c r="S7" s="2" t="s">
        <v>545</v>
      </c>
    </row>
    <row r="8" spans="1:26" x14ac:dyDescent="0.25">
      <c r="A8" s="290"/>
      <c r="B8" s="399" t="s">
        <v>546</v>
      </c>
      <c r="C8" s="623">
        <v>110.21315905342857</v>
      </c>
      <c r="D8" s="633">
        <v>3.3067997128476939E-2</v>
      </c>
      <c r="E8" s="628">
        <f>'Cropping GMs - N cost Grain £'!G64</f>
        <v>706.24882600291608</v>
      </c>
      <c r="F8" s="628">
        <f>'Cropping GMs - N cost Grain £'!G26</f>
        <v>1335.2266724622052</v>
      </c>
      <c r="G8" s="628">
        <f>'Cropping GMs - N cost Grain £'!G63</f>
        <v>628.97784645928914</v>
      </c>
      <c r="H8" s="16">
        <f>'Cropping GMs - N cost Grain £'!G4</f>
        <v>16.605015146525233</v>
      </c>
      <c r="J8" s="290"/>
      <c r="K8" s="399" t="s">
        <v>546</v>
      </c>
      <c r="L8" s="633">
        <v>0</v>
      </c>
      <c r="M8" s="628"/>
      <c r="N8" s="628"/>
      <c r="O8" s="628"/>
      <c r="P8" s="16"/>
      <c r="R8" s="636">
        <v>4</v>
      </c>
      <c r="S8" s="2" t="s">
        <v>547</v>
      </c>
    </row>
    <row r="9" spans="1:26" x14ac:dyDescent="0.25">
      <c r="A9" s="290"/>
      <c r="B9" s="399" t="s">
        <v>548</v>
      </c>
      <c r="C9" s="623">
        <v>131.24379055142856</v>
      </c>
      <c r="D9" s="633">
        <v>3.9377959277813276E-2</v>
      </c>
      <c r="E9" s="628">
        <f>'Cropping GMs - N cost Grain £'!H64</f>
        <v>854.29821481940292</v>
      </c>
      <c r="F9" s="628">
        <f>'Cropping GMs - N cost Grain £'!H26</f>
        <v>1447.0119811934774</v>
      </c>
      <c r="G9" s="628">
        <f>'Cropping GMs - N cost Grain £'!H63</f>
        <v>592.71376637407445</v>
      </c>
      <c r="H9" s="16">
        <f>'Cropping GMs - N cost Grain £'!H4</f>
        <v>15.647643432275565</v>
      </c>
      <c r="J9" s="290"/>
      <c r="K9" s="399" t="s">
        <v>548</v>
      </c>
      <c r="L9" s="633">
        <v>0</v>
      </c>
      <c r="M9" s="628"/>
      <c r="N9" s="628"/>
      <c r="O9" s="628"/>
      <c r="P9" s="16"/>
      <c r="R9" s="636">
        <v>5</v>
      </c>
      <c r="S9" s="2" t="s">
        <v>545</v>
      </c>
    </row>
    <row r="10" spans="1:26" x14ac:dyDescent="0.25">
      <c r="A10" s="290"/>
      <c r="B10" s="399" t="s">
        <v>549</v>
      </c>
      <c r="C10" s="623">
        <v>26.881258305714283</v>
      </c>
      <c r="D10" s="633">
        <v>8.0653651532870563E-3</v>
      </c>
      <c r="E10" s="628">
        <f>'Cropping GMs - N cost Grain £'!I64</f>
        <v>708.96660030279975</v>
      </c>
      <c r="F10" s="628">
        <f>'Cropping GMs - N cost Grain £'!I26</f>
        <v>1327.2138845912025</v>
      </c>
      <c r="G10" s="628">
        <f>'Cropping GMs - N cost Grain £'!I63</f>
        <v>618.24728428840274</v>
      </c>
      <c r="H10" s="16">
        <f>'Cropping GMs - N cost Grain £'!I4</f>
        <v>16.321728305213831</v>
      </c>
      <c r="J10" s="290"/>
      <c r="K10" s="399" t="s">
        <v>549</v>
      </c>
      <c r="L10" s="633">
        <v>0</v>
      </c>
      <c r="M10" s="628"/>
      <c r="N10" s="628"/>
      <c r="O10" s="628"/>
      <c r="P10" s="16"/>
      <c r="R10" s="636">
        <v>6</v>
      </c>
      <c r="S10" s="2" t="s">
        <v>550</v>
      </c>
    </row>
    <row r="11" spans="1:26" x14ac:dyDescent="0.25">
      <c r="A11" s="290"/>
      <c r="B11" s="399" t="s">
        <v>551</v>
      </c>
      <c r="C11" s="623">
        <v>48.90465428571428</v>
      </c>
      <c r="D11" s="633">
        <v>1.4673193123020721E-2</v>
      </c>
      <c r="E11" s="628">
        <f>'Cropping GMs - N cost Grain £'!J64</f>
        <v>711.17360759021471</v>
      </c>
      <c r="F11" s="628">
        <f>'Cropping GMs - N cost Grain £'!J26</f>
        <v>1160.6394715928743</v>
      </c>
      <c r="G11" s="628">
        <f>'Cropping GMs - N cost Grain £'!J63</f>
        <v>449.46586400265966</v>
      </c>
      <c r="H11" s="16">
        <f>'Cropping GMs - N cost Grain £'!J4</f>
        <v>8.9893172800531929</v>
      </c>
      <c r="J11" s="290"/>
      <c r="K11" s="399" t="s">
        <v>551</v>
      </c>
      <c r="L11" s="633">
        <f>20%*(2/6)</f>
        <v>6.6666666666666666E-2</v>
      </c>
      <c r="M11" s="628">
        <f>'Cropping GMs - price variation'!J105</f>
        <v>573.82100000000014</v>
      </c>
      <c r="N11" s="628">
        <f>'Cropping GMs - price variation'!J85</f>
        <v>736.19400000000007</v>
      </c>
      <c r="O11" s="628">
        <f>'Cropping GMs - price variation'!J102</f>
        <v>162.37299999999999</v>
      </c>
      <c r="P11" s="16">
        <f>'Cropping GMs - N cost Grain £'!J87</f>
        <v>4.8768500000000001</v>
      </c>
    </row>
    <row r="12" spans="1:26" x14ac:dyDescent="0.25">
      <c r="A12" s="290"/>
      <c r="B12" s="399" t="s">
        <v>552</v>
      </c>
      <c r="C12" s="623">
        <v>175.57064285714287</v>
      </c>
      <c r="D12" s="633">
        <v>5.2677643610871905E-2</v>
      </c>
      <c r="E12" s="628">
        <f>'Cropping GMs - N cost Grain £'!K64</f>
        <v>700.96031757456615</v>
      </c>
      <c r="F12" s="628">
        <f>'Cropping GMs - N cost Grain £'!K26</f>
        <v>1135.4003013670419</v>
      </c>
      <c r="G12" s="628">
        <f>'Cropping GMs - N cost Grain £'!K63</f>
        <v>434.4399837924758</v>
      </c>
      <c r="H12" s="16">
        <f>'Cropping GMs - N cost Grain £'!K4</f>
        <v>11.469215572121362</v>
      </c>
      <c r="J12" s="290"/>
      <c r="K12" s="399" t="s">
        <v>552</v>
      </c>
      <c r="L12" s="633">
        <f>50%*(1/6)</f>
        <v>8.3333333333333329E-2</v>
      </c>
      <c r="M12" s="628">
        <f>'Cropping GMs - price variation'!K105</f>
        <v>519.37729999999988</v>
      </c>
      <c r="N12" s="628">
        <f>'Cropping GMs - price variation'!K85</f>
        <v>647.76199999999994</v>
      </c>
      <c r="O12" s="628">
        <f>'Cropping GMs - price variation'!K102</f>
        <v>128.38470000000001</v>
      </c>
      <c r="P12" s="16">
        <f>'Cropping GMs - N cost Grain £'!K87</f>
        <v>4.4444664000000005</v>
      </c>
      <c r="R12" s="267" t="s">
        <v>541</v>
      </c>
      <c r="S12" s="2">
        <v>8.1</v>
      </c>
      <c r="T12" s="637">
        <v>0.8</v>
      </c>
      <c r="U12" s="2" t="s">
        <v>553</v>
      </c>
    </row>
    <row r="13" spans="1:26" x14ac:dyDescent="0.25">
      <c r="A13" s="290"/>
      <c r="B13" s="399" t="s">
        <v>554</v>
      </c>
      <c r="C13" s="623">
        <v>175.57064285714287</v>
      </c>
      <c r="D13" s="633">
        <v>5.2677643610871905E-2</v>
      </c>
      <c r="E13" s="628">
        <f>'Cropping GMs - N cost Grain £'!L64</f>
        <v>810.16895307672246</v>
      </c>
      <c r="F13" s="628">
        <f>'Cropping GMs - N cost Grain £'!L26</f>
        <v>1208.1801063777216</v>
      </c>
      <c r="G13" s="628">
        <f>'Cropping GMs - N cost Grain £'!L63</f>
        <v>398.01115330099913</v>
      </c>
      <c r="H13" s="16">
        <f>'Cropping GMs - N cost Grain £'!L4</f>
        <v>10.507494447146378</v>
      </c>
      <c r="J13" s="290"/>
      <c r="K13" s="399" t="s">
        <v>554</v>
      </c>
      <c r="L13" s="633">
        <v>0</v>
      </c>
      <c r="M13" s="628"/>
      <c r="N13" s="628"/>
      <c r="O13" s="628"/>
      <c r="P13" s="16"/>
      <c r="R13" s="267" t="s">
        <v>551</v>
      </c>
      <c r="S13" s="2">
        <v>2</v>
      </c>
      <c r="T13" s="637">
        <v>0.2</v>
      </c>
      <c r="U13" s="2" t="s">
        <v>553</v>
      </c>
    </row>
    <row r="14" spans="1:26" x14ac:dyDescent="0.25">
      <c r="A14" s="290"/>
      <c r="B14" s="399" t="s">
        <v>555</v>
      </c>
      <c r="C14" s="623">
        <v>23.881657142857147</v>
      </c>
      <c r="D14" s="633">
        <v>7.1653745941574467E-3</v>
      </c>
      <c r="E14" s="628">
        <f>'Cropping GMs - N cost Grain £'!M64</f>
        <v>613.79199471547327</v>
      </c>
      <c r="F14" s="628">
        <f>'Cropping GMs - N cost Grain £'!M26</f>
        <v>970.13414414183239</v>
      </c>
      <c r="G14" s="628">
        <f>'Cropping GMs - N cost Grain £'!M63</f>
        <v>356.34214942635913</v>
      </c>
      <c r="H14" s="16">
        <f>'Cropping GMs - N cost Grain £'!M4</f>
        <v>7.1268429885271827</v>
      </c>
      <c r="J14" s="290"/>
      <c r="K14" s="399" t="s">
        <v>555</v>
      </c>
      <c r="L14" s="633">
        <f>50%*(1/6)</f>
        <v>8.3333333333333329E-2</v>
      </c>
      <c r="M14" s="628">
        <f>'Cropping GMs - price variation'!M105</f>
        <v>532.40654999999992</v>
      </c>
      <c r="N14" s="628">
        <f>'Cropping GMs - price variation'!M85</f>
        <v>646.26199999999994</v>
      </c>
      <c r="O14" s="628">
        <f>'Cropping GMs - price variation'!M102</f>
        <v>113.85545</v>
      </c>
      <c r="P14" s="16">
        <f>'Cropping GMs - N cost Grain £'!M87</f>
        <v>3.3757500000000005</v>
      </c>
      <c r="R14" s="267" t="s">
        <v>552</v>
      </c>
      <c r="S14" s="2">
        <v>6</v>
      </c>
      <c r="T14" s="637">
        <v>0.5</v>
      </c>
      <c r="U14" s="2" t="s">
        <v>556</v>
      </c>
    </row>
    <row r="15" spans="1:26" x14ac:dyDescent="0.25">
      <c r="A15" s="290"/>
      <c r="B15" s="399" t="s">
        <v>557</v>
      </c>
      <c r="C15" s="623">
        <v>453.75148571428571</v>
      </c>
      <c r="D15" s="633">
        <v>0.13614211728899145</v>
      </c>
      <c r="E15" s="628">
        <f>'Cropping GMs - N cost Grain £'!N64</f>
        <v>769.30352713738796</v>
      </c>
      <c r="F15" s="628">
        <f>'Cropping GMs - N cost Grain £'!N26</f>
        <v>1099.1028143523129</v>
      </c>
      <c r="G15" s="628">
        <f>'Cropping GMs - N cost Grain £'!N63</f>
        <v>329.7992872149249</v>
      </c>
      <c r="H15" s="16">
        <f>'Cropping GMs - N cost Grain £'!N4</f>
        <v>6.5959857442984982</v>
      </c>
      <c r="J15" s="290"/>
      <c r="K15" s="399" t="s">
        <v>557</v>
      </c>
      <c r="L15" s="633">
        <v>0</v>
      </c>
      <c r="M15" s="628"/>
      <c r="N15" s="628"/>
      <c r="O15" s="628"/>
      <c r="P15" s="16"/>
      <c r="R15" s="267" t="s">
        <v>555</v>
      </c>
      <c r="S15" s="2">
        <v>4</v>
      </c>
      <c r="T15" s="637">
        <v>0.3</v>
      </c>
      <c r="U15" s="2" t="s">
        <v>556</v>
      </c>
    </row>
    <row r="16" spans="1:26" x14ac:dyDescent="0.25">
      <c r="A16" s="290"/>
      <c r="B16" s="399" t="s">
        <v>558</v>
      </c>
      <c r="C16" s="623">
        <v>124.49</v>
      </c>
      <c r="D16" s="633">
        <v>3.735157396702922E-2</v>
      </c>
      <c r="E16" s="628">
        <f>'Cropping GMs - N cost Grain £'!O64</f>
        <v>546.72660107878403</v>
      </c>
      <c r="F16" s="628">
        <f>'Cropping GMs - N cost Grain £'!O26</f>
        <v>915.65679849758544</v>
      </c>
      <c r="G16" s="628">
        <f>'Cropping GMs - N cost Grain £'!O63</f>
        <v>368.93019741880141</v>
      </c>
      <c r="H16" s="16">
        <f>'Cropping GMs - N cost Grain £'!O4</f>
        <v>9.7397572118563573</v>
      </c>
      <c r="J16" s="290"/>
      <c r="K16" s="399" t="s">
        <v>558</v>
      </c>
      <c r="L16" s="633">
        <v>0</v>
      </c>
      <c r="M16" s="628">
        <f>'Cropping GMs - price variation'!O105</f>
        <v>585.87876000000006</v>
      </c>
      <c r="N16" s="628">
        <f>'Cropping GMs - price variation'!O85</f>
        <v>710.74800000000005</v>
      </c>
      <c r="O16" s="628">
        <f>'Cropping GMs - price variation'!O102</f>
        <v>124.86924</v>
      </c>
      <c r="P16" s="16">
        <f>'Cropping GMs - N cost Grain £'!O87</f>
        <v>3.618198</v>
      </c>
      <c r="R16" s="267" t="s">
        <v>559</v>
      </c>
      <c r="S16" s="2">
        <v>8</v>
      </c>
      <c r="T16" s="637">
        <v>0.5</v>
      </c>
      <c r="U16" s="2" t="s">
        <v>560</v>
      </c>
    </row>
    <row r="17" spans="1:26" x14ac:dyDescent="0.25">
      <c r="A17" s="290"/>
      <c r="B17" s="399" t="s">
        <v>561</v>
      </c>
      <c r="C17" s="623"/>
      <c r="D17" s="633"/>
      <c r="E17" s="628"/>
      <c r="F17" s="628"/>
      <c r="G17" s="628"/>
      <c r="H17" s="16"/>
      <c r="J17" s="290"/>
      <c r="K17" s="399" t="s">
        <v>561</v>
      </c>
      <c r="L17" s="633">
        <v>0</v>
      </c>
      <c r="M17" s="628">
        <f>'Cropping GMs - price variation'!P105</f>
        <v>549.42200000000003</v>
      </c>
      <c r="N17" s="634"/>
      <c r="O17" s="634"/>
      <c r="P17" s="635"/>
      <c r="R17" s="267" t="s">
        <v>561</v>
      </c>
      <c r="S17" s="2">
        <v>8</v>
      </c>
      <c r="T17" s="637">
        <v>0.5</v>
      </c>
      <c r="U17" s="2" t="s">
        <v>560</v>
      </c>
    </row>
    <row r="18" spans="1:26" x14ac:dyDescent="0.25">
      <c r="A18" s="290"/>
      <c r="B18" s="399" t="s">
        <v>562</v>
      </c>
      <c r="C18" s="623">
        <v>519.13571428571424</v>
      </c>
      <c r="D18" s="633">
        <v>0.15575978818434738</v>
      </c>
      <c r="E18" s="628">
        <f>'Cropping GMs - N cost Grain £'!Q64</f>
        <v>741.65109138717662</v>
      </c>
      <c r="F18" s="628">
        <f>'Cropping GMs - N cost Grain £'!Q26</f>
        <v>1201.165639084739</v>
      </c>
      <c r="G18" s="628">
        <f>'Cropping GMs - N cost Grain £'!Q63</f>
        <v>459.51454769756236</v>
      </c>
      <c r="H18" s="16">
        <f>'Cropping GMs - N cost Grain £'!Q4</f>
        <v>12.131184059215649</v>
      </c>
      <c r="J18" s="290"/>
      <c r="K18" s="399" t="s">
        <v>562</v>
      </c>
      <c r="L18" s="633">
        <v>0</v>
      </c>
      <c r="M18" s="628"/>
      <c r="N18" s="628"/>
      <c r="O18" s="628"/>
      <c r="P18" s="16"/>
      <c r="R18" s="267" t="s">
        <v>563</v>
      </c>
      <c r="S18" s="2">
        <v>0</v>
      </c>
      <c r="T18" s="637">
        <v>0.25</v>
      </c>
      <c r="U18" s="2" t="s">
        <v>564</v>
      </c>
    </row>
    <row r="19" spans="1:26" x14ac:dyDescent="0.25">
      <c r="A19" s="290"/>
      <c r="B19" s="399" t="s">
        <v>565</v>
      </c>
      <c r="C19" s="623">
        <v>8.9548571428571417</v>
      </c>
      <c r="D19" s="633">
        <v>2.6867861590136439E-3</v>
      </c>
      <c r="E19" s="628">
        <f>'Cropping GMs - N cost Grain £'!R64</f>
        <v>492.19927478742193</v>
      </c>
      <c r="F19" s="628">
        <f>'Cropping GMs - N cost Grain £'!R26</f>
        <v>780.7576654050805</v>
      </c>
      <c r="G19" s="628">
        <f>'Cropping GMs - N cost Grain £'!R63</f>
        <v>288.55839061765857</v>
      </c>
      <c r="H19" s="16">
        <f>'Cropping GMs - N cost Grain £'!R4</f>
        <v>5.7711678123531716</v>
      </c>
      <c r="J19" s="290"/>
      <c r="K19" s="399" t="s">
        <v>565</v>
      </c>
      <c r="L19" s="633">
        <v>0</v>
      </c>
      <c r="M19" s="628"/>
      <c r="N19" s="628"/>
      <c r="O19" s="628"/>
      <c r="P19" s="16"/>
      <c r="R19" s="267" t="s">
        <v>566</v>
      </c>
      <c r="S19" s="2">
        <v>0</v>
      </c>
      <c r="T19" s="637">
        <v>0.25</v>
      </c>
      <c r="U19" s="2" t="s">
        <v>564</v>
      </c>
    </row>
    <row r="20" spans="1:26" x14ac:dyDescent="0.25">
      <c r="A20" s="290"/>
      <c r="B20" s="399" t="s">
        <v>563</v>
      </c>
      <c r="C20" s="623">
        <v>47.277471428571445</v>
      </c>
      <c r="D20" s="633">
        <v>1.4184978480507648E-2</v>
      </c>
      <c r="E20" s="628">
        <f>'Cropping GMs - N cost Grain £'!S64</f>
        <v>458.47682163236431</v>
      </c>
      <c r="F20" s="628">
        <f>'Cropping GMs - N cost Grain £'!S26</f>
        <v>738.73275000000001</v>
      </c>
      <c r="G20" s="628">
        <f>'Cropping GMs - N cost Grain £'!S63</f>
        <v>280.2559283676357</v>
      </c>
      <c r="H20" s="16">
        <f>'Cropping GMs - N cost Grain £'!S4</f>
        <v>7.3987565089055831</v>
      </c>
      <c r="J20" s="290"/>
      <c r="K20" s="399" t="s">
        <v>563</v>
      </c>
      <c r="L20" s="633">
        <f>T18*(1/6)</f>
        <v>4.1666666666666664E-2</v>
      </c>
      <c r="M20" s="628">
        <f>'Cropping GMs - price variation'!S105</f>
        <v>485.93800000000005</v>
      </c>
      <c r="N20" s="628">
        <f>'Cropping GMs - price variation'!S85</f>
        <v>666.92500000000007</v>
      </c>
      <c r="O20" s="628">
        <f>'Cropping GMs - price variation'!S102</f>
        <v>180.98700000000002</v>
      </c>
      <c r="P20" s="16">
        <f>'Cropping GMs - N cost Grain £'!S87</f>
        <v>7.8206040000000012</v>
      </c>
      <c r="R20" s="267" t="s">
        <v>567</v>
      </c>
      <c r="S20" s="2">
        <v>0</v>
      </c>
      <c r="T20" s="637">
        <v>0.25</v>
      </c>
      <c r="U20" s="2" t="s">
        <v>564</v>
      </c>
    </row>
    <row r="21" spans="1:26" x14ac:dyDescent="0.25">
      <c r="A21" s="290"/>
      <c r="B21" s="399" t="s">
        <v>566</v>
      </c>
      <c r="C21" s="623">
        <v>55.157049999999991</v>
      </c>
      <c r="D21" s="633">
        <v>1.654914156059225E-2</v>
      </c>
      <c r="E21" s="628">
        <f>'Cropping GMs - N cost Grain £'!T64</f>
        <v>401.65884424105991</v>
      </c>
      <c r="F21" s="628">
        <f>'Cropping GMs - N cost Grain £'!T26</f>
        <v>679.21579999999994</v>
      </c>
      <c r="G21" s="628">
        <f>'Cropping GMs - N cost Grain £'!T63</f>
        <v>277.55695575894003</v>
      </c>
      <c r="H21" s="16">
        <f>'Cropping GMs - N cost Grain £'!T4</f>
        <v>5.5511391151788008</v>
      </c>
      <c r="J21" s="290"/>
      <c r="K21" s="399" t="s">
        <v>566</v>
      </c>
      <c r="L21" s="633">
        <f t="shared" ref="L21:L23" si="0">T19*(1/6)</f>
        <v>4.1666666666666664E-2</v>
      </c>
      <c r="M21" s="628">
        <f>'Cropping GMs - price variation'!T105</f>
        <v>101.71000000000004</v>
      </c>
      <c r="N21" s="628">
        <f>'Cropping GMs - price variation'!T85</f>
        <v>290.46000000000004</v>
      </c>
      <c r="O21" s="628">
        <f>'Cropping GMs - price variation'!T102</f>
        <v>188.75</v>
      </c>
      <c r="P21" s="16">
        <f>'Cropping GMs - N cost Grain £'!T87</f>
        <v>8.6790000000000003</v>
      </c>
      <c r="R21" s="267" t="s">
        <v>568</v>
      </c>
      <c r="S21" s="2">
        <v>0</v>
      </c>
      <c r="T21" s="637">
        <v>0.25</v>
      </c>
      <c r="U21" s="2" t="s">
        <v>564</v>
      </c>
    </row>
    <row r="22" spans="1:26" x14ac:dyDescent="0.25">
      <c r="A22" s="290"/>
      <c r="B22" s="399" t="s">
        <v>569</v>
      </c>
      <c r="C22" s="623">
        <v>55.157049999999991</v>
      </c>
      <c r="D22" s="633">
        <v>1.654914156059225E-2</v>
      </c>
      <c r="E22" s="628">
        <f>'Cropping GMs - N cost Grain £'!U64</f>
        <v>391.15779424105995</v>
      </c>
      <c r="F22" s="628">
        <f>'Cropping GMs - N cost Grain £'!U26</f>
        <v>668.37725</v>
      </c>
      <c r="G22" s="628">
        <f>'Cropping GMs - N cost Grain £'!U63</f>
        <v>277.21945575894006</v>
      </c>
      <c r="H22" s="16">
        <f>'Cropping GMs - N cost Grain £'!U4</f>
        <v>5.5443891151788014</v>
      </c>
      <c r="J22" s="290"/>
      <c r="K22" s="399" t="s">
        <v>569</v>
      </c>
      <c r="L22" s="633">
        <f t="shared" si="0"/>
        <v>4.1666666666666664E-2</v>
      </c>
      <c r="M22" s="628">
        <f>'Cropping GMs - price variation'!U105</f>
        <v>192.35000000000002</v>
      </c>
      <c r="N22" s="628">
        <f>'Cropping GMs - price variation'!U85</f>
        <v>381.1</v>
      </c>
      <c r="O22" s="628">
        <f>'Cropping GMs - price variation'!U102</f>
        <v>188.75</v>
      </c>
      <c r="P22" s="16">
        <f>'Cropping GMs - N cost Grain £'!U87</f>
        <v>6.5750000000000002</v>
      </c>
      <c r="R22" s="267" t="s">
        <v>570</v>
      </c>
      <c r="S22" s="2">
        <v>2</v>
      </c>
      <c r="T22" s="637">
        <v>0.2</v>
      </c>
      <c r="U22" s="2" t="s">
        <v>556</v>
      </c>
    </row>
    <row r="23" spans="1:26" x14ac:dyDescent="0.25">
      <c r="A23" s="290"/>
      <c r="B23" s="399" t="s">
        <v>571</v>
      </c>
      <c r="C23" s="623">
        <v>41.674571428571426</v>
      </c>
      <c r="D23" s="633">
        <v>1.2503902620760931E-2</v>
      </c>
      <c r="E23" s="628">
        <f>'Cropping GMs - N cost Grain £'!V64</f>
        <v>403.45787504896191</v>
      </c>
      <c r="F23" s="628">
        <f>'Cropping GMs - N cost Grain £'!V26</f>
        <v>692.51666666666654</v>
      </c>
      <c r="G23" s="628">
        <f>'Cropping GMs - N cost Grain £'!V63</f>
        <v>289.05879161770463</v>
      </c>
      <c r="H23" s="16">
        <f>'Cropping GMs - N cost Grain £'!V4</f>
        <v>5.7811758323540925</v>
      </c>
      <c r="J23" s="290"/>
      <c r="K23" s="399" t="s">
        <v>568</v>
      </c>
      <c r="L23" s="633">
        <f t="shared" si="0"/>
        <v>4.1666666666666664E-2</v>
      </c>
      <c r="M23" s="628">
        <f>'Cropping GMs - price variation'!V105</f>
        <v>155.74157997499998</v>
      </c>
      <c r="N23" s="628">
        <f>'Cropping GMs - price variation'!V85</f>
        <v>381.1</v>
      </c>
      <c r="O23" s="628">
        <f>'Cropping GMs - price variation'!V102</f>
        <v>225.35842002500004</v>
      </c>
      <c r="P23" s="16">
        <f>'Cropping GMs - N cost Grain £'!V87</f>
        <v>7.6487684005000007</v>
      </c>
      <c r="R23" s="267" t="s">
        <v>572</v>
      </c>
      <c r="S23" s="2">
        <v>2</v>
      </c>
      <c r="T23" s="637">
        <v>0.33</v>
      </c>
      <c r="U23" s="2" t="s">
        <v>573</v>
      </c>
    </row>
    <row r="24" spans="1:26" x14ac:dyDescent="0.25">
      <c r="A24" s="290"/>
      <c r="B24" s="399" t="s">
        <v>574</v>
      </c>
      <c r="C24" s="623">
        <v>4.7142857142857144</v>
      </c>
      <c r="D24" s="633">
        <v>1.4144589248843446E-3</v>
      </c>
      <c r="E24" s="628">
        <f>'Cropping GMs - N cost Grain £'!W64</f>
        <v>479.5150856389987</v>
      </c>
      <c r="F24" s="628">
        <f>'Cropping GMs - N cost Grain £'!W26</f>
        <v>700</v>
      </c>
      <c r="G24" s="628">
        <f>'Cropping GMs - N cost Grain £'!W63</f>
        <v>220.48491436100133</v>
      </c>
      <c r="H24" s="16">
        <f>'Cropping GMs - N cost Grain £'!W4</f>
        <v>4.409698287220027</v>
      </c>
      <c r="J24" s="290"/>
      <c r="K24" s="399" t="s">
        <v>574</v>
      </c>
      <c r="L24" s="633">
        <v>0</v>
      </c>
      <c r="M24" s="628"/>
      <c r="N24" s="628"/>
      <c r="O24" s="628"/>
      <c r="P24" s="16"/>
    </row>
    <row r="25" spans="1:26" x14ac:dyDescent="0.25">
      <c r="A25" s="290"/>
      <c r="B25" s="399" t="s">
        <v>575</v>
      </c>
      <c r="C25" s="623">
        <v>17.434571428571427</v>
      </c>
      <c r="D25" s="633">
        <v>5.2310120033556111E-3</v>
      </c>
      <c r="E25" s="628">
        <f>'Cropping GMs - N cost Grain £'!X64</f>
        <v>633.01073781291166</v>
      </c>
      <c r="F25" s="628">
        <f>'Cropping GMs - N cost Grain £'!X26</f>
        <v>900</v>
      </c>
      <c r="G25" s="628">
        <f>'Cropping GMs - N cost Grain £'!X63</f>
        <v>266.98926218708829</v>
      </c>
      <c r="H25" s="16">
        <f>'Cropping GMs - N cost Grain £'!X4</f>
        <v>7.0485165217391303</v>
      </c>
      <c r="J25" s="290"/>
      <c r="K25" s="399" t="s">
        <v>575</v>
      </c>
      <c r="L25" s="633">
        <v>0</v>
      </c>
      <c r="M25" s="628"/>
      <c r="N25" s="628"/>
      <c r="O25" s="628"/>
      <c r="P25" s="16"/>
    </row>
    <row r="26" spans="1:26" x14ac:dyDescent="0.25">
      <c r="A26" s="290"/>
      <c r="B26" s="399" t="s">
        <v>576</v>
      </c>
      <c r="C26" s="623"/>
      <c r="D26" s="633"/>
      <c r="E26" s="628"/>
      <c r="F26" s="628"/>
      <c r="G26" s="628"/>
      <c r="H26" s="16"/>
      <c r="J26" s="290"/>
      <c r="K26" s="399" t="s">
        <v>576</v>
      </c>
      <c r="L26" s="633">
        <v>0.33300000000000002</v>
      </c>
      <c r="M26" s="628">
        <v>0</v>
      </c>
      <c r="N26" s="628">
        <v>0</v>
      </c>
      <c r="O26" s="628">
        <f>(Forage!V29)</f>
        <v>125.66500000000001</v>
      </c>
      <c r="P26" s="16">
        <f>Forage!V6</f>
        <v>2.5133000000000001</v>
      </c>
    </row>
    <row r="27" spans="1:26" x14ac:dyDescent="0.25">
      <c r="A27" s="290"/>
      <c r="B27" s="399"/>
      <c r="C27" s="623"/>
      <c r="D27" s="633"/>
      <c r="E27" s="628"/>
      <c r="F27" s="628"/>
      <c r="G27" s="628"/>
      <c r="H27" s="16"/>
      <c r="J27" s="290"/>
      <c r="K27" s="399"/>
      <c r="L27" s="633"/>
      <c r="M27" s="628"/>
      <c r="N27" s="628"/>
      <c r="O27" s="628"/>
      <c r="P27" s="16"/>
    </row>
    <row r="28" spans="1:26" ht="11" thickBot="1" x14ac:dyDescent="0.3">
      <c r="A28" s="290"/>
      <c r="B28" s="400" t="s">
        <v>246</v>
      </c>
      <c r="C28" s="631">
        <v>3332.9251428571424</v>
      </c>
      <c r="D28" s="632">
        <v>1.0000000000000004</v>
      </c>
      <c r="E28" s="629">
        <f>SUMPRODUCT($D$5:$D$25,E5:E25)</f>
        <v>763.41162645513634</v>
      </c>
      <c r="F28" s="629">
        <f>SUMPRODUCT($D$5:$D$25,F5:F25)</f>
        <v>1246.1989443760331</v>
      </c>
      <c r="G28" s="629">
        <f>SUMPRODUCT($D$5:$D$25,G5:G25)</f>
        <v>482.78731792089673</v>
      </c>
      <c r="H28" s="630">
        <f>SUMPRODUCT($D$5:$D$25,H5:H25)</f>
        <v>12.310829381613869</v>
      </c>
      <c r="J28" s="290"/>
      <c r="K28" s="400" t="s">
        <v>246</v>
      </c>
      <c r="L28" s="632">
        <f>SUM(L5:L26)</f>
        <v>0.99966666666666648</v>
      </c>
      <c r="M28" s="629">
        <f>SUMPRODUCT($L$5:$L$26,M5:M26)</f>
        <v>396.94373666562495</v>
      </c>
      <c r="N28" s="629">
        <f>SUMPRODUCT($L$5:$L$26,N5:N26)</f>
        <v>490.85764166666667</v>
      </c>
      <c r="O28" s="629">
        <f>SUMPRODUCT($L$5:$L$26,O5:O26)</f>
        <v>135.76035000104167</v>
      </c>
      <c r="P28" s="630">
        <f>SUMPRODUCT($L$5:$L$26,P5:P26)</f>
        <v>4.2871292900208333</v>
      </c>
    </row>
    <row r="29" spans="1:26" s="235" customFormat="1" x14ac:dyDescent="0.25">
      <c r="A29" s="290"/>
      <c r="B29" s="340"/>
      <c r="C29" s="621"/>
      <c r="D29" s="92"/>
      <c r="E29" s="622"/>
      <c r="F29" s="622"/>
      <c r="G29" s="622"/>
      <c r="H29" s="622"/>
      <c r="J29" s="290"/>
      <c r="K29" s="340"/>
      <c r="L29" s="92"/>
      <c r="M29" s="622"/>
      <c r="N29" s="622"/>
      <c r="O29" s="622"/>
      <c r="P29" s="622"/>
      <c r="R29" s="267"/>
      <c r="S29" s="2"/>
      <c r="T29" s="2"/>
      <c r="U29" s="2"/>
      <c r="V29" s="2"/>
      <c r="W29" s="2"/>
      <c r="X29" s="2"/>
      <c r="Y29" s="2"/>
      <c r="Z29" s="2"/>
    </row>
    <row r="30" spans="1:26" s="235" customFormat="1" x14ac:dyDescent="0.25">
      <c r="A30" s="290"/>
      <c r="B30" s="340"/>
      <c r="C30" s="621"/>
      <c r="D30" s="92"/>
      <c r="E30" s="622"/>
      <c r="F30" s="622"/>
      <c r="G30" s="622"/>
      <c r="H30" s="622"/>
      <c r="J30" s="290"/>
      <c r="K30" s="340"/>
      <c r="L30" s="92"/>
      <c r="M30" s="622"/>
      <c r="N30" s="622"/>
      <c r="O30" s="622"/>
      <c r="P30" s="622"/>
      <c r="R30" s="267"/>
      <c r="S30" s="2"/>
      <c r="T30" s="2"/>
      <c r="U30" s="2"/>
      <c r="V30" s="2"/>
      <c r="W30" s="2"/>
      <c r="X30" s="2"/>
      <c r="Y30" s="2"/>
      <c r="Z30" s="2"/>
    </row>
    <row r="31" spans="1:26" s="235" customFormat="1" ht="11" thickBot="1" x14ac:dyDescent="0.3">
      <c r="A31" s="290"/>
      <c r="B31" s="340"/>
      <c r="C31" s="621"/>
      <c r="D31" s="92"/>
      <c r="E31" s="622"/>
      <c r="F31" s="622"/>
      <c r="G31" s="622"/>
      <c r="H31" s="622"/>
      <c r="J31" s="290"/>
      <c r="K31" s="340"/>
      <c r="L31" s="92"/>
      <c r="M31" s="622"/>
      <c r="N31" s="622"/>
      <c r="O31" s="622"/>
      <c r="P31" s="622"/>
      <c r="R31" s="267"/>
      <c r="S31" s="2"/>
      <c r="T31" s="2"/>
      <c r="U31" s="2"/>
      <c r="V31" s="2"/>
      <c r="W31" s="2"/>
      <c r="X31" s="2"/>
      <c r="Y31" s="2"/>
      <c r="Z31" s="2"/>
    </row>
    <row r="32" spans="1:26" s="235" customFormat="1" ht="20.5" customHeight="1" x14ac:dyDescent="0.25">
      <c r="A32" s="290"/>
      <c r="B32" s="396" t="s">
        <v>528</v>
      </c>
      <c r="C32" s="1495" t="s">
        <v>196</v>
      </c>
      <c r="D32" s="1495"/>
      <c r="E32" s="1495"/>
      <c r="F32" s="1495"/>
      <c r="G32" s="1495"/>
      <c r="H32" s="1496"/>
      <c r="J32" s="290"/>
      <c r="K32" s="396" t="s">
        <v>528</v>
      </c>
      <c r="L32" s="1495" t="s">
        <v>74</v>
      </c>
      <c r="M32" s="1495"/>
      <c r="N32" s="1495"/>
      <c r="O32" s="1495"/>
      <c r="P32" s="1496"/>
      <c r="R32" s="349" t="s">
        <v>577</v>
      </c>
      <c r="S32" s="2"/>
      <c r="T32" s="2"/>
      <c r="U32" s="2"/>
      <c r="V32" s="2"/>
      <c r="W32" s="2"/>
      <c r="X32" s="2"/>
      <c r="Y32" s="2"/>
      <c r="Z32" s="2"/>
    </row>
    <row r="33" spans="1:26" s="235" customFormat="1" ht="31.5" x14ac:dyDescent="0.25">
      <c r="A33" s="290"/>
      <c r="B33" s="397" t="s">
        <v>530</v>
      </c>
      <c r="C33" s="393" t="s">
        <v>531</v>
      </c>
      <c r="D33" s="4" t="s">
        <v>532</v>
      </c>
      <c r="E33" s="4" t="s">
        <v>533</v>
      </c>
      <c r="F33" s="4" t="s">
        <v>534</v>
      </c>
      <c r="G33" s="4" t="s">
        <v>536</v>
      </c>
      <c r="H33" s="394" t="s">
        <v>216</v>
      </c>
      <c r="J33" s="290"/>
      <c r="K33" s="397" t="s">
        <v>530</v>
      </c>
      <c r="L33" s="4" t="s">
        <v>532</v>
      </c>
      <c r="M33" s="4" t="s">
        <v>533</v>
      </c>
      <c r="N33" s="4" t="s">
        <v>534</v>
      </c>
      <c r="O33" s="4" t="s">
        <v>536</v>
      </c>
      <c r="P33" s="394" t="s">
        <v>216</v>
      </c>
      <c r="R33" s="267"/>
      <c r="S33" s="2"/>
      <c r="T33" s="2"/>
      <c r="U33" s="2"/>
      <c r="V33" s="2"/>
      <c r="W33" s="2"/>
      <c r="X33" s="2"/>
      <c r="Y33" s="2"/>
      <c r="Z33" s="2"/>
    </row>
    <row r="34" spans="1:26" s="235" customFormat="1" x14ac:dyDescent="0.25">
      <c r="A34" s="290"/>
      <c r="B34" s="398"/>
      <c r="C34" s="173"/>
      <c r="D34" s="174"/>
      <c r="E34" s="174" t="s">
        <v>538</v>
      </c>
      <c r="F34" s="174"/>
      <c r="G34" s="174"/>
      <c r="H34" s="395" t="s">
        <v>538</v>
      </c>
      <c r="J34" s="290"/>
      <c r="K34" s="398"/>
      <c r="L34" s="174"/>
      <c r="M34" s="174" t="s">
        <v>538</v>
      </c>
      <c r="N34" s="174"/>
      <c r="O34" s="174"/>
      <c r="P34" s="395" t="s">
        <v>538</v>
      </c>
      <c r="R34" s="267"/>
      <c r="S34" s="2"/>
      <c r="T34" s="2"/>
      <c r="U34" s="2"/>
      <c r="V34" s="2"/>
      <c r="W34" s="2"/>
      <c r="X34" s="2"/>
      <c r="Y34" s="2"/>
      <c r="Z34" s="2"/>
    </row>
    <row r="35" spans="1:26" s="235" customFormat="1" x14ac:dyDescent="0.25">
      <c r="A35" s="290"/>
      <c r="B35" s="399" t="s">
        <v>541</v>
      </c>
      <c r="C35" s="623">
        <v>643.09457370199993</v>
      </c>
      <c r="D35" s="633">
        <v>0.19295200046128508</v>
      </c>
      <c r="E35" s="628">
        <v>872.31973060313373</v>
      </c>
      <c r="F35" s="628">
        <v>1447.264645083593</v>
      </c>
      <c r="G35" s="628">
        <v>574.94491448045926</v>
      </c>
      <c r="H35" s="16">
        <v>15.178545742284125</v>
      </c>
      <c r="J35" s="290"/>
      <c r="K35" s="399" t="s">
        <v>541</v>
      </c>
      <c r="L35" s="633">
        <f>80%*(2/6)</f>
        <v>0.26666666666666666</v>
      </c>
      <c r="M35" s="628">
        <f t="shared" ref="M35:P56" si="1">M5</f>
        <v>870.19199999999989</v>
      </c>
      <c r="N35" s="628">
        <f t="shared" si="1"/>
        <v>983.59999999999991</v>
      </c>
      <c r="O35" s="628">
        <f t="shared" si="1"/>
        <v>113.408</v>
      </c>
      <c r="P35" s="16">
        <f t="shared" si="1"/>
        <v>4.4746944000000006</v>
      </c>
      <c r="R35" s="267"/>
      <c r="S35" s="2"/>
      <c r="T35" s="2"/>
      <c r="U35" s="2"/>
      <c r="V35" s="2"/>
      <c r="W35" s="2"/>
      <c r="X35" s="2"/>
      <c r="Y35" s="2"/>
      <c r="Z35" s="2"/>
    </row>
    <row r="36" spans="1:26" s="235" customFormat="1" x14ac:dyDescent="0.25">
      <c r="A36" s="290"/>
      <c r="B36" s="399" t="s">
        <v>543</v>
      </c>
      <c r="C36" s="623">
        <v>131.71816569799998</v>
      </c>
      <c r="D36" s="633">
        <v>3.952028925110658E-2</v>
      </c>
      <c r="E36" s="628">
        <v>739.17600226718719</v>
      </c>
      <c r="F36" s="628">
        <v>1327.4428213875167</v>
      </c>
      <c r="G36" s="628">
        <v>588.2668191203295</v>
      </c>
      <c r="H36" s="16">
        <v>15.5302440247767</v>
      </c>
      <c r="J36" s="290"/>
      <c r="K36" s="399" t="s">
        <v>543</v>
      </c>
      <c r="L36" s="633">
        <f>L6</f>
        <v>0</v>
      </c>
      <c r="M36" s="628">
        <f t="shared" si="1"/>
        <v>0</v>
      </c>
      <c r="N36" s="628">
        <f t="shared" si="1"/>
        <v>0</v>
      </c>
      <c r="O36" s="628">
        <f t="shared" si="1"/>
        <v>0</v>
      </c>
      <c r="P36" s="16">
        <f t="shared" si="1"/>
        <v>0</v>
      </c>
      <c r="R36" s="267"/>
      <c r="S36" s="2"/>
      <c r="T36" s="2"/>
      <c r="U36" s="2"/>
      <c r="V36" s="2"/>
      <c r="W36" s="2"/>
      <c r="X36" s="2"/>
      <c r="Y36" s="2"/>
      <c r="Z36" s="2"/>
    </row>
    <row r="37" spans="1:26" s="235" customFormat="1" x14ac:dyDescent="0.25">
      <c r="A37" s="290"/>
      <c r="B37" s="399" t="s">
        <v>544</v>
      </c>
      <c r="C37" s="623">
        <v>538.09954126085711</v>
      </c>
      <c r="D37" s="633">
        <v>0.16144963303903445</v>
      </c>
      <c r="E37" s="628">
        <v>855.2433536259357</v>
      </c>
      <c r="F37" s="628">
        <v>1455.8552173475225</v>
      </c>
      <c r="G37" s="628">
        <v>600.61186372158681</v>
      </c>
      <c r="H37" s="16">
        <v>15.856153202249894</v>
      </c>
      <c r="J37" s="290"/>
      <c r="K37" s="399" t="s">
        <v>544</v>
      </c>
      <c r="L37" s="633">
        <f>L7</f>
        <v>0</v>
      </c>
      <c r="M37" s="628">
        <f t="shared" si="1"/>
        <v>0</v>
      </c>
      <c r="N37" s="628">
        <f t="shared" si="1"/>
        <v>0</v>
      </c>
      <c r="O37" s="628">
        <f t="shared" si="1"/>
        <v>0</v>
      </c>
      <c r="P37" s="16">
        <f t="shared" si="1"/>
        <v>0</v>
      </c>
      <c r="R37" s="267"/>
      <c r="S37" s="2"/>
      <c r="T37" s="2"/>
      <c r="U37" s="2"/>
      <c r="V37" s="2"/>
      <c r="W37" s="2"/>
      <c r="X37" s="2"/>
      <c r="Y37" s="2"/>
      <c r="Z37" s="2"/>
    </row>
    <row r="38" spans="1:26" s="235" customFormat="1" x14ac:dyDescent="0.25">
      <c r="A38" s="290"/>
      <c r="B38" s="399" t="s">
        <v>546</v>
      </c>
      <c r="C38" s="623">
        <v>110.21315905342857</v>
      </c>
      <c r="D38" s="633">
        <v>3.3067997128476939E-2</v>
      </c>
      <c r="E38" s="628">
        <v>706.24882600291608</v>
      </c>
      <c r="F38" s="628">
        <v>1335.2266724622052</v>
      </c>
      <c r="G38" s="628">
        <v>628.97784645928914</v>
      </c>
      <c r="H38" s="16">
        <v>16.605015146525233</v>
      </c>
      <c r="J38" s="290"/>
      <c r="K38" s="399" t="s">
        <v>546</v>
      </c>
      <c r="L38" s="633">
        <f>L8</f>
        <v>0</v>
      </c>
      <c r="M38" s="628">
        <f t="shared" si="1"/>
        <v>0</v>
      </c>
      <c r="N38" s="628">
        <f t="shared" si="1"/>
        <v>0</v>
      </c>
      <c r="O38" s="628">
        <f t="shared" si="1"/>
        <v>0</v>
      </c>
      <c r="P38" s="16">
        <f t="shared" si="1"/>
        <v>0</v>
      </c>
      <c r="R38" s="267"/>
      <c r="S38" s="2"/>
      <c r="T38" s="2"/>
      <c r="U38" s="2"/>
      <c r="V38" s="2"/>
      <c r="W38" s="2"/>
      <c r="X38" s="2"/>
      <c r="Y38" s="2"/>
      <c r="Z38" s="2"/>
    </row>
    <row r="39" spans="1:26" s="235" customFormat="1" x14ac:dyDescent="0.25">
      <c r="A39" s="290"/>
      <c r="B39" s="399" t="s">
        <v>548</v>
      </c>
      <c r="C39" s="623">
        <v>131.24379055142856</v>
      </c>
      <c r="D39" s="633">
        <v>3.9377959277813276E-2</v>
      </c>
      <c r="E39" s="628">
        <v>854.29821481940292</v>
      </c>
      <c r="F39" s="628">
        <v>1447.0119811934774</v>
      </c>
      <c r="G39" s="628">
        <v>592.71376637407445</v>
      </c>
      <c r="H39" s="16">
        <v>15.647643432275565</v>
      </c>
      <c r="J39" s="290"/>
      <c r="K39" s="399" t="s">
        <v>548</v>
      </c>
      <c r="L39" s="633">
        <f>L9</f>
        <v>0</v>
      </c>
      <c r="M39" s="628">
        <f t="shared" si="1"/>
        <v>0</v>
      </c>
      <c r="N39" s="628">
        <f t="shared" si="1"/>
        <v>0</v>
      </c>
      <c r="O39" s="628">
        <f t="shared" si="1"/>
        <v>0</v>
      </c>
      <c r="P39" s="16">
        <f t="shared" si="1"/>
        <v>0</v>
      </c>
      <c r="R39" s="267"/>
      <c r="S39" s="2"/>
      <c r="T39" s="2"/>
      <c r="U39" s="2"/>
      <c r="V39" s="2"/>
      <c r="W39" s="2"/>
      <c r="X39" s="2"/>
      <c r="Y39" s="2"/>
      <c r="Z39" s="2"/>
    </row>
    <row r="40" spans="1:26" s="235" customFormat="1" x14ac:dyDescent="0.25">
      <c r="A40" s="290"/>
      <c r="B40" s="399" t="s">
        <v>549</v>
      </c>
      <c r="C40" s="623">
        <v>26.881258305714283</v>
      </c>
      <c r="D40" s="633">
        <v>8.0653651532870563E-3</v>
      </c>
      <c r="E40" s="628">
        <v>708.96660030279975</v>
      </c>
      <c r="F40" s="628">
        <v>1327.2138845912025</v>
      </c>
      <c r="G40" s="628">
        <v>618.24728428840274</v>
      </c>
      <c r="H40" s="16">
        <v>16.321728305213831</v>
      </c>
      <c r="J40" s="290"/>
      <c r="K40" s="399" t="s">
        <v>549</v>
      </c>
      <c r="L40" s="633">
        <f>L10</f>
        <v>0</v>
      </c>
      <c r="M40" s="628">
        <f t="shared" si="1"/>
        <v>0</v>
      </c>
      <c r="N40" s="628">
        <f t="shared" si="1"/>
        <v>0</v>
      </c>
      <c r="O40" s="628">
        <f t="shared" si="1"/>
        <v>0</v>
      </c>
      <c r="P40" s="16">
        <f t="shared" si="1"/>
        <v>0</v>
      </c>
      <c r="R40" s="267"/>
      <c r="S40" s="2"/>
      <c r="T40" s="2"/>
      <c r="U40" s="2"/>
      <c r="V40" s="2"/>
      <c r="W40" s="2"/>
      <c r="X40" s="2"/>
      <c r="Y40" s="2"/>
      <c r="Z40" s="2"/>
    </row>
    <row r="41" spans="1:26" s="235" customFormat="1" x14ac:dyDescent="0.25">
      <c r="B41" s="399" t="s">
        <v>551</v>
      </c>
      <c r="C41" s="623">
        <v>48.90465428571428</v>
      </c>
      <c r="D41" s="633">
        <v>1.4673193123020721E-2</v>
      </c>
      <c r="E41" s="628">
        <v>711.17360759021471</v>
      </c>
      <c r="F41" s="628">
        <v>1160.6394715928743</v>
      </c>
      <c r="G41" s="628">
        <v>449.46586400265966</v>
      </c>
      <c r="H41" s="16">
        <v>8.9893172800531929</v>
      </c>
      <c r="K41" s="399" t="s">
        <v>551</v>
      </c>
      <c r="L41" s="633">
        <f>20%*(2/6)</f>
        <v>6.6666666666666666E-2</v>
      </c>
      <c r="M41" s="628">
        <f t="shared" si="1"/>
        <v>573.82100000000014</v>
      </c>
      <c r="N41" s="628">
        <f t="shared" si="1"/>
        <v>736.19400000000007</v>
      </c>
      <c r="O41" s="628">
        <f t="shared" si="1"/>
        <v>162.37299999999999</v>
      </c>
      <c r="P41" s="16">
        <f t="shared" si="1"/>
        <v>4.8768500000000001</v>
      </c>
      <c r="R41" s="267"/>
      <c r="S41" s="2"/>
      <c r="T41" s="2"/>
      <c r="U41" s="2"/>
      <c r="V41" s="2"/>
      <c r="W41" s="2"/>
      <c r="X41" s="2"/>
      <c r="Y41" s="2"/>
      <c r="Z41" s="2"/>
    </row>
    <row r="42" spans="1:26" s="235" customFormat="1" x14ac:dyDescent="0.25">
      <c r="B42" s="399" t="s">
        <v>552</v>
      </c>
      <c r="C42" s="623">
        <v>175.57064285714287</v>
      </c>
      <c r="D42" s="633">
        <v>5.2677643610871905E-2</v>
      </c>
      <c r="E42" s="628">
        <v>700.96031757456615</v>
      </c>
      <c r="F42" s="628">
        <v>1135.4003013670419</v>
      </c>
      <c r="G42" s="628">
        <v>434.4399837924758</v>
      </c>
      <c r="H42" s="16">
        <v>11.469215572121362</v>
      </c>
      <c r="K42" s="399" t="s">
        <v>552</v>
      </c>
      <c r="L42" s="633">
        <v>0</v>
      </c>
      <c r="M42" s="628">
        <f t="shared" si="1"/>
        <v>519.37729999999988</v>
      </c>
      <c r="N42" s="628">
        <f t="shared" si="1"/>
        <v>647.76199999999994</v>
      </c>
      <c r="O42" s="628">
        <f t="shared" si="1"/>
        <v>128.38470000000001</v>
      </c>
      <c r="P42" s="16">
        <f t="shared" si="1"/>
        <v>4.4444664000000005</v>
      </c>
      <c r="R42" s="267"/>
      <c r="S42" s="2"/>
      <c r="T42" s="2"/>
      <c r="U42" s="2"/>
      <c r="V42" s="2"/>
      <c r="W42" s="2"/>
      <c r="X42" s="2"/>
      <c r="Y42" s="2"/>
      <c r="Z42" s="2"/>
    </row>
    <row r="43" spans="1:26" s="235" customFormat="1" x14ac:dyDescent="0.25">
      <c r="B43" s="399" t="s">
        <v>554</v>
      </c>
      <c r="C43" s="623">
        <v>175.57064285714287</v>
      </c>
      <c r="D43" s="633">
        <v>5.2677643610871905E-2</v>
      </c>
      <c r="E43" s="628">
        <v>810.16895307672246</v>
      </c>
      <c r="F43" s="628">
        <v>1208.1801063777216</v>
      </c>
      <c r="G43" s="628">
        <v>398.01115330099913</v>
      </c>
      <c r="H43" s="16">
        <v>10.507494447146378</v>
      </c>
      <c r="K43" s="399" t="s">
        <v>554</v>
      </c>
      <c r="L43" s="633">
        <f>L13</f>
        <v>0</v>
      </c>
      <c r="M43" s="628">
        <f t="shared" si="1"/>
        <v>0</v>
      </c>
      <c r="N43" s="628">
        <f t="shared" si="1"/>
        <v>0</v>
      </c>
      <c r="O43" s="628">
        <f t="shared" si="1"/>
        <v>0</v>
      </c>
      <c r="P43" s="16">
        <f t="shared" si="1"/>
        <v>0</v>
      </c>
      <c r="R43" s="267"/>
      <c r="S43" s="2"/>
      <c r="T43" s="2"/>
      <c r="U43" s="2"/>
      <c r="V43" s="2"/>
      <c r="W43" s="2"/>
      <c r="X43" s="2"/>
      <c r="Y43" s="2"/>
      <c r="Z43" s="2"/>
    </row>
    <row r="44" spans="1:26" s="235" customFormat="1" x14ac:dyDescent="0.25">
      <c r="B44" s="399" t="s">
        <v>555</v>
      </c>
      <c r="C44" s="623">
        <v>23.881657142857147</v>
      </c>
      <c r="D44" s="633">
        <v>7.1653745941574467E-3</v>
      </c>
      <c r="E44" s="628">
        <v>613.79199471547327</v>
      </c>
      <c r="F44" s="628">
        <v>970.13414414183239</v>
      </c>
      <c r="G44" s="628">
        <v>356.34214942635913</v>
      </c>
      <c r="H44" s="16">
        <v>7.1268429885271827</v>
      </c>
      <c r="K44" s="399" t="s">
        <v>555</v>
      </c>
      <c r="L44" s="633">
        <v>0</v>
      </c>
      <c r="M44" s="628">
        <f t="shared" si="1"/>
        <v>532.40654999999992</v>
      </c>
      <c r="N44" s="628">
        <f t="shared" si="1"/>
        <v>646.26199999999994</v>
      </c>
      <c r="O44" s="628">
        <f t="shared" si="1"/>
        <v>113.85545</v>
      </c>
      <c r="P44" s="16">
        <f t="shared" si="1"/>
        <v>3.3757500000000005</v>
      </c>
      <c r="R44" s="267"/>
      <c r="S44" s="2"/>
      <c r="T44" s="2"/>
      <c r="U44" s="2"/>
      <c r="V44" s="2"/>
      <c r="W44" s="2"/>
      <c r="X44" s="2"/>
      <c r="Y44" s="2"/>
      <c r="Z44" s="2"/>
    </row>
    <row r="45" spans="1:26" s="235" customFormat="1" x14ac:dyDescent="0.25">
      <c r="B45" s="399" t="s">
        <v>557</v>
      </c>
      <c r="C45" s="623">
        <v>453.75148571428571</v>
      </c>
      <c r="D45" s="633">
        <v>0.13614211728899145</v>
      </c>
      <c r="E45" s="628">
        <v>769.30352713738796</v>
      </c>
      <c r="F45" s="628">
        <v>1099.1028143523129</v>
      </c>
      <c r="G45" s="628">
        <v>329.7992872149249</v>
      </c>
      <c r="H45" s="16">
        <v>6.5959857442984982</v>
      </c>
      <c r="K45" s="399" t="s">
        <v>557</v>
      </c>
      <c r="L45" s="633">
        <f t="shared" ref="L45:L55" si="2">L15</f>
        <v>0</v>
      </c>
      <c r="M45" s="628">
        <f t="shared" si="1"/>
        <v>0</v>
      </c>
      <c r="N45" s="628">
        <f t="shared" si="1"/>
        <v>0</v>
      </c>
      <c r="O45" s="628">
        <f t="shared" si="1"/>
        <v>0</v>
      </c>
      <c r="P45" s="16">
        <f t="shared" si="1"/>
        <v>0</v>
      </c>
      <c r="R45" s="267"/>
      <c r="S45" s="2"/>
      <c r="T45" s="2"/>
      <c r="U45" s="2"/>
      <c r="V45" s="2"/>
      <c r="W45" s="2"/>
      <c r="X45" s="2"/>
      <c r="Y45" s="2"/>
      <c r="Z45" s="2"/>
    </row>
    <row r="46" spans="1:26" s="235" customFormat="1" x14ac:dyDescent="0.25">
      <c r="B46" s="399" t="s">
        <v>558</v>
      </c>
      <c r="C46" s="623">
        <v>124.49</v>
      </c>
      <c r="D46" s="633">
        <v>3.735157396702922E-2</v>
      </c>
      <c r="E46" s="628">
        <v>546.72660107878403</v>
      </c>
      <c r="F46" s="628">
        <v>915.65679849758544</v>
      </c>
      <c r="G46" s="628">
        <v>368.93019741880141</v>
      </c>
      <c r="H46" s="16">
        <v>9.7397572118563573</v>
      </c>
      <c r="K46" s="399" t="s">
        <v>558</v>
      </c>
      <c r="L46" s="633">
        <f t="shared" si="2"/>
        <v>0</v>
      </c>
      <c r="M46" s="628">
        <f t="shared" si="1"/>
        <v>585.87876000000006</v>
      </c>
      <c r="N46" s="628">
        <f t="shared" si="1"/>
        <v>710.74800000000005</v>
      </c>
      <c r="O46" s="628">
        <f t="shared" si="1"/>
        <v>124.86924</v>
      </c>
      <c r="P46" s="16">
        <f t="shared" si="1"/>
        <v>3.618198</v>
      </c>
      <c r="R46" s="267"/>
      <c r="S46" s="2"/>
      <c r="T46" s="2"/>
      <c r="U46" s="2"/>
      <c r="V46" s="2"/>
      <c r="W46" s="2"/>
      <c r="X46" s="2"/>
      <c r="Y46" s="2"/>
      <c r="Z46" s="2"/>
    </row>
    <row r="47" spans="1:26" s="235" customFormat="1" x14ac:dyDescent="0.25">
      <c r="B47" s="399" t="s">
        <v>561</v>
      </c>
      <c r="C47" s="623"/>
      <c r="D47" s="633"/>
      <c r="E47" s="628"/>
      <c r="F47" s="628"/>
      <c r="G47" s="628"/>
      <c r="H47" s="16"/>
      <c r="K47" s="399" t="s">
        <v>561</v>
      </c>
      <c r="L47" s="633">
        <f t="shared" si="2"/>
        <v>0</v>
      </c>
      <c r="M47" s="628">
        <f t="shared" si="1"/>
        <v>549.42200000000003</v>
      </c>
      <c r="N47" s="634">
        <f t="shared" si="1"/>
        <v>0</v>
      </c>
      <c r="O47" s="634">
        <f t="shared" si="1"/>
        <v>0</v>
      </c>
      <c r="P47" s="635">
        <f t="shared" si="1"/>
        <v>0</v>
      </c>
      <c r="R47" s="267"/>
      <c r="S47" s="2"/>
      <c r="T47" s="2"/>
      <c r="U47" s="2"/>
      <c r="V47" s="2"/>
      <c r="W47" s="2"/>
      <c r="X47" s="2"/>
      <c r="Y47" s="2"/>
      <c r="Z47" s="2"/>
    </row>
    <row r="48" spans="1:26" s="235" customFormat="1" x14ac:dyDescent="0.25">
      <c r="B48" s="399" t="s">
        <v>562</v>
      </c>
      <c r="C48" s="623">
        <v>519.13571428571424</v>
      </c>
      <c r="D48" s="633">
        <v>0.15575978818434738</v>
      </c>
      <c r="E48" s="628">
        <v>741.65109138717662</v>
      </c>
      <c r="F48" s="628">
        <v>1201.165639084739</v>
      </c>
      <c r="G48" s="628">
        <v>459.51454769756236</v>
      </c>
      <c r="H48" s="16">
        <v>12.131184059215649</v>
      </c>
      <c r="K48" s="399" t="s">
        <v>562</v>
      </c>
      <c r="L48" s="633">
        <f t="shared" si="2"/>
        <v>0</v>
      </c>
      <c r="M48" s="628">
        <f t="shared" si="1"/>
        <v>0</v>
      </c>
      <c r="N48" s="628">
        <f t="shared" si="1"/>
        <v>0</v>
      </c>
      <c r="O48" s="628">
        <f t="shared" si="1"/>
        <v>0</v>
      </c>
      <c r="P48" s="16">
        <f t="shared" si="1"/>
        <v>0</v>
      </c>
      <c r="R48" s="267"/>
      <c r="S48" s="2"/>
      <c r="T48" s="2"/>
      <c r="U48" s="2"/>
      <c r="V48" s="2"/>
      <c r="W48" s="2"/>
      <c r="X48" s="2"/>
      <c r="Y48" s="2"/>
      <c r="Z48" s="2"/>
    </row>
    <row r="49" spans="1:26" s="235" customFormat="1" x14ac:dyDescent="0.25">
      <c r="B49" s="399" t="s">
        <v>565</v>
      </c>
      <c r="C49" s="623">
        <v>8.9548571428571417</v>
      </c>
      <c r="D49" s="633">
        <v>2.6867861590136439E-3</v>
      </c>
      <c r="E49" s="628">
        <v>492.19927478742193</v>
      </c>
      <c r="F49" s="628">
        <v>780.7576654050805</v>
      </c>
      <c r="G49" s="628">
        <v>288.55839061765857</v>
      </c>
      <c r="H49" s="16">
        <v>5.7711678123531716</v>
      </c>
      <c r="K49" s="399" t="s">
        <v>565</v>
      </c>
      <c r="L49" s="633">
        <f t="shared" si="2"/>
        <v>0</v>
      </c>
      <c r="M49" s="628">
        <f t="shared" si="1"/>
        <v>0</v>
      </c>
      <c r="N49" s="628">
        <f t="shared" si="1"/>
        <v>0</v>
      </c>
      <c r="O49" s="628">
        <f t="shared" si="1"/>
        <v>0</v>
      </c>
      <c r="P49" s="16">
        <f t="shared" si="1"/>
        <v>0</v>
      </c>
      <c r="R49" s="267"/>
      <c r="S49" s="2"/>
      <c r="T49" s="2"/>
      <c r="U49" s="2"/>
      <c r="V49" s="2"/>
      <c r="W49" s="2"/>
      <c r="X49" s="2"/>
      <c r="Y49" s="2"/>
      <c r="Z49" s="2"/>
    </row>
    <row r="50" spans="1:26" s="235" customFormat="1" x14ac:dyDescent="0.25">
      <c r="B50" s="399" t="s">
        <v>563</v>
      </c>
      <c r="C50" s="623">
        <v>47.277471428571445</v>
      </c>
      <c r="D50" s="633">
        <v>1.4184978480507648E-2</v>
      </c>
      <c r="E50" s="628">
        <v>458.47682163236431</v>
      </c>
      <c r="F50" s="628">
        <v>738.73275000000001</v>
      </c>
      <c r="G50" s="628">
        <v>280.2559283676357</v>
      </c>
      <c r="H50" s="16">
        <v>7.3987565089055831</v>
      </c>
      <c r="K50" s="399" t="s">
        <v>563</v>
      </c>
      <c r="L50" s="633">
        <f t="shared" si="2"/>
        <v>4.1666666666666664E-2</v>
      </c>
      <c r="M50" s="628">
        <f t="shared" si="1"/>
        <v>485.93800000000005</v>
      </c>
      <c r="N50" s="628">
        <f t="shared" si="1"/>
        <v>666.92500000000007</v>
      </c>
      <c r="O50" s="628">
        <f t="shared" si="1"/>
        <v>180.98700000000002</v>
      </c>
      <c r="P50" s="16">
        <f t="shared" si="1"/>
        <v>7.8206040000000012</v>
      </c>
      <c r="R50" s="267"/>
      <c r="S50" s="2"/>
      <c r="T50" s="2"/>
      <c r="U50" s="2"/>
      <c r="V50" s="2"/>
      <c r="W50" s="2"/>
      <c r="X50" s="2"/>
      <c r="Y50" s="2"/>
      <c r="Z50" s="2"/>
    </row>
    <row r="51" spans="1:26" s="235" customFormat="1" x14ac:dyDescent="0.25">
      <c r="B51" s="399" t="s">
        <v>566</v>
      </c>
      <c r="C51" s="623">
        <v>55.157049999999991</v>
      </c>
      <c r="D51" s="633">
        <v>1.654914156059225E-2</v>
      </c>
      <c r="E51" s="628">
        <v>401.65884424105991</v>
      </c>
      <c r="F51" s="628">
        <v>679.21579999999994</v>
      </c>
      <c r="G51" s="628">
        <v>277.55695575894003</v>
      </c>
      <c r="H51" s="16">
        <v>5.5511391151788008</v>
      </c>
      <c r="K51" s="399" t="s">
        <v>566</v>
      </c>
      <c r="L51" s="633">
        <f t="shared" si="2"/>
        <v>4.1666666666666664E-2</v>
      </c>
      <c r="M51" s="628">
        <f t="shared" si="1"/>
        <v>101.71000000000004</v>
      </c>
      <c r="N51" s="628">
        <f t="shared" si="1"/>
        <v>290.46000000000004</v>
      </c>
      <c r="O51" s="628">
        <f t="shared" si="1"/>
        <v>188.75</v>
      </c>
      <c r="P51" s="16">
        <f t="shared" si="1"/>
        <v>8.6790000000000003</v>
      </c>
      <c r="R51" s="267"/>
      <c r="S51" s="2"/>
      <c r="T51" s="2"/>
      <c r="U51" s="2"/>
      <c r="V51" s="2"/>
      <c r="W51" s="2"/>
      <c r="X51" s="2"/>
      <c r="Y51" s="2"/>
      <c r="Z51" s="2"/>
    </row>
    <row r="52" spans="1:26" s="235" customFormat="1" x14ac:dyDescent="0.25">
      <c r="B52" s="399" t="s">
        <v>569</v>
      </c>
      <c r="C52" s="623">
        <v>55.157049999999991</v>
      </c>
      <c r="D52" s="633">
        <v>1.654914156059225E-2</v>
      </c>
      <c r="E52" s="628">
        <v>391.15779424105995</v>
      </c>
      <c r="F52" s="628">
        <v>668.37725</v>
      </c>
      <c r="G52" s="628">
        <v>277.21945575894006</v>
      </c>
      <c r="H52" s="16">
        <v>5.5443891151788014</v>
      </c>
      <c r="K52" s="399" t="s">
        <v>569</v>
      </c>
      <c r="L52" s="633">
        <f t="shared" si="2"/>
        <v>4.1666666666666664E-2</v>
      </c>
      <c r="M52" s="628">
        <f t="shared" si="1"/>
        <v>192.35000000000002</v>
      </c>
      <c r="N52" s="628">
        <f t="shared" si="1"/>
        <v>381.1</v>
      </c>
      <c r="O52" s="628">
        <f t="shared" si="1"/>
        <v>188.75</v>
      </c>
      <c r="P52" s="16">
        <f t="shared" si="1"/>
        <v>6.5750000000000002</v>
      </c>
      <c r="R52" s="267"/>
      <c r="S52" s="2"/>
      <c r="T52" s="2"/>
      <c r="U52" s="2"/>
      <c r="V52" s="2"/>
      <c r="W52" s="2"/>
      <c r="X52" s="2"/>
      <c r="Y52" s="2"/>
      <c r="Z52" s="2"/>
    </row>
    <row r="53" spans="1:26" s="235" customFormat="1" x14ac:dyDescent="0.25">
      <c r="B53" s="399" t="s">
        <v>571</v>
      </c>
      <c r="C53" s="623">
        <v>41.674571428571426</v>
      </c>
      <c r="D53" s="633">
        <v>1.2503902620760931E-2</v>
      </c>
      <c r="E53" s="628">
        <v>403.45787504896191</v>
      </c>
      <c r="F53" s="628">
        <v>692.51666666666654</v>
      </c>
      <c r="G53" s="628">
        <v>289.05879161770463</v>
      </c>
      <c r="H53" s="16">
        <v>5.7811758323540925</v>
      </c>
      <c r="K53" s="399" t="s">
        <v>568</v>
      </c>
      <c r="L53" s="633">
        <f t="shared" si="2"/>
        <v>4.1666666666666664E-2</v>
      </c>
      <c r="M53" s="628">
        <f t="shared" si="1"/>
        <v>155.74157997499998</v>
      </c>
      <c r="N53" s="628">
        <f t="shared" si="1"/>
        <v>381.1</v>
      </c>
      <c r="O53" s="628">
        <f t="shared" si="1"/>
        <v>225.35842002500004</v>
      </c>
      <c r="P53" s="16">
        <f t="shared" si="1"/>
        <v>7.6487684005000007</v>
      </c>
      <c r="R53" s="267"/>
      <c r="S53" s="2"/>
      <c r="T53" s="2"/>
      <c r="U53" s="2"/>
      <c r="V53" s="2"/>
      <c r="W53" s="2"/>
      <c r="X53" s="2"/>
      <c r="Y53" s="2"/>
      <c r="Z53" s="2"/>
    </row>
    <row r="54" spans="1:26" s="235" customFormat="1" x14ac:dyDescent="0.25">
      <c r="A54" s="290"/>
      <c r="B54" s="399" t="s">
        <v>574</v>
      </c>
      <c r="C54" s="623">
        <v>4.7142857142857144</v>
      </c>
      <c r="D54" s="633">
        <v>1.4144589248843446E-3</v>
      </c>
      <c r="E54" s="628">
        <v>479.5150856389987</v>
      </c>
      <c r="F54" s="628">
        <v>700</v>
      </c>
      <c r="G54" s="628">
        <v>220.48491436100133</v>
      </c>
      <c r="H54" s="16">
        <v>4.409698287220027</v>
      </c>
      <c r="K54" s="399" t="s">
        <v>574</v>
      </c>
      <c r="L54" s="633">
        <f t="shared" si="2"/>
        <v>0</v>
      </c>
      <c r="M54" s="628">
        <f t="shared" si="1"/>
        <v>0</v>
      </c>
      <c r="N54" s="628">
        <f t="shared" si="1"/>
        <v>0</v>
      </c>
      <c r="O54" s="628">
        <f t="shared" si="1"/>
        <v>0</v>
      </c>
      <c r="P54" s="16">
        <f t="shared" si="1"/>
        <v>0</v>
      </c>
      <c r="R54" s="267"/>
      <c r="S54" s="2"/>
      <c r="T54" s="2"/>
      <c r="U54" s="2"/>
      <c r="V54" s="2"/>
      <c r="W54" s="2"/>
      <c r="X54" s="2"/>
      <c r="Y54" s="2"/>
      <c r="Z54" s="2"/>
    </row>
    <row r="55" spans="1:26" s="235" customFormat="1" x14ac:dyDescent="0.25">
      <c r="A55" s="290"/>
      <c r="B55" s="399" t="s">
        <v>575</v>
      </c>
      <c r="C55" s="623">
        <v>17.434571428571427</v>
      </c>
      <c r="D55" s="633">
        <v>5.2310120033556111E-3</v>
      </c>
      <c r="E55" s="628">
        <v>633.01073781291166</v>
      </c>
      <c r="F55" s="628">
        <v>900</v>
      </c>
      <c r="G55" s="628">
        <v>266.98926218708829</v>
      </c>
      <c r="H55" s="16">
        <v>7.0485165217391303</v>
      </c>
      <c r="K55" s="399" t="s">
        <v>575</v>
      </c>
      <c r="L55" s="633">
        <f t="shared" si="2"/>
        <v>0</v>
      </c>
      <c r="M55" s="628">
        <f t="shared" si="1"/>
        <v>0</v>
      </c>
      <c r="N55" s="628">
        <f t="shared" si="1"/>
        <v>0</v>
      </c>
      <c r="O55" s="628">
        <f t="shared" si="1"/>
        <v>0</v>
      </c>
      <c r="P55" s="16">
        <f t="shared" si="1"/>
        <v>0</v>
      </c>
      <c r="R55" s="267"/>
      <c r="S55" s="2"/>
      <c r="T55" s="2"/>
      <c r="U55" s="2"/>
      <c r="V55" s="2"/>
      <c r="W55" s="2"/>
      <c r="X55" s="2"/>
      <c r="Y55" s="2"/>
      <c r="Z55" s="2"/>
    </row>
    <row r="56" spans="1:26" s="235" customFormat="1" x14ac:dyDescent="0.25">
      <c r="A56" s="290"/>
      <c r="B56" s="399" t="s">
        <v>576</v>
      </c>
      <c r="C56" s="623"/>
      <c r="D56" s="633"/>
      <c r="E56" s="628"/>
      <c r="F56" s="628"/>
      <c r="G56" s="628"/>
      <c r="H56" s="16"/>
      <c r="K56" s="399" t="s">
        <v>576</v>
      </c>
      <c r="L56" s="633">
        <v>0.5</v>
      </c>
      <c r="M56" s="628">
        <f t="shared" si="1"/>
        <v>0</v>
      </c>
      <c r="N56" s="628">
        <f t="shared" si="1"/>
        <v>0</v>
      </c>
      <c r="O56" s="628">
        <f t="shared" si="1"/>
        <v>125.66500000000001</v>
      </c>
      <c r="P56" s="16">
        <f t="shared" si="1"/>
        <v>2.5133000000000001</v>
      </c>
      <c r="R56" s="267"/>
      <c r="S56" s="2"/>
      <c r="T56" s="2"/>
      <c r="U56" s="2"/>
      <c r="V56" s="2"/>
      <c r="W56" s="2"/>
      <c r="X56" s="2"/>
      <c r="Y56" s="2"/>
      <c r="Z56" s="2"/>
    </row>
    <row r="57" spans="1:26" s="235" customFormat="1" ht="11" thickBot="1" x14ac:dyDescent="0.3">
      <c r="B57" s="400" t="s">
        <v>246</v>
      </c>
      <c r="C57" s="631">
        <v>3332.9251428571424</v>
      </c>
      <c r="D57" s="632">
        <v>1.0000000000000004</v>
      </c>
      <c r="E57" s="629">
        <v>763.41162645513634</v>
      </c>
      <c r="F57" s="629">
        <v>1246.1989443760331</v>
      </c>
      <c r="G57" s="629">
        <v>482.78731792089673</v>
      </c>
      <c r="H57" s="630">
        <v>12.310829381613869</v>
      </c>
      <c r="K57" s="400" t="s">
        <v>246</v>
      </c>
      <c r="L57" s="632">
        <f>SUM(L35:L56)</f>
        <v>1</v>
      </c>
      <c r="M57" s="629">
        <f>SUMPRODUCT($L$35:$L$56,M35:M56)</f>
        <v>309.29508249895832</v>
      </c>
      <c r="N57" s="629">
        <f>SUMPRODUCT($L$35:$L$56,N35:N56)</f>
        <v>383.02230833333334</v>
      </c>
      <c r="O57" s="629">
        <f>SUMPRODUCT($L$35:$L$56,O35:O56)</f>
        <v>136.559725834375</v>
      </c>
      <c r="P57" s="630">
        <f>SUMPRODUCT($L$35:$L$56,P35:P56)</f>
        <v>4.055165690020833</v>
      </c>
      <c r="R57" s="267"/>
      <c r="S57" s="2"/>
      <c r="T57" s="2"/>
      <c r="U57" s="2"/>
      <c r="V57" s="2"/>
      <c r="W57" s="2"/>
      <c r="X57" s="2"/>
      <c r="Y57" s="2"/>
      <c r="Z57" s="2"/>
    </row>
    <row r="58" spans="1:26" s="235" customFormat="1" x14ac:dyDescent="0.25">
      <c r="A58" s="290"/>
      <c r="R58" s="267"/>
      <c r="S58" s="2"/>
      <c r="T58" s="2"/>
      <c r="U58" s="2"/>
      <c r="V58" s="2"/>
      <c r="W58" s="2"/>
      <c r="X58" s="2"/>
      <c r="Y58" s="2"/>
      <c r="Z58" s="2"/>
    </row>
    <row r="59" spans="1:26" s="235" customFormat="1" x14ac:dyDescent="0.25">
      <c r="A59" s="290"/>
      <c r="R59" s="267"/>
      <c r="S59" s="2"/>
      <c r="T59" s="2"/>
      <c r="U59" s="2"/>
      <c r="V59" s="2"/>
      <c r="W59" s="2"/>
      <c r="X59" s="2"/>
      <c r="Y59" s="2"/>
      <c r="Z59" s="2"/>
    </row>
    <row r="60" spans="1:26" s="235" customFormat="1" ht="11" thickBot="1" x14ac:dyDescent="0.3">
      <c r="A60" s="290"/>
      <c r="R60" s="267"/>
      <c r="S60" s="2"/>
      <c r="T60" s="2"/>
      <c r="U60" s="2"/>
      <c r="V60" s="2"/>
      <c r="W60" s="2"/>
      <c r="X60" s="2"/>
      <c r="Y60" s="2"/>
      <c r="Z60" s="2"/>
    </row>
    <row r="61" spans="1:26" s="235" customFormat="1" ht="21" customHeight="1" x14ac:dyDescent="0.25">
      <c r="A61" s="290"/>
      <c r="K61" s="396" t="s">
        <v>528</v>
      </c>
      <c r="L61" s="1494" t="s">
        <v>74</v>
      </c>
      <c r="M61" s="1495"/>
      <c r="N61" s="1495"/>
      <c r="O61" s="1495"/>
      <c r="P61" s="1496"/>
      <c r="R61" s="349" t="s">
        <v>578</v>
      </c>
      <c r="S61" s="2"/>
      <c r="T61" s="2"/>
      <c r="U61" s="2"/>
      <c r="V61" s="2"/>
      <c r="W61" s="2"/>
      <c r="X61" s="2"/>
      <c r="Y61" s="2"/>
      <c r="Z61" s="2"/>
    </row>
    <row r="62" spans="1:26" s="235" customFormat="1" ht="31.5" x14ac:dyDescent="0.25">
      <c r="A62" s="290"/>
      <c r="K62" s="397" t="s">
        <v>530</v>
      </c>
      <c r="L62" s="917" t="s">
        <v>532</v>
      </c>
      <c r="M62" s="4" t="s">
        <v>533</v>
      </c>
      <c r="N62" s="4" t="s">
        <v>534</v>
      </c>
      <c r="O62" s="4" t="s">
        <v>536</v>
      </c>
      <c r="P62" s="394" t="s">
        <v>216</v>
      </c>
      <c r="R62" s="267"/>
      <c r="S62" s="2"/>
      <c r="T62" s="2"/>
      <c r="U62" s="2"/>
      <c r="V62" s="2"/>
      <c r="W62" s="2"/>
      <c r="X62" s="2"/>
      <c r="Y62" s="2"/>
      <c r="Z62" s="2"/>
    </row>
    <row r="63" spans="1:26" s="235" customFormat="1" x14ac:dyDescent="0.25">
      <c r="A63" s="290"/>
      <c r="K63" s="398"/>
      <c r="L63" s="918"/>
      <c r="M63" s="174" t="s">
        <v>538</v>
      </c>
      <c r="N63" s="174"/>
      <c r="O63" s="174"/>
      <c r="P63" s="395" t="s">
        <v>538</v>
      </c>
      <c r="R63" s="267"/>
      <c r="S63" s="2"/>
      <c r="T63" s="2"/>
      <c r="U63" s="2"/>
      <c r="V63" s="2"/>
      <c r="W63" s="2"/>
      <c r="X63" s="2"/>
      <c r="Y63" s="2"/>
      <c r="Z63" s="2"/>
    </row>
    <row r="64" spans="1:26" s="235" customFormat="1" x14ac:dyDescent="0.25">
      <c r="K64" s="399" t="s">
        <v>552</v>
      </c>
      <c r="L64" s="838">
        <f>1/2*50%</f>
        <v>0.25</v>
      </c>
      <c r="M64" s="628">
        <f>M42</f>
        <v>519.37729999999988</v>
      </c>
      <c r="N64" s="628">
        <f>N42</f>
        <v>647.76199999999994</v>
      </c>
      <c r="O64" s="628">
        <f>O42</f>
        <v>128.38470000000001</v>
      </c>
      <c r="P64" s="861">
        <f>P42</f>
        <v>4.4444664000000005</v>
      </c>
      <c r="R64" s="267"/>
      <c r="S64" s="2"/>
      <c r="T64" s="2"/>
      <c r="U64" s="2"/>
      <c r="V64" s="2"/>
      <c r="W64" s="2"/>
      <c r="X64" s="2"/>
      <c r="Y64" s="2"/>
      <c r="Z64" s="2"/>
    </row>
    <row r="65" spans="2:26" s="235" customFormat="1" x14ac:dyDescent="0.25">
      <c r="K65" s="399" t="s">
        <v>555</v>
      </c>
      <c r="L65" s="838">
        <v>0.25</v>
      </c>
      <c r="M65" s="628">
        <f>M44</f>
        <v>532.40654999999992</v>
      </c>
      <c r="N65" s="628">
        <f>N44</f>
        <v>646.26199999999994</v>
      </c>
      <c r="O65" s="628">
        <f>O44</f>
        <v>113.85545</v>
      </c>
      <c r="P65" s="861">
        <f>P44</f>
        <v>3.3757500000000005</v>
      </c>
      <c r="R65" s="267"/>
      <c r="S65" s="2"/>
      <c r="T65" s="2"/>
      <c r="U65" s="2"/>
      <c r="V65" s="2"/>
      <c r="W65" s="2"/>
      <c r="X65" s="2"/>
      <c r="Y65" s="2"/>
      <c r="Z65" s="2"/>
    </row>
    <row r="66" spans="2:26" s="235" customFormat="1" x14ac:dyDescent="0.25">
      <c r="K66" s="399" t="s">
        <v>563</v>
      </c>
      <c r="L66" s="838">
        <f>1/4*50%</f>
        <v>0.125</v>
      </c>
      <c r="M66" s="628">
        <f>M50</f>
        <v>485.93800000000005</v>
      </c>
      <c r="N66" s="628">
        <f t="shared" ref="M66:P69" si="3">N50</f>
        <v>666.92500000000007</v>
      </c>
      <c r="O66" s="628">
        <f t="shared" si="3"/>
        <v>180.98700000000002</v>
      </c>
      <c r="P66" s="861">
        <f t="shared" si="3"/>
        <v>7.8206040000000012</v>
      </c>
      <c r="R66" s="267"/>
      <c r="S66" s="2"/>
      <c r="T66" s="2"/>
      <c r="U66" s="2"/>
      <c r="V66" s="2"/>
      <c r="W66" s="2"/>
      <c r="X66" s="2"/>
      <c r="Y66" s="2"/>
      <c r="Z66" s="2"/>
    </row>
    <row r="67" spans="2:26" s="235" customFormat="1" x14ac:dyDescent="0.25">
      <c r="K67" s="399" t="s">
        <v>566</v>
      </c>
      <c r="L67" s="838">
        <f t="shared" ref="L67:L69" si="4">1/4*50%</f>
        <v>0.125</v>
      </c>
      <c r="M67" s="628">
        <f t="shared" si="3"/>
        <v>101.71000000000004</v>
      </c>
      <c r="N67" s="628">
        <f t="shared" si="3"/>
        <v>290.46000000000004</v>
      </c>
      <c r="O67" s="628">
        <f t="shared" si="3"/>
        <v>188.75</v>
      </c>
      <c r="P67" s="861">
        <f t="shared" si="3"/>
        <v>8.6790000000000003</v>
      </c>
      <c r="R67" s="267"/>
      <c r="S67" s="2"/>
      <c r="T67" s="2"/>
      <c r="U67" s="2"/>
      <c r="V67" s="2"/>
      <c r="W67" s="2"/>
      <c r="X67" s="2"/>
      <c r="Y67" s="2"/>
      <c r="Z67" s="2"/>
    </row>
    <row r="68" spans="2:26" s="235" customFormat="1" x14ac:dyDescent="0.25">
      <c r="K68" s="399" t="s">
        <v>569</v>
      </c>
      <c r="L68" s="838">
        <f t="shared" si="4"/>
        <v>0.125</v>
      </c>
      <c r="M68" s="628">
        <f t="shared" si="3"/>
        <v>192.35000000000002</v>
      </c>
      <c r="N68" s="628">
        <f t="shared" si="3"/>
        <v>381.1</v>
      </c>
      <c r="O68" s="628">
        <f t="shared" si="3"/>
        <v>188.75</v>
      </c>
      <c r="P68" s="861">
        <f t="shared" si="3"/>
        <v>6.5750000000000002</v>
      </c>
      <c r="R68" s="267"/>
      <c r="S68" s="2"/>
      <c r="T68" s="2"/>
      <c r="U68" s="2"/>
      <c r="V68" s="2"/>
      <c r="W68" s="2"/>
      <c r="X68" s="2"/>
      <c r="Y68" s="2"/>
      <c r="Z68" s="2"/>
    </row>
    <row r="69" spans="2:26" s="235" customFormat="1" x14ac:dyDescent="0.25">
      <c r="K69" s="399" t="s">
        <v>568</v>
      </c>
      <c r="L69" s="838">
        <f t="shared" si="4"/>
        <v>0.125</v>
      </c>
      <c r="M69" s="628">
        <f t="shared" si="3"/>
        <v>155.74157997499998</v>
      </c>
      <c r="N69" s="628">
        <f t="shared" si="3"/>
        <v>381.1</v>
      </c>
      <c r="O69" s="628">
        <f t="shared" si="3"/>
        <v>225.35842002500004</v>
      </c>
      <c r="P69" s="861">
        <f t="shared" si="3"/>
        <v>7.6487684005000007</v>
      </c>
      <c r="R69" s="267"/>
      <c r="S69" s="2"/>
      <c r="T69" s="2"/>
      <c r="U69" s="2"/>
      <c r="V69" s="2"/>
      <c r="W69" s="2"/>
      <c r="X69" s="2"/>
      <c r="Y69" s="2"/>
      <c r="Z69" s="2"/>
    </row>
    <row r="70" spans="2:26" s="235" customFormat="1" ht="11" thickBot="1" x14ac:dyDescent="0.3">
      <c r="K70" s="400" t="s">
        <v>246</v>
      </c>
      <c r="L70" s="919">
        <f>SUM(L64:L69)</f>
        <v>1</v>
      </c>
      <c r="M70" s="629">
        <f>SUMPRODUCT($L$64:$L$69,M64:M69)</f>
        <v>379.91340999687498</v>
      </c>
      <c r="N70" s="629">
        <f>SUMPRODUCT($L$64:$L$69,N64:N69)</f>
        <v>538.45412499999998</v>
      </c>
      <c r="O70" s="629">
        <f>SUMPRODUCT($L$64:$L$69,O64:O69)</f>
        <v>158.540715003125</v>
      </c>
      <c r="P70" s="630">
        <f>SUMPRODUCT($L$64:$L$69,P64:P69)</f>
        <v>5.7954756500625013</v>
      </c>
      <c r="R70" s="267"/>
      <c r="S70" s="2"/>
      <c r="T70" s="2"/>
      <c r="U70" s="2"/>
      <c r="V70" s="2"/>
      <c r="W70" s="2"/>
      <c r="X70" s="2"/>
      <c r="Y70" s="2"/>
      <c r="Z70" s="2"/>
    </row>
    <row r="71" spans="2:26" s="235" customFormat="1" x14ac:dyDescent="0.25">
      <c r="R71" s="267"/>
      <c r="S71" s="2"/>
      <c r="T71" s="2"/>
      <c r="U71" s="2"/>
      <c r="V71" s="2"/>
      <c r="W71" s="2"/>
      <c r="X71" s="2"/>
      <c r="Y71" s="2"/>
      <c r="Z71" s="2"/>
    </row>
    <row r="72" spans="2:26" s="235" customFormat="1" x14ac:dyDescent="0.25">
      <c r="R72" s="267"/>
      <c r="S72" s="2"/>
      <c r="T72" s="2"/>
      <c r="U72" s="2"/>
      <c r="V72" s="2"/>
      <c r="W72" s="2"/>
      <c r="X72" s="2"/>
      <c r="Y72" s="2"/>
      <c r="Z72" s="2"/>
    </row>
    <row r="73" spans="2:26" s="235" customFormat="1" ht="11" thickBot="1" x14ac:dyDescent="0.3">
      <c r="Q73" s="965"/>
      <c r="R73" s="267"/>
      <c r="S73" s="2"/>
      <c r="T73" s="2"/>
      <c r="U73" s="2"/>
      <c r="V73" s="2"/>
      <c r="W73" s="2"/>
      <c r="X73" s="2"/>
      <c r="Y73" s="2"/>
      <c r="Z73" s="2"/>
    </row>
    <row r="74" spans="2:26" s="339" customFormat="1" ht="22.75" customHeight="1" thickBot="1" x14ac:dyDescent="0.4">
      <c r="B74" s="396" t="s">
        <v>580</v>
      </c>
      <c r="C74" s="1497" t="s">
        <v>581</v>
      </c>
      <c r="D74" s="1497"/>
      <c r="E74" s="1497"/>
      <c r="F74" s="1497"/>
      <c r="G74" s="1497"/>
      <c r="H74" s="1498"/>
      <c r="K74" s="396" t="s">
        <v>580</v>
      </c>
      <c r="L74" s="1499" t="s">
        <v>74</v>
      </c>
      <c r="M74" s="1497"/>
      <c r="N74" s="1497"/>
      <c r="O74" s="1497"/>
      <c r="P74" s="1497"/>
      <c r="Q74" s="966"/>
      <c r="R74" s="349"/>
      <c r="S74" s="175"/>
      <c r="T74" s="175"/>
      <c r="U74" s="175"/>
      <c r="V74" s="175"/>
      <c r="W74" s="175"/>
      <c r="X74" s="175"/>
      <c r="Y74" s="175"/>
      <c r="Z74" s="175"/>
    </row>
    <row r="75" spans="2:26" s="235" customFormat="1" x14ac:dyDescent="0.25">
      <c r="B75" s="953"/>
      <c r="C75" s="955" t="s">
        <v>531</v>
      </c>
      <c r="D75" s="955" t="s">
        <v>582</v>
      </c>
      <c r="E75" s="955" t="s">
        <v>583</v>
      </c>
      <c r="F75" s="955"/>
      <c r="G75" s="955"/>
      <c r="H75" s="956"/>
      <c r="K75" s="953"/>
      <c r="L75" s="955" t="s">
        <v>582</v>
      </c>
      <c r="M75" s="955" t="s">
        <v>583</v>
      </c>
      <c r="N75" s="955"/>
      <c r="O75" s="955"/>
      <c r="P75" s="956"/>
      <c r="Q75" s="299"/>
      <c r="R75" s="267"/>
      <c r="S75" s="2"/>
      <c r="T75" s="2"/>
      <c r="U75" s="2"/>
      <c r="V75" s="2"/>
      <c r="W75" s="2"/>
      <c r="X75" s="2"/>
      <c r="Y75" s="2"/>
    </row>
    <row r="76" spans="2:26" s="235" customFormat="1" ht="31.5" x14ac:dyDescent="0.25">
      <c r="B76" s="397"/>
      <c r="C76" s="957" t="s">
        <v>584</v>
      </c>
      <c r="D76" s="1"/>
      <c r="E76" s="4" t="s">
        <v>525</v>
      </c>
      <c r="F76" s="4" t="s">
        <v>534</v>
      </c>
      <c r="G76" s="4" t="s">
        <v>536</v>
      </c>
      <c r="H76" s="958" t="s">
        <v>216</v>
      </c>
      <c r="K76" s="397"/>
      <c r="L76" s="1"/>
      <c r="M76" s="4" t="s">
        <v>525</v>
      </c>
      <c r="N76" s="4" t="s">
        <v>534</v>
      </c>
      <c r="O76" s="4" t="s">
        <v>536</v>
      </c>
      <c r="P76" s="958" t="s">
        <v>216</v>
      </c>
      <c r="Q76" s="299"/>
      <c r="R76" s="267"/>
      <c r="S76" s="2"/>
      <c r="T76" s="2"/>
      <c r="U76" s="2"/>
      <c r="V76" s="2"/>
      <c r="W76" s="2"/>
      <c r="X76" s="2"/>
      <c r="Y76" s="2"/>
    </row>
    <row r="77" spans="2:26" s="235" customFormat="1" ht="11" thickBot="1" x14ac:dyDescent="0.3">
      <c r="B77" s="953"/>
      <c r="C77" s="959"/>
      <c r="D77" s="960"/>
      <c r="E77" s="960" t="s">
        <v>538</v>
      </c>
      <c r="F77" s="960"/>
      <c r="G77" s="960"/>
      <c r="H77" s="961" t="s">
        <v>538</v>
      </c>
      <c r="K77" s="953"/>
      <c r="L77" s="960"/>
      <c r="M77" s="960" t="s">
        <v>538</v>
      </c>
      <c r="N77" s="960"/>
      <c r="O77" s="960"/>
      <c r="P77" s="961" t="s">
        <v>538</v>
      </c>
      <c r="Q77" s="299"/>
      <c r="R77" s="267"/>
      <c r="S77" s="2"/>
      <c r="T77" s="2"/>
      <c r="U77" s="2"/>
      <c r="V77" s="2"/>
      <c r="W77" s="2"/>
      <c r="X77" s="2"/>
      <c r="Y77" s="2"/>
    </row>
    <row r="78" spans="2:26" s="235" customFormat="1" x14ac:dyDescent="0.25">
      <c r="B78" s="951"/>
      <c r="C78" s="967"/>
      <c r="D78" s="968"/>
      <c r="E78" s="968"/>
      <c r="F78" s="968"/>
      <c r="G78" s="968"/>
      <c r="H78" s="969"/>
      <c r="K78" s="951"/>
      <c r="L78" s="967"/>
      <c r="M78" s="968"/>
      <c r="N78" s="968"/>
      <c r="O78" s="968"/>
      <c r="P78" s="969"/>
      <c r="R78" s="267"/>
      <c r="S78" s="2"/>
      <c r="T78" s="2"/>
      <c r="U78" s="2"/>
      <c r="V78" s="2"/>
      <c r="W78" s="2"/>
      <c r="X78" s="2"/>
      <c r="Y78" s="2"/>
    </row>
    <row r="79" spans="2:26" s="235" customFormat="1" x14ac:dyDescent="0.25">
      <c r="B79" s="399" t="s">
        <v>541</v>
      </c>
      <c r="C79" s="970">
        <v>643.09457370199993</v>
      </c>
      <c r="D79" s="962">
        <f t="shared" ref="D79:D93" si="5">C79/$C$94</f>
        <v>0.34837633290459108</v>
      </c>
      <c r="E79" s="323">
        <f>E35</f>
        <v>872.31973060313373</v>
      </c>
      <c r="F79" s="323">
        <f>F35</f>
        <v>1447.264645083593</v>
      </c>
      <c r="G79" s="323">
        <f>G35</f>
        <v>574.94491448045926</v>
      </c>
      <c r="H79" s="964">
        <f>H35</f>
        <v>15.178545742284125</v>
      </c>
      <c r="K79" s="399" t="s">
        <v>541</v>
      </c>
      <c r="L79" s="992">
        <v>0</v>
      </c>
      <c r="M79" s="323">
        <f>E79</f>
        <v>872.31973060313373</v>
      </c>
      <c r="N79" s="323">
        <f t="shared" ref="N79:P93" si="6">F79</f>
        <v>1447.264645083593</v>
      </c>
      <c r="O79" s="323">
        <f t="shared" si="6"/>
        <v>574.94491448045926</v>
      </c>
      <c r="P79" s="964">
        <f t="shared" si="6"/>
        <v>15.178545742284125</v>
      </c>
      <c r="R79" s="267"/>
      <c r="S79" s="2"/>
      <c r="T79" s="2"/>
      <c r="U79" s="2"/>
      <c r="V79" s="2"/>
      <c r="W79" s="2"/>
      <c r="X79" s="2"/>
      <c r="Y79" s="2"/>
    </row>
    <row r="80" spans="2:26" s="235" customFormat="1" x14ac:dyDescent="0.25">
      <c r="B80" s="397" t="s">
        <v>544</v>
      </c>
      <c r="C80" s="970">
        <v>538.09954126085711</v>
      </c>
      <c r="D80" s="962">
        <f t="shared" si="5"/>
        <v>0.29149856426710685</v>
      </c>
      <c r="E80" s="323">
        <f>E37</f>
        <v>855.2433536259357</v>
      </c>
      <c r="F80" s="323">
        <f>F37</f>
        <v>1455.8552173475225</v>
      </c>
      <c r="G80" s="323">
        <f>G37</f>
        <v>600.61186372158681</v>
      </c>
      <c r="H80" s="964">
        <f>H37</f>
        <v>15.856153202249894</v>
      </c>
      <c r="K80" s="397" t="s">
        <v>544</v>
      </c>
      <c r="L80" s="992">
        <v>0</v>
      </c>
      <c r="M80" s="323">
        <f t="shared" ref="M80:M93" si="7">E80</f>
        <v>855.2433536259357</v>
      </c>
      <c r="N80" s="323">
        <f t="shared" si="6"/>
        <v>1455.8552173475225</v>
      </c>
      <c r="O80" s="323">
        <f t="shared" si="6"/>
        <v>600.61186372158681</v>
      </c>
      <c r="P80" s="964">
        <f t="shared" si="6"/>
        <v>15.856153202249894</v>
      </c>
      <c r="R80" s="267"/>
      <c r="S80" s="2"/>
      <c r="T80" s="2"/>
      <c r="U80" s="2"/>
      <c r="V80" s="2"/>
      <c r="W80" s="2"/>
      <c r="X80" s="2"/>
      <c r="Y80" s="2"/>
    </row>
    <row r="81" spans="2:26" s="235" customFormat="1" x14ac:dyDescent="0.25">
      <c r="B81" s="399" t="s">
        <v>554</v>
      </c>
      <c r="C81" s="970">
        <v>175.57064285714287</v>
      </c>
      <c r="D81" s="962">
        <f t="shared" si="5"/>
        <v>9.510989398056377E-2</v>
      </c>
      <c r="E81" s="323">
        <f t="shared" ref="E81:G82" si="8">E43</f>
        <v>810.16895307672246</v>
      </c>
      <c r="F81" s="323">
        <f t="shared" si="8"/>
        <v>1208.1801063777216</v>
      </c>
      <c r="G81" s="323">
        <f t="shared" si="8"/>
        <v>398.01115330099913</v>
      </c>
      <c r="H81" s="964">
        <v>10.507494447146378</v>
      </c>
      <c r="K81" s="399" t="s">
        <v>554</v>
      </c>
      <c r="L81" s="992">
        <v>0</v>
      </c>
      <c r="M81" s="323">
        <f t="shared" si="7"/>
        <v>810.16895307672246</v>
      </c>
      <c r="N81" s="323">
        <f t="shared" si="6"/>
        <v>1208.1801063777216</v>
      </c>
      <c r="O81" s="323">
        <f t="shared" si="6"/>
        <v>398.01115330099913</v>
      </c>
      <c r="P81" s="964">
        <f t="shared" si="6"/>
        <v>10.507494447146378</v>
      </c>
      <c r="R81" s="267"/>
      <c r="S81" s="2"/>
      <c r="T81" s="2"/>
      <c r="U81" s="2"/>
      <c r="V81" s="2"/>
      <c r="W81" s="2"/>
      <c r="X81" s="2"/>
      <c r="Y81" s="2"/>
    </row>
    <row r="82" spans="2:26" s="235" customFormat="1" x14ac:dyDescent="0.25">
      <c r="B82" s="399" t="s">
        <v>555</v>
      </c>
      <c r="C82" s="970">
        <v>23.881657142857147</v>
      </c>
      <c r="D82" s="962">
        <f t="shared" si="5"/>
        <v>1.2937139387166677E-2</v>
      </c>
      <c r="E82" s="323">
        <f t="shared" si="8"/>
        <v>613.79199471547327</v>
      </c>
      <c r="F82" s="323">
        <f t="shared" si="8"/>
        <v>970.13414414183239</v>
      </c>
      <c r="G82" s="323">
        <f t="shared" si="8"/>
        <v>356.34214942635913</v>
      </c>
      <c r="H82" s="964">
        <f>H44</f>
        <v>7.1268429885271827</v>
      </c>
      <c r="K82" s="399" t="s">
        <v>555</v>
      </c>
      <c r="L82" s="992">
        <v>0</v>
      </c>
      <c r="M82" s="323">
        <f t="shared" si="7"/>
        <v>613.79199471547327</v>
      </c>
      <c r="N82" s="323">
        <f t="shared" si="6"/>
        <v>970.13414414183239</v>
      </c>
      <c r="O82" s="323">
        <f t="shared" si="6"/>
        <v>356.34214942635913</v>
      </c>
      <c r="P82" s="964">
        <f t="shared" si="6"/>
        <v>7.1268429885271827</v>
      </c>
      <c r="R82" s="267"/>
      <c r="S82" s="2"/>
      <c r="T82" s="2"/>
      <c r="U82" s="2"/>
      <c r="V82" s="2"/>
      <c r="W82" s="2"/>
      <c r="X82" s="2"/>
      <c r="Y82" s="2"/>
    </row>
    <row r="83" spans="2:26" s="235" customFormat="1" x14ac:dyDescent="0.25">
      <c r="B83" s="399" t="s">
        <v>563</v>
      </c>
      <c r="C83" s="970">
        <v>47.277471428571445</v>
      </c>
      <c r="D83" s="962">
        <f t="shared" si="5"/>
        <v>2.5611088631140286E-2</v>
      </c>
      <c r="E83" s="323">
        <f t="shared" ref="E83:H85" si="9">E50</f>
        <v>458.47682163236431</v>
      </c>
      <c r="F83" s="323">
        <f t="shared" si="9"/>
        <v>738.73275000000001</v>
      </c>
      <c r="G83" s="323">
        <f t="shared" si="9"/>
        <v>280.2559283676357</v>
      </c>
      <c r="H83" s="964">
        <f t="shared" si="9"/>
        <v>7.3987565089055831</v>
      </c>
      <c r="K83" s="399" t="s">
        <v>563</v>
      </c>
      <c r="L83" s="992">
        <v>0</v>
      </c>
      <c r="M83" s="323">
        <f t="shared" si="7"/>
        <v>458.47682163236431</v>
      </c>
      <c r="N83" s="323">
        <f t="shared" si="6"/>
        <v>738.73275000000001</v>
      </c>
      <c r="O83" s="323">
        <f t="shared" si="6"/>
        <v>280.2559283676357</v>
      </c>
      <c r="P83" s="964">
        <f t="shared" si="6"/>
        <v>7.3987565089055831</v>
      </c>
      <c r="R83" s="267"/>
      <c r="S83" s="2"/>
      <c r="T83" s="2"/>
      <c r="U83" s="2"/>
      <c r="V83" s="2"/>
      <c r="W83" s="2"/>
      <c r="X83" s="2"/>
      <c r="Y83" s="2"/>
    </row>
    <row r="84" spans="2:26" s="235" customFormat="1" x14ac:dyDescent="0.25">
      <c r="B84" s="399" t="s">
        <v>566</v>
      </c>
      <c r="C84" s="970">
        <v>55.157049999999991</v>
      </c>
      <c r="D84" s="962">
        <f t="shared" si="5"/>
        <v>2.9879603402996984E-2</v>
      </c>
      <c r="E84" s="323">
        <f t="shared" si="9"/>
        <v>401.65884424105991</v>
      </c>
      <c r="F84" s="323">
        <f t="shared" si="9"/>
        <v>679.21579999999994</v>
      </c>
      <c r="G84" s="323">
        <f t="shared" si="9"/>
        <v>277.55695575894003</v>
      </c>
      <c r="H84" s="964">
        <f t="shared" si="9"/>
        <v>5.5511391151788008</v>
      </c>
      <c r="K84" s="399" t="s">
        <v>566</v>
      </c>
      <c r="L84" s="992">
        <v>0</v>
      </c>
      <c r="M84" s="323">
        <f t="shared" si="7"/>
        <v>401.65884424105991</v>
      </c>
      <c r="N84" s="323">
        <f t="shared" si="6"/>
        <v>679.21579999999994</v>
      </c>
      <c r="O84" s="323">
        <f t="shared" si="6"/>
        <v>277.55695575894003</v>
      </c>
      <c r="P84" s="964">
        <f t="shared" si="6"/>
        <v>5.5511391151788008</v>
      </c>
      <c r="R84" s="267"/>
      <c r="S84" s="2"/>
      <c r="T84" s="2"/>
      <c r="U84" s="2"/>
      <c r="V84" s="2"/>
      <c r="W84" s="2"/>
      <c r="X84" s="2"/>
      <c r="Y84" s="2"/>
    </row>
    <row r="85" spans="2:26" s="235" customFormat="1" x14ac:dyDescent="0.25">
      <c r="B85" s="399" t="s">
        <v>569</v>
      </c>
      <c r="C85" s="970">
        <v>55.157049999999991</v>
      </c>
      <c r="D85" s="962">
        <f t="shared" si="5"/>
        <v>2.9879603402996984E-2</v>
      </c>
      <c r="E85" s="323">
        <f t="shared" si="9"/>
        <v>391.15779424105995</v>
      </c>
      <c r="F85" s="323">
        <f t="shared" si="9"/>
        <v>668.37725</v>
      </c>
      <c r="G85" s="323">
        <f t="shared" si="9"/>
        <v>277.21945575894006</v>
      </c>
      <c r="H85" s="964">
        <f t="shared" si="9"/>
        <v>5.5443891151788014</v>
      </c>
      <c r="K85" s="399" t="s">
        <v>569</v>
      </c>
      <c r="L85" s="992">
        <v>0</v>
      </c>
      <c r="M85" s="323">
        <f t="shared" si="7"/>
        <v>391.15779424105995</v>
      </c>
      <c r="N85" s="323">
        <f t="shared" si="6"/>
        <v>668.37725</v>
      </c>
      <c r="O85" s="323">
        <f t="shared" si="6"/>
        <v>277.21945575894006</v>
      </c>
      <c r="P85" s="964">
        <f t="shared" si="6"/>
        <v>5.5443891151788014</v>
      </c>
      <c r="R85" s="267"/>
      <c r="S85" s="2"/>
      <c r="T85" s="2"/>
      <c r="U85" s="2"/>
      <c r="V85" s="2"/>
      <c r="W85" s="2"/>
      <c r="X85" s="2"/>
      <c r="Y85" s="2"/>
    </row>
    <row r="86" spans="2:26" s="235" customFormat="1" x14ac:dyDescent="0.25">
      <c r="B86" s="952" t="s">
        <v>585</v>
      </c>
      <c r="C86" s="970">
        <v>105.23928571428571</v>
      </c>
      <c r="D86" s="962">
        <f t="shared" si="5"/>
        <v>5.7010085194141892E-2</v>
      </c>
      <c r="E86" s="323">
        <f>'Cropping GMs - N cost Grain £'!AI3</f>
        <v>2714.6502028985515</v>
      </c>
      <c r="F86" s="323">
        <f>'Cropping GMs - N cost Grain £'!AI26</f>
        <v>7875.2500000000009</v>
      </c>
      <c r="G86" s="323">
        <f>'Cropping GMs - N cost Grain £'!AI63</f>
        <v>5160.5997971014494</v>
      </c>
      <c r="H86" s="964">
        <f>'Cropping GMs - N cost Grain £'!AI4</f>
        <v>136.23983464347828</v>
      </c>
      <c r="K86" s="952" t="s">
        <v>585</v>
      </c>
      <c r="L86" s="992">
        <v>0</v>
      </c>
      <c r="M86" s="323">
        <f t="shared" si="7"/>
        <v>2714.6502028985515</v>
      </c>
      <c r="N86" s="323">
        <f t="shared" si="6"/>
        <v>7875.2500000000009</v>
      </c>
      <c r="O86" s="323">
        <f t="shared" si="6"/>
        <v>5160.5997971014494</v>
      </c>
      <c r="P86" s="964">
        <f t="shared" si="6"/>
        <v>136.23983464347828</v>
      </c>
      <c r="R86" s="267"/>
      <c r="S86" s="2"/>
      <c r="T86" s="2"/>
      <c r="U86" s="2"/>
      <c r="V86" s="2"/>
      <c r="W86" s="2"/>
      <c r="X86" s="2"/>
      <c r="Y86" s="2"/>
    </row>
    <row r="87" spans="2:26" s="235" customFormat="1" x14ac:dyDescent="0.25">
      <c r="B87" s="952" t="s">
        <v>586</v>
      </c>
      <c r="C87" s="970">
        <v>105.40814285714285</v>
      </c>
      <c r="D87" s="962">
        <f t="shared" si="5"/>
        <v>5.7101558259875722E-2</v>
      </c>
      <c r="E87" s="323">
        <f>'Cropping GMs - N cost Grain £'!AG3</f>
        <v>768.08357778885488</v>
      </c>
      <c r="F87" s="323">
        <f>'Cropping GMs - N cost Grain £'!AG26</f>
        <v>1615.2143665781769</v>
      </c>
      <c r="G87" s="323">
        <f>'Cropping GMs - N cost Grain £'!AG63</f>
        <v>847.13078878932197</v>
      </c>
      <c r="H87" s="964">
        <f>'Cropping GMs - N cost Grain £'!AG4</f>
        <v>22.3642528240381</v>
      </c>
      <c r="K87" s="952" t="s">
        <v>586</v>
      </c>
      <c r="L87" s="992">
        <v>0</v>
      </c>
      <c r="M87" s="323">
        <f t="shared" si="7"/>
        <v>768.08357778885488</v>
      </c>
      <c r="N87" s="323">
        <f t="shared" si="6"/>
        <v>1615.2143665781769</v>
      </c>
      <c r="O87" s="323">
        <f t="shared" si="6"/>
        <v>847.13078878932197</v>
      </c>
      <c r="P87" s="964">
        <f t="shared" si="6"/>
        <v>22.3642528240381</v>
      </c>
      <c r="R87" s="267"/>
      <c r="S87" s="2"/>
      <c r="T87" s="2"/>
      <c r="U87" s="2"/>
      <c r="V87" s="2"/>
      <c r="W87" s="2"/>
      <c r="X87" s="2"/>
      <c r="Y87" s="2"/>
    </row>
    <row r="88" spans="2:26" s="235" customFormat="1" x14ac:dyDescent="0.25">
      <c r="B88" s="952" t="s">
        <v>587</v>
      </c>
      <c r="C88" s="970">
        <v>97.091228571428573</v>
      </c>
      <c r="D88" s="962">
        <f t="shared" si="5"/>
        <v>5.2596130569419787E-2</v>
      </c>
      <c r="E88" s="323">
        <f>'Cropping GMs - baseline'!AJ3</f>
        <v>1058</v>
      </c>
      <c r="F88" s="323">
        <f>'Cropping GMs - baseline'!AJ26</f>
        <v>4920</v>
      </c>
      <c r="G88" s="323">
        <f>'Cropping GMs - baseline'!AJ63</f>
        <v>3862</v>
      </c>
      <c r="H88" s="964">
        <f>'Cropping GMs - N cost Grain £'!AJ4</f>
        <v>101.9568</v>
      </c>
      <c r="K88" s="952" t="s">
        <v>587</v>
      </c>
      <c r="L88" s="992">
        <v>0</v>
      </c>
      <c r="M88" s="323">
        <f>E88</f>
        <v>1058</v>
      </c>
      <c r="N88" s="323">
        <f t="shared" si="6"/>
        <v>4920</v>
      </c>
      <c r="O88" s="323">
        <f t="shared" si="6"/>
        <v>3862</v>
      </c>
      <c r="P88" s="964">
        <f t="shared" si="6"/>
        <v>101.9568</v>
      </c>
      <c r="R88" s="267"/>
      <c r="S88" s="2"/>
      <c r="T88" s="2"/>
      <c r="U88" s="2"/>
      <c r="V88" s="2"/>
      <c r="W88" s="2"/>
      <c r="X88" s="2"/>
      <c r="Y88" s="2"/>
    </row>
    <row r="89" spans="2:26" s="235" customFormat="1" x14ac:dyDescent="0.25">
      <c r="B89" s="952" t="s">
        <v>588</v>
      </c>
      <c r="C89" s="970">
        <v>0</v>
      </c>
      <c r="D89" s="962">
        <f t="shared" si="5"/>
        <v>0</v>
      </c>
      <c r="E89" s="323">
        <f>0</f>
        <v>0</v>
      </c>
      <c r="F89" s="323">
        <v>0</v>
      </c>
      <c r="G89" s="323">
        <f>O56</f>
        <v>125.66500000000001</v>
      </c>
      <c r="H89" s="964">
        <f>P56</f>
        <v>2.5133000000000001</v>
      </c>
      <c r="K89" s="952" t="str">
        <f>B89</f>
        <v>Agroecological herbal ley</v>
      </c>
      <c r="L89" s="992">
        <f>3/7</f>
        <v>0.42857142857142855</v>
      </c>
      <c r="M89" s="323">
        <f>E89</f>
        <v>0</v>
      </c>
      <c r="N89" s="323">
        <f t="shared" si="6"/>
        <v>0</v>
      </c>
      <c r="O89" s="323">
        <f t="shared" si="6"/>
        <v>125.66500000000001</v>
      </c>
      <c r="P89" s="964">
        <f t="shared" si="6"/>
        <v>2.5133000000000001</v>
      </c>
      <c r="R89" s="267"/>
      <c r="S89" s="2"/>
      <c r="T89" s="2"/>
      <c r="U89" s="2"/>
      <c r="V89" s="2"/>
      <c r="W89" s="2"/>
      <c r="X89" s="2"/>
      <c r="Y89" s="2"/>
    </row>
    <row r="90" spans="2:26" s="235" customFormat="1" x14ac:dyDescent="0.25">
      <c r="B90" s="952" t="s">
        <v>589</v>
      </c>
      <c r="C90" s="970">
        <v>0</v>
      </c>
      <c r="D90" s="962">
        <f t="shared" si="5"/>
        <v>0</v>
      </c>
      <c r="E90" s="323">
        <f>'Cropping GMs - price variation'!AI69</f>
        <v>327.29999999999973</v>
      </c>
      <c r="F90" s="323">
        <f>'Cropping GMs - price variation'!AI85</f>
        <v>4027.2999999999997</v>
      </c>
      <c r="G90" s="323">
        <f>'Cropping GMs - price variation'!AI102</f>
        <v>3700</v>
      </c>
      <c r="H90" s="964">
        <f>'Cropping GMs - N cost Grain £'!AI87</f>
        <v>74</v>
      </c>
      <c r="K90" s="952" t="str">
        <f t="shared" ref="K90:K93" si="10">B90</f>
        <v>Agroecological potatoes</v>
      </c>
      <c r="L90" s="992">
        <f>1/7</f>
        <v>0.14285714285714285</v>
      </c>
      <c r="M90" s="323">
        <f>E90</f>
        <v>327.29999999999973</v>
      </c>
      <c r="N90" s="323">
        <f t="shared" si="6"/>
        <v>4027.2999999999997</v>
      </c>
      <c r="O90" s="323">
        <f t="shared" si="6"/>
        <v>3700</v>
      </c>
      <c r="P90" s="964">
        <f t="shared" si="6"/>
        <v>74</v>
      </c>
      <c r="R90" s="267"/>
      <c r="S90" s="2"/>
      <c r="T90" s="2"/>
      <c r="U90" s="2"/>
      <c r="V90" s="2"/>
      <c r="W90" s="2"/>
      <c r="X90" s="2"/>
      <c r="Y90" s="2"/>
    </row>
    <row r="91" spans="2:26" s="235" customFormat="1" x14ac:dyDescent="0.25">
      <c r="B91" s="952" t="s">
        <v>590</v>
      </c>
      <c r="C91" s="970">
        <v>0</v>
      </c>
      <c r="D91" s="962">
        <f t="shared" si="5"/>
        <v>0</v>
      </c>
      <c r="E91" s="323">
        <f>'Cropping GMs - price variation'!AR69</f>
        <v>-1110</v>
      </c>
      <c r="F91" s="323">
        <f>'Cropping GMs - price variation'!AR85</f>
        <v>5150</v>
      </c>
      <c r="G91" s="323">
        <f>'Cropping GMs - price variation'!AR102</f>
        <v>6260</v>
      </c>
      <c r="H91" s="964">
        <f>'Cropping GMs - N cost Grain £'!AR87</f>
        <v>125.2</v>
      </c>
      <c r="K91" s="952" t="str">
        <f t="shared" si="10"/>
        <v>Agroecological carrots</v>
      </c>
      <c r="L91" s="992">
        <f>1/7</f>
        <v>0.14285714285714285</v>
      </c>
      <c r="M91" s="323">
        <f t="shared" si="7"/>
        <v>-1110</v>
      </c>
      <c r="N91" s="323">
        <f t="shared" si="6"/>
        <v>5150</v>
      </c>
      <c r="O91" s="323">
        <f t="shared" si="6"/>
        <v>6260</v>
      </c>
      <c r="P91" s="964">
        <f t="shared" si="6"/>
        <v>125.2</v>
      </c>
      <c r="R91" s="267"/>
      <c r="S91" s="2"/>
      <c r="T91" s="2"/>
      <c r="U91" s="2"/>
      <c r="V91" s="2"/>
      <c r="W91" s="2"/>
      <c r="X91" s="2"/>
      <c r="Y91" s="2"/>
    </row>
    <row r="92" spans="2:26" s="235" customFormat="1" x14ac:dyDescent="0.25">
      <c r="B92" s="952" t="s">
        <v>591</v>
      </c>
      <c r="C92" s="970">
        <v>0</v>
      </c>
      <c r="D92" s="962">
        <f t="shared" si="5"/>
        <v>0</v>
      </c>
      <c r="E92" s="323">
        <f>M35</f>
        <v>870.19199999999989</v>
      </c>
      <c r="F92" s="323">
        <f t="shared" ref="F92:H92" si="11">N35</f>
        <v>983.59999999999991</v>
      </c>
      <c r="G92" s="323">
        <f t="shared" si="11"/>
        <v>113.408</v>
      </c>
      <c r="H92" s="964">
        <f t="shared" si="11"/>
        <v>4.4746944000000006</v>
      </c>
      <c r="K92" s="952" t="str">
        <f t="shared" si="10"/>
        <v>Agroecological wheat</v>
      </c>
      <c r="L92" s="992">
        <f>1/7</f>
        <v>0.14285714285714285</v>
      </c>
      <c r="M92" s="323">
        <f t="shared" si="7"/>
        <v>870.19199999999989</v>
      </c>
      <c r="N92" s="323">
        <f t="shared" si="6"/>
        <v>983.59999999999991</v>
      </c>
      <c r="O92" s="323">
        <f t="shared" si="6"/>
        <v>113.408</v>
      </c>
      <c r="P92" s="964">
        <f t="shared" si="6"/>
        <v>4.4746944000000006</v>
      </c>
      <c r="R92" s="267"/>
      <c r="S92" s="2"/>
      <c r="T92" s="2"/>
      <c r="U92" s="2"/>
      <c r="V92" s="2"/>
      <c r="W92" s="2"/>
      <c r="X92" s="2"/>
      <c r="Y92" s="2"/>
    </row>
    <row r="93" spans="2:26" s="235" customFormat="1" ht="11" thickBot="1" x14ac:dyDescent="0.3">
      <c r="B93" s="952" t="s">
        <v>592</v>
      </c>
      <c r="C93" s="998">
        <v>0</v>
      </c>
      <c r="D93" s="999">
        <f t="shared" si="5"/>
        <v>0</v>
      </c>
      <c r="E93" s="1000">
        <f>M68</f>
        <v>192.35000000000002</v>
      </c>
      <c r="F93" s="1000">
        <f t="shared" ref="F93:H93" si="12">N68</f>
        <v>381.1</v>
      </c>
      <c r="G93" s="1000">
        <f>O68</f>
        <v>188.75</v>
      </c>
      <c r="H93" s="1001">
        <f t="shared" si="12"/>
        <v>6.5750000000000002</v>
      </c>
      <c r="K93" s="952" t="str">
        <f t="shared" si="10"/>
        <v>Agroecological beans</v>
      </c>
      <c r="L93" s="992">
        <f>1/7</f>
        <v>0.14285714285714285</v>
      </c>
      <c r="M93" s="323">
        <f t="shared" si="7"/>
        <v>192.35000000000002</v>
      </c>
      <c r="N93" s="323">
        <f t="shared" si="6"/>
        <v>381.1</v>
      </c>
      <c r="O93" s="323">
        <f t="shared" si="6"/>
        <v>188.75</v>
      </c>
      <c r="P93" s="964">
        <f t="shared" si="6"/>
        <v>6.5750000000000002</v>
      </c>
      <c r="R93" s="267"/>
      <c r="S93" s="2"/>
      <c r="T93" s="2"/>
      <c r="U93" s="2"/>
      <c r="V93" s="2"/>
      <c r="W93" s="2"/>
      <c r="X93" s="2"/>
      <c r="Y93" s="2"/>
    </row>
    <row r="94" spans="2:26" s="235" customFormat="1" ht="11" thickBot="1" x14ac:dyDescent="0.3">
      <c r="B94" s="954" t="s">
        <v>246</v>
      </c>
      <c r="C94" s="994">
        <f>SUM(C79:C93)</f>
        <v>1845.9766435342856</v>
      </c>
      <c r="D94" s="995">
        <f>SUM(D79:D93)</f>
        <v>1</v>
      </c>
      <c r="E94" s="996">
        <f>SUMPRODUCT($D$79:$D$88,E79:E88)</f>
        <v>927.89260626346322</v>
      </c>
      <c r="F94" s="996">
        <f>SUMPRODUCT($D$79:$D$88,F79:F88)</f>
        <v>1915.1912868079642</v>
      </c>
      <c r="G94" s="996">
        <f>SUMPRODUCT($D$79:$D$88,G79:G88)</f>
        <v>987.29868054450162</v>
      </c>
      <c r="H94" s="997">
        <f>SUMPRODUCT($D$79:$D$88,H79:H88)</f>
        <v>25.929091264229925</v>
      </c>
      <c r="K94" s="954" t="s">
        <v>246</v>
      </c>
      <c r="L94" s="993">
        <f>SUM(L79:L93)</f>
        <v>0.99999999999999978</v>
      </c>
      <c r="M94" s="963">
        <f>SUMPRODUCT($L$79:$L$93,M79:M93)</f>
        <v>39.977428571428518</v>
      </c>
      <c r="N94" s="963">
        <f t="shared" ref="N94:P94" si="13">SUMPRODUCT($L$79:$L$93,N79:N93)</f>
        <v>1505.9999999999998</v>
      </c>
      <c r="O94" s="963">
        <f>SUMPRODUCT($L$79:$L$93,O79:O93)</f>
        <v>1519.8790000000001</v>
      </c>
      <c r="P94" s="971">
        <f t="shared" si="13"/>
        <v>31.112799200000001</v>
      </c>
      <c r="R94" s="267"/>
      <c r="S94" s="2"/>
      <c r="T94" s="2"/>
      <c r="U94" s="2"/>
      <c r="V94" s="2"/>
      <c r="W94" s="2"/>
      <c r="X94" s="2"/>
      <c r="Y94" s="2"/>
    </row>
    <row r="95" spans="2:26" s="235" customFormat="1" x14ac:dyDescent="0.25">
      <c r="R95" s="267"/>
      <c r="S95" s="2"/>
      <c r="T95" s="2"/>
      <c r="U95" s="2"/>
      <c r="V95" s="2"/>
      <c r="W95" s="2"/>
      <c r="X95" s="2"/>
      <c r="Y95" s="2"/>
      <c r="Z95" s="2"/>
    </row>
    <row r="96" spans="2:26" s="235" customFormat="1" x14ac:dyDescent="0.25">
      <c r="R96" s="267"/>
      <c r="S96" s="2"/>
      <c r="T96" s="2"/>
      <c r="U96" s="2"/>
      <c r="V96" s="2"/>
      <c r="W96" s="2"/>
      <c r="X96" s="2"/>
      <c r="Y96" s="2"/>
      <c r="Z96" s="2"/>
    </row>
    <row r="97" spans="18:26" s="235" customFormat="1" x14ac:dyDescent="0.25">
      <c r="R97" s="267"/>
      <c r="S97" s="2"/>
      <c r="T97" s="2"/>
      <c r="U97" s="2"/>
      <c r="V97" s="2"/>
      <c r="W97" s="2"/>
      <c r="X97" s="2"/>
      <c r="Y97" s="2"/>
      <c r="Z97" s="2"/>
    </row>
    <row r="98" spans="18:26" s="235" customFormat="1" x14ac:dyDescent="0.25">
      <c r="R98" s="267"/>
      <c r="S98" s="2"/>
      <c r="T98" s="2"/>
      <c r="U98" s="2"/>
      <c r="V98" s="2"/>
      <c r="W98" s="2"/>
      <c r="X98" s="2"/>
      <c r="Y98" s="2"/>
      <c r="Z98" s="2"/>
    </row>
    <row r="99" spans="18:26" s="235" customFormat="1" x14ac:dyDescent="0.25">
      <c r="R99" s="267"/>
      <c r="S99" s="2"/>
      <c r="T99" s="2"/>
      <c r="U99" s="2"/>
      <c r="V99" s="2"/>
      <c r="W99" s="2"/>
      <c r="X99" s="2"/>
      <c r="Y99" s="2"/>
      <c r="Z99" s="2"/>
    </row>
    <row r="100" spans="18:26" s="235" customFormat="1" x14ac:dyDescent="0.25">
      <c r="R100" s="267"/>
      <c r="S100" s="2"/>
      <c r="T100" s="2"/>
      <c r="U100" s="2"/>
      <c r="V100" s="2"/>
      <c r="W100" s="2"/>
      <c r="X100" s="2"/>
      <c r="Y100" s="2"/>
      <c r="Z100" s="2"/>
    </row>
    <row r="101" spans="18:26" s="235" customFormat="1" x14ac:dyDescent="0.25">
      <c r="R101" s="267"/>
      <c r="S101" s="2"/>
      <c r="T101" s="2"/>
      <c r="U101" s="2"/>
      <c r="V101" s="2"/>
      <c r="W101" s="2"/>
      <c r="X101" s="2"/>
      <c r="Y101" s="2"/>
      <c r="Z101" s="2"/>
    </row>
    <row r="102" spans="18:26" s="235" customFormat="1" x14ac:dyDescent="0.25">
      <c r="R102" s="267"/>
      <c r="S102" s="2"/>
      <c r="T102" s="2"/>
      <c r="U102" s="2"/>
      <c r="V102" s="2"/>
      <c r="W102" s="2"/>
      <c r="X102" s="2"/>
      <c r="Y102" s="2"/>
      <c r="Z102" s="2"/>
    </row>
    <row r="103" spans="18:26" s="235" customFormat="1" x14ac:dyDescent="0.25">
      <c r="R103" s="267"/>
      <c r="S103" s="2"/>
      <c r="T103" s="2"/>
      <c r="U103" s="2"/>
      <c r="V103" s="2"/>
      <c r="W103" s="2"/>
      <c r="X103" s="2"/>
      <c r="Y103" s="2"/>
      <c r="Z103" s="2"/>
    </row>
    <row r="104" spans="18:26" s="235" customFormat="1" x14ac:dyDescent="0.25">
      <c r="R104" s="267"/>
      <c r="S104" s="2"/>
      <c r="T104" s="2"/>
      <c r="U104" s="2"/>
      <c r="V104" s="2"/>
      <c r="W104" s="2"/>
      <c r="X104" s="2"/>
      <c r="Y104" s="2"/>
      <c r="Z104" s="2"/>
    </row>
    <row r="105" spans="18:26" s="235" customFormat="1" x14ac:dyDescent="0.25">
      <c r="R105" s="267"/>
      <c r="S105" s="2"/>
      <c r="T105" s="2"/>
      <c r="U105" s="2"/>
      <c r="V105" s="2"/>
      <c r="W105" s="2"/>
      <c r="X105" s="2"/>
      <c r="Y105" s="2"/>
      <c r="Z105" s="2"/>
    </row>
    <row r="106" spans="18:26" s="235" customFormat="1" x14ac:dyDescent="0.25">
      <c r="R106" s="267"/>
      <c r="S106" s="2"/>
      <c r="T106" s="2"/>
      <c r="U106" s="2"/>
      <c r="V106" s="2"/>
      <c r="W106" s="2"/>
      <c r="X106" s="2"/>
      <c r="Y106" s="2"/>
      <c r="Z106" s="2"/>
    </row>
    <row r="107" spans="18:26" s="235" customFormat="1" x14ac:dyDescent="0.25">
      <c r="R107" s="267"/>
      <c r="S107" s="2"/>
      <c r="T107" s="2"/>
      <c r="U107" s="2"/>
      <c r="V107" s="2"/>
      <c r="W107" s="2"/>
      <c r="X107" s="2"/>
      <c r="Y107" s="2"/>
      <c r="Z107" s="2"/>
    </row>
    <row r="108" spans="18:26" s="235" customFormat="1" x14ac:dyDescent="0.25">
      <c r="R108" s="267"/>
      <c r="S108" s="2"/>
      <c r="T108" s="2"/>
      <c r="U108" s="2"/>
      <c r="V108" s="2"/>
      <c r="W108" s="2"/>
      <c r="X108" s="2"/>
      <c r="Y108" s="2"/>
      <c r="Z108" s="2"/>
    </row>
    <row r="109" spans="18:26" s="235" customFormat="1" x14ac:dyDescent="0.25">
      <c r="R109" s="267"/>
      <c r="S109" s="2"/>
      <c r="T109" s="2"/>
      <c r="U109" s="2"/>
      <c r="V109" s="2"/>
      <c r="W109" s="2"/>
      <c r="X109" s="2"/>
      <c r="Y109" s="2"/>
      <c r="Z109" s="2"/>
    </row>
    <row r="110" spans="18:26" s="235" customFormat="1" x14ac:dyDescent="0.25">
      <c r="R110" s="267"/>
      <c r="S110" s="2"/>
      <c r="T110" s="2"/>
      <c r="U110" s="2"/>
      <c r="V110" s="2"/>
      <c r="W110" s="2"/>
      <c r="X110" s="2"/>
      <c r="Y110" s="2"/>
      <c r="Z110" s="2"/>
    </row>
    <row r="111" spans="18:26" s="235" customFormat="1" x14ac:dyDescent="0.25">
      <c r="R111" s="267"/>
      <c r="S111" s="2"/>
      <c r="T111" s="2"/>
      <c r="U111" s="2"/>
      <c r="V111" s="2"/>
      <c r="W111" s="2"/>
      <c r="X111" s="2"/>
      <c r="Y111" s="2"/>
      <c r="Z111" s="2"/>
    </row>
    <row r="112" spans="18:26" s="235" customFormat="1" x14ac:dyDescent="0.25">
      <c r="R112" s="267"/>
      <c r="S112" s="2"/>
      <c r="T112" s="2"/>
      <c r="U112" s="2"/>
      <c r="V112" s="2"/>
      <c r="W112" s="2"/>
      <c r="X112" s="2"/>
      <c r="Y112" s="2"/>
      <c r="Z112" s="2"/>
    </row>
    <row r="113" spans="18:26" s="235" customFormat="1" x14ac:dyDescent="0.25">
      <c r="R113" s="267"/>
      <c r="S113" s="2"/>
      <c r="T113" s="2"/>
      <c r="U113" s="2"/>
      <c r="V113" s="2"/>
      <c r="W113" s="2"/>
      <c r="X113" s="2"/>
      <c r="Y113" s="2"/>
      <c r="Z113" s="2"/>
    </row>
    <row r="114" spans="18:26" s="235" customFormat="1" x14ac:dyDescent="0.25">
      <c r="R114" s="267"/>
      <c r="S114" s="2"/>
      <c r="T114" s="2"/>
      <c r="U114" s="2"/>
      <c r="V114" s="2"/>
      <c r="W114" s="2"/>
      <c r="X114" s="2"/>
      <c r="Y114" s="2"/>
      <c r="Z114" s="2"/>
    </row>
    <row r="115" spans="18:26" s="235" customFormat="1" x14ac:dyDescent="0.25">
      <c r="R115" s="267"/>
      <c r="S115" s="2"/>
      <c r="T115" s="2"/>
      <c r="U115" s="2"/>
      <c r="V115" s="2"/>
      <c r="W115" s="2"/>
      <c r="X115" s="2"/>
      <c r="Y115" s="2"/>
      <c r="Z115" s="2"/>
    </row>
    <row r="116" spans="18:26" s="235" customFormat="1" x14ac:dyDescent="0.25">
      <c r="R116" s="267"/>
      <c r="S116" s="2"/>
      <c r="T116" s="2"/>
      <c r="U116" s="2"/>
      <c r="V116" s="2"/>
      <c r="W116" s="2"/>
      <c r="X116" s="2"/>
      <c r="Y116" s="2"/>
      <c r="Z116" s="2"/>
    </row>
    <row r="117" spans="18:26" s="235" customFormat="1" x14ac:dyDescent="0.25">
      <c r="R117" s="267"/>
      <c r="S117" s="2"/>
      <c r="T117" s="2"/>
      <c r="U117" s="2"/>
      <c r="V117" s="2"/>
      <c r="W117" s="2"/>
      <c r="X117" s="2"/>
      <c r="Y117" s="2"/>
      <c r="Z117" s="2"/>
    </row>
    <row r="118" spans="18:26" s="235" customFormat="1" x14ac:dyDescent="0.25">
      <c r="R118" s="267"/>
      <c r="S118" s="2"/>
      <c r="T118" s="2"/>
      <c r="U118" s="2"/>
      <c r="V118" s="2"/>
      <c r="W118" s="2"/>
      <c r="X118" s="2"/>
      <c r="Y118" s="2"/>
      <c r="Z118" s="2"/>
    </row>
    <row r="119" spans="18:26" s="235" customFormat="1" x14ac:dyDescent="0.25">
      <c r="R119" s="267"/>
      <c r="S119" s="2"/>
      <c r="T119" s="2"/>
      <c r="U119" s="2"/>
      <c r="V119" s="2"/>
      <c r="W119" s="2"/>
      <c r="X119" s="2"/>
      <c r="Y119" s="2"/>
      <c r="Z119" s="2"/>
    </row>
  </sheetData>
  <mergeCells count="7">
    <mergeCell ref="C74:H74"/>
    <mergeCell ref="L74:P74"/>
    <mergeCell ref="C2:H2"/>
    <mergeCell ref="L2:P2"/>
    <mergeCell ref="C32:H32"/>
    <mergeCell ref="L32:P32"/>
    <mergeCell ref="L61:P6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878F-3B8C-4D72-9815-4E045A29B9BB}">
  <dimension ref="A1:AL119"/>
  <sheetViews>
    <sheetView workbookViewId="0"/>
  </sheetViews>
  <sheetFormatPr defaultColWidth="8.81640625" defaultRowHeight="10.5" x14ac:dyDescent="0.25"/>
  <cols>
    <col min="1" max="1" width="2.1796875" style="235" customWidth="1"/>
    <col min="2" max="2" width="25.1796875" style="2" customWidth="1"/>
    <col min="3" max="5" width="8.81640625" style="2"/>
    <col min="6" max="7" width="9.81640625" style="2" customWidth="1"/>
    <col min="8" max="8" width="7.54296875" style="2" customWidth="1"/>
    <col min="9" max="9" width="4.54296875" style="235" customWidth="1"/>
    <col min="10" max="10" width="4.81640625" style="235" customWidth="1"/>
    <col min="11" max="11" width="26.54296875" style="2" customWidth="1"/>
    <col min="12" max="16" width="8.81640625" style="2"/>
    <col min="17" max="17" width="8.81640625" style="235"/>
    <col min="18" max="18" width="18" style="267" customWidth="1"/>
    <col min="19" max="16384" width="8.81640625" style="2"/>
  </cols>
  <sheetData>
    <row r="1" spans="1:26" s="235" customFormat="1" ht="11" thickBot="1" x14ac:dyDescent="0.3">
      <c r="R1" s="839" t="s">
        <v>69</v>
      </c>
      <c r="S1" s="2"/>
      <c r="T1" s="2"/>
      <c r="U1" s="2"/>
      <c r="V1" s="2"/>
      <c r="W1" s="2"/>
      <c r="X1" s="2"/>
      <c r="Y1" s="2"/>
      <c r="Z1" s="2"/>
    </row>
    <row r="2" spans="1:26" s="175" customFormat="1" ht="19.399999999999999" customHeight="1" x14ac:dyDescent="0.35">
      <c r="A2" s="339"/>
      <c r="B2" s="396" t="s">
        <v>528</v>
      </c>
      <c r="C2" s="1495" t="s">
        <v>196</v>
      </c>
      <c r="D2" s="1495"/>
      <c r="E2" s="1495"/>
      <c r="F2" s="1495"/>
      <c r="G2" s="1495"/>
      <c r="H2" s="1496"/>
      <c r="I2" s="339"/>
      <c r="J2" s="339"/>
      <c r="K2" s="396" t="s">
        <v>528</v>
      </c>
      <c r="L2" s="1495" t="s">
        <v>74</v>
      </c>
      <c r="M2" s="1495"/>
      <c r="N2" s="1495"/>
      <c r="O2" s="1495"/>
      <c r="P2" s="1496"/>
      <c r="Q2" s="339"/>
      <c r="R2" s="349" t="s">
        <v>529</v>
      </c>
    </row>
    <row r="3" spans="1:26" ht="31.5" x14ac:dyDescent="0.25">
      <c r="A3" s="290"/>
      <c r="B3" s="397" t="s">
        <v>530</v>
      </c>
      <c r="C3" s="393" t="s">
        <v>531</v>
      </c>
      <c r="D3" s="4" t="s">
        <v>532</v>
      </c>
      <c r="E3" s="4" t="s">
        <v>533</v>
      </c>
      <c r="F3" s="4" t="s">
        <v>534</v>
      </c>
      <c r="G3" s="4" t="s">
        <v>536</v>
      </c>
      <c r="H3" s="394" t="s">
        <v>216</v>
      </c>
      <c r="J3" s="290"/>
      <c r="K3" s="397" t="s">
        <v>530</v>
      </c>
      <c r="L3" s="4" t="s">
        <v>532</v>
      </c>
      <c r="M3" s="4" t="s">
        <v>533</v>
      </c>
      <c r="N3" s="4" t="s">
        <v>534</v>
      </c>
      <c r="O3" s="4" t="s">
        <v>536</v>
      </c>
      <c r="P3" s="394" t="s">
        <v>216</v>
      </c>
      <c r="R3" s="349" t="s">
        <v>537</v>
      </c>
    </row>
    <row r="4" spans="1:26" x14ac:dyDescent="0.25">
      <c r="A4" s="290"/>
      <c r="B4" s="398"/>
      <c r="C4" s="173"/>
      <c r="D4" s="174"/>
      <c r="E4" s="174" t="s">
        <v>538</v>
      </c>
      <c r="F4" s="174"/>
      <c r="G4" s="174"/>
      <c r="H4" s="395" t="s">
        <v>538</v>
      </c>
      <c r="J4" s="290"/>
      <c r="K4" s="398"/>
      <c r="L4" s="174"/>
      <c r="M4" s="174" t="s">
        <v>538</v>
      </c>
      <c r="N4" s="174"/>
      <c r="O4" s="174"/>
      <c r="P4" s="395" t="s">
        <v>538</v>
      </c>
      <c r="R4" s="267" t="s">
        <v>540</v>
      </c>
    </row>
    <row r="5" spans="1:26" x14ac:dyDescent="0.25">
      <c r="A5" s="290"/>
      <c r="B5" s="399" t="s">
        <v>541</v>
      </c>
      <c r="C5" s="623">
        <v>643.09457370199993</v>
      </c>
      <c r="D5" s="633">
        <v>0.19295200046128508</v>
      </c>
      <c r="E5" s="628">
        <f>'Cropping GMs - N cost Grain £'!D78</f>
        <v>750.71973060313371</v>
      </c>
      <c r="F5" s="628">
        <f>'Cropping GMs - baseline'!D26</f>
        <v>1447.264645083593</v>
      </c>
      <c r="G5" s="628">
        <f>'Cropping GMs - N cost Grain £'!D70</f>
        <v>696.54491448045928</v>
      </c>
      <c r="H5" s="16">
        <f>'Cropping GMs - N cost Grain £'!D4</f>
        <v>15.178545742284125</v>
      </c>
      <c r="J5" s="290"/>
      <c r="K5" s="399" t="s">
        <v>541</v>
      </c>
      <c r="L5" s="633">
        <f>80%*(2/6)</f>
        <v>0.26666666666666666</v>
      </c>
      <c r="M5" s="628">
        <f>'Cropping GMs - baseline'!D119</f>
        <v>879.11400000000003</v>
      </c>
      <c r="N5" s="628">
        <f>'Cropping GMs - baseline'!D98</f>
        <v>990.65</v>
      </c>
      <c r="O5" s="628">
        <f>'Cropping GMs - baseline'!D116</f>
        <v>111.536</v>
      </c>
      <c r="P5" s="16">
        <f>'Cropping GMs - N cost Grain £'!D87</f>
        <v>4.4746944000000006</v>
      </c>
      <c r="R5" s="636">
        <v>1</v>
      </c>
      <c r="S5" s="2" t="s">
        <v>542</v>
      </c>
    </row>
    <row r="6" spans="1:26" x14ac:dyDescent="0.25">
      <c r="A6" s="539"/>
      <c r="B6" s="399" t="s">
        <v>543</v>
      </c>
      <c r="C6" s="623">
        <v>131.71816569799998</v>
      </c>
      <c r="D6" s="633">
        <v>3.952028925110658E-2</v>
      </c>
      <c r="E6" s="628">
        <f>'Cropping GMs - N cost Grain £'!E78</f>
        <v>617.57600226718716</v>
      </c>
      <c r="F6" s="628">
        <f>'Cropping GMs - N cost Grain £'!E26</f>
        <v>1327.4428213875167</v>
      </c>
      <c r="G6" s="628">
        <f>'Cropping GMs - N cost Grain £'!E70</f>
        <v>709.86681912032952</v>
      </c>
      <c r="H6" s="16">
        <f>'Cropping GMs - N cost Grain £'!E4</f>
        <v>15.5302440247767</v>
      </c>
      <c r="J6" s="539"/>
      <c r="K6" s="399" t="s">
        <v>543</v>
      </c>
      <c r="L6" s="633">
        <v>0</v>
      </c>
      <c r="M6" s="628"/>
      <c r="N6" s="628"/>
      <c r="O6" s="628"/>
      <c r="P6" s="16"/>
      <c r="R6" s="636">
        <v>2</v>
      </c>
      <c r="S6" s="2" t="s">
        <v>542</v>
      </c>
    </row>
    <row r="7" spans="1:26" x14ac:dyDescent="0.25">
      <c r="A7" s="290"/>
      <c r="B7" s="399" t="s">
        <v>544</v>
      </c>
      <c r="C7" s="623">
        <v>538.09954126085711</v>
      </c>
      <c r="D7" s="633">
        <v>0.16144963303903445</v>
      </c>
      <c r="E7" s="628">
        <f>'Cropping GMs - N cost Grain £'!F78</f>
        <v>708.04335362593565</v>
      </c>
      <c r="F7" s="628">
        <f>'Cropping GMs - N cost Grain £'!F26</f>
        <v>1455.8552173475225</v>
      </c>
      <c r="G7" s="628">
        <f>'Cropping GMs - N cost Grain £'!F70</f>
        <v>747.81186372158686</v>
      </c>
      <c r="H7" s="16">
        <f>'Cropping GMs - N cost Grain £'!F4</f>
        <v>15.856153202249894</v>
      </c>
      <c r="J7" s="290"/>
      <c r="K7" s="399" t="s">
        <v>544</v>
      </c>
      <c r="L7" s="633">
        <v>0</v>
      </c>
      <c r="M7" s="628"/>
      <c r="N7" s="628"/>
      <c r="O7" s="628"/>
      <c r="P7" s="16"/>
      <c r="R7" s="636">
        <v>3</v>
      </c>
      <c r="S7" s="2" t="s">
        <v>545</v>
      </c>
    </row>
    <row r="8" spans="1:26" x14ac:dyDescent="0.25">
      <c r="A8" s="290"/>
      <c r="B8" s="399" t="s">
        <v>546</v>
      </c>
      <c r="C8" s="623">
        <v>110.21315905342857</v>
      </c>
      <c r="D8" s="633">
        <v>3.3067997128476939E-2</v>
      </c>
      <c r="E8" s="628">
        <f>'Cropping GMs - N cost Grain £'!G78</f>
        <v>559.04882600291603</v>
      </c>
      <c r="F8" s="628">
        <f>'Cropping GMs - N cost Grain £'!G26</f>
        <v>1335.2266724622052</v>
      </c>
      <c r="G8" s="628">
        <f>'Cropping GMs - N cost Grain £'!G70</f>
        <v>776.17784645928919</v>
      </c>
      <c r="H8" s="16">
        <f>'Cropping GMs - N cost Grain £'!G4</f>
        <v>16.605015146525233</v>
      </c>
      <c r="J8" s="290"/>
      <c r="K8" s="399" t="s">
        <v>546</v>
      </c>
      <c r="L8" s="633">
        <v>0</v>
      </c>
      <c r="M8" s="628"/>
      <c r="N8" s="628"/>
      <c r="O8" s="628"/>
      <c r="P8" s="16"/>
      <c r="R8" s="636">
        <v>4</v>
      </c>
      <c r="S8" s="2" t="s">
        <v>547</v>
      </c>
    </row>
    <row r="9" spans="1:26" x14ac:dyDescent="0.25">
      <c r="A9" s="290"/>
      <c r="B9" s="399" t="s">
        <v>548</v>
      </c>
      <c r="C9" s="623">
        <v>131.24379055142856</v>
      </c>
      <c r="D9" s="633">
        <v>3.9377959277813276E-2</v>
      </c>
      <c r="E9" s="628">
        <f>'Cropping GMs - N cost Grain £'!H78</f>
        <v>713.49821481940285</v>
      </c>
      <c r="F9" s="628">
        <f>'Cropping GMs - N cost Grain £'!H26</f>
        <v>1447.0119811934774</v>
      </c>
      <c r="G9" s="628">
        <f>'Cropping GMs - N cost Grain £'!H70</f>
        <v>733.51376637407452</v>
      </c>
      <c r="H9" s="16">
        <f>'Cropping GMs - N cost Grain £'!H4</f>
        <v>15.647643432275565</v>
      </c>
      <c r="J9" s="290"/>
      <c r="K9" s="399" t="s">
        <v>548</v>
      </c>
      <c r="L9" s="633">
        <v>0</v>
      </c>
      <c r="M9" s="628"/>
      <c r="N9" s="628"/>
      <c r="O9" s="628"/>
      <c r="P9" s="16"/>
      <c r="R9" s="636">
        <v>5</v>
      </c>
      <c r="S9" s="2" t="s">
        <v>545</v>
      </c>
    </row>
    <row r="10" spans="1:26" x14ac:dyDescent="0.25">
      <c r="A10" s="290"/>
      <c r="B10" s="399" t="s">
        <v>549</v>
      </c>
      <c r="C10" s="623">
        <v>26.881258305714283</v>
      </c>
      <c r="D10" s="633">
        <v>8.0653651532870563E-3</v>
      </c>
      <c r="E10" s="628">
        <f>'Cropping GMs - N cost Grain £'!I78</f>
        <v>568.16660030279968</v>
      </c>
      <c r="F10" s="628">
        <f>'Cropping GMs - N cost Grain £'!I26</f>
        <v>1327.2138845912025</v>
      </c>
      <c r="G10" s="628">
        <f>'Cropping GMs - N cost Grain £'!I70</f>
        <v>759.04728428840281</v>
      </c>
      <c r="H10" s="16">
        <f>'Cropping GMs - N cost Grain £'!I4</f>
        <v>16.321728305213831</v>
      </c>
      <c r="J10" s="290"/>
      <c r="K10" s="399" t="s">
        <v>549</v>
      </c>
      <c r="L10" s="633">
        <v>0</v>
      </c>
      <c r="M10" s="628"/>
      <c r="N10" s="628"/>
      <c r="O10" s="628"/>
      <c r="P10" s="16"/>
      <c r="R10" s="636">
        <v>6</v>
      </c>
      <c r="S10" s="2" t="s">
        <v>550</v>
      </c>
    </row>
    <row r="11" spans="1:26" x14ac:dyDescent="0.25">
      <c r="A11" s="290"/>
      <c r="B11" s="399" t="s">
        <v>551</v>
      </c>
      <c r="C11" s="623">
        <v>48.90465428571428</v>
      </c>
      <c r="D11" s="633">
        <v>1.4673193123020721E-2</v>
      </c>
      <c r="E11" s="628">
        <f>'Cropping GMs - N cost Grain £'!J78</f>
        <v>589.57360759021458</v>
      </c>
      <c r="F11" s="628">
        <f>'Cropping GMs - N cost Grain £'!J26</f>
        <v>1160.6394715928743</v>
      </c>
      <c r="G11" s="628">
        <f>'Cropping GMs - N cost Grain £'!J70</f>
        <v>571.06586400265974</v>
      </c>
      <c r="H11" s="16">
        <f>'Cropping GMs - N cost Grain £'!J4</f>
        <v>8.9893172800531929</v>
      </c>
      <c r="J11" s="290"/>
      <c r="K11" s="399" t="s">
        <v>551</v>
      </c>
      <c r="L11" s="633">
        <f>20%*(2/6)</f>
        <v>6.6666666666666666E-2</v>
      </c>
      <c r="M11" s="628">
        <f>'Cropping GMs - baseline'!J119</f>
        <v>649.28428238758215</v>
      </c>
      <c r="N11" s="628">
        <f>'Cropping GMs - baseline'!J98</f>
        <v>809.03303238758213</v>
      </c>
      <c r="O11" s="628">
        <f>'Cropping GMs - baseline'!J116</f>
        <v>159.74875</v>
      </c>
      <c r="P11" s="16">
        <f>'Cropping GMs - N cost Grain £'!J87</f>
        <v>4.8768500000000001</v>
      </c>
    </row>
    <row r="12" spans="1:26" x14ac:dyDescent="0.25">
      <c r="A12" s="290"/>
      <c r="B12" s="399" t="s">
        <v>552</v>
      </c>
      <c r="C12" s="623">
        <v>175.57064285714287</v>
      </c>
      <c r="D12" s="633">
        <v>5.2677643610871905E-2</v>
      </c>
      <c r="E12" s="628">
        <f>'Cropping GMs - N cost Grain £'!K78</f>
        <v>611.36031757456612</v>
      </c>
      <c r="F12" s="628">
        <f>'Cropping GMs - N cost Grain £'!K26</f>
        <v>1135.4003013670419</v>
      </c>
      <c r="G12" s="628">
        <f>'Cropping GMs - N cost Grain £'!K70</f>
        <v>524.03998379247582</v>
      </c>
      <c r="H12" s="16">
        <f>'Cropping GMs - N cost Grain £'!K4</f>
        <v>11.469215572121362</v>
      </c>
      <c r="J12" s="290"/>
      <c r="K12" s="399" t="s">
        <v>552</v>
      </c>
      <c r="L12" s="633">
        <f>50%*(1/6)</f>
        <v>8.3333333333333329E-2</v>
      </c>
      <c r="M12" s="628">
        <f>'Cropping GMs - baseline'!K119</f>
        <v>652.76782684756608</v>
      </c>
      <c r="N12" s="628">
        <f>'Cropping GMs - baseline'!K98</f>
        <v>779.71882684756611</v>
      </c>
      <c r="O12" s="628">
        <f>'Cropping GMs - baseline'!K116</f>
        <v>126.95099999999999</v>
      </c>
      <c r="P12" s="16">
        <f>'Cropping GMs - N cost Grain £'!K87</f>
        <v>4.4444664000000005</v>
      </c>
      <c r="R12" s="267" t="s">
        <v>541</v>
      </c>
      <c r="S12" s="2">
        <v>8.1</v>
      </c>
      <c r="T12" s="637">
        <v>0.8</v>
      </c>
      <c r="U12" s="2" t="s">
        <v>553</v>
      </c>
    </row>
    <row r="13" spans="1:26" x14ac:dyDescent="0.25">
      <c r="A13" s="290"/>
      <c r="B13" s="399" t="s">
        <v>554</v>
      </c>
      <c r="C13" s="623">
        <v>175.57064285714287</v>
      </c>
      <c r="D13" s="633">
        <v>5.2677643610871905E-2</v>
      </c>
      <c r="E13" s="628">
        <f>'Cropping GMs - N cost Grain £'!L78</f>
        <v>752.56895307672244</v>
      </c>
      <c r="F13" s="628">
        <f>'Cropping GMs - N cost Grain £'!L26</f>
        <v>1208.1801063777216</v>
      </c>
      <c r="G13" s="628">
        <f>'Cropping GMs - N cost Grain £'!L70</f>
        <v>455.61115330099915</v>
      </c>
      <c r="H13" s="16">
        <f>'Cropping GMs - N cost Grain £'!L4</f>
        <v>10.507494447146378</v>
      </c>
      <c r="J13" s="290"/>
      <c r="K13" s="399" t="s">
        <v>554</v>
      </c>
      <c r="L13" s="633">
        <v>0</v>
      </c>
      <c r="M13" s="628"/>
      <c r="N13" s="628"/>
      <c r="O13" s="628"/>
      <c r="P13" s="16"/>
      <c r="R13" s="267" t="s">
        <v>551</v>
      </c>
      <c r="S13" s="2">
        <v>2</v>
      </c>
      <c r="T13" s="637">
        <v>0.2</v>
      </c>
      <c r="U13" s="2" t="s">
        <v>553</v>
      </c>
    </row>
    <row r="14" spans="1:26" x14ac:dyDescent="0.25">
      <c r="A14" s="290"/>
      <c r="B14" s="399" t="s">
        <v>555</v>
      </c>
      <c r="C14" s="623">
        <v>23.881657142857147</v>
      </c>
      <c r="D14" s="633">
        <v>7.1653745941574467E-3</v>
      </c>
      <c r="E14" s="628">
        <f>'Cropping GMs - N cost Grain £'!M78</f>
        <v>543.39199471547329</v>
      </c>
      <c r="F14" s="628">
        <f>'Cropping GMs - N cost Grain £'!M26</f>
        <v>970.13414414183239</v>
      </c>
      <c r="G14" s="628">
        <f>'Cropping GMs - N cost Grain £'!M70</f>
        <v>426.74214942635911</v>
      </c>
      <c r="H14" s="16">
        <f>'Cropping GMs - N cost Grain £'!M4</f>
        <v>7.1268429885271827</v>
      </c>
      <c r="J14" s="290"/>
      <c r="K14" s="399" t="s">
        <v>555</v>
      </c>
      <c r="L14" s="633">
        <f>50%*(1/6)</f>
        <v>8.3333333333333329E-2</v>
      </c>
      <c r="M14" s="628">
        <f>'Cropping GMs - baseline'!M119</f>
        <v>554.92812936793609</v>
      </c>
      <c r="N14" s="628">
        <f>'Cropping GMs - baseline'!M98</f>
        <v>666.84812936793605</v>
      </c>
      <c r="O14" s="628">
        <f>'Cropping GMs - baseline'!M116</f>
        <v>111.92</v>
      </c>
      <c r="P14" s="16">
        <f>'Cropping GMs - N cost Grain £'!M87</f>
        <v>3.3757500000000005</v>
      </c>
      <c r="R14" s="267" t="s">
        <v>552</v>
      </c>
      <c r="S14" s="2">
        <v>6</v>
      </c>
      <c r="T14" s="637">
        <v>0.5</v>
      </c>
      <c r="U14" s="2" t="s">
        <v>556</v>
      </c>
    </row>
    <row r="15" spans="1:26" x14ac:dyDescent="0.25">
      <c r="A15" s="290"/>
      <c r="B15" s="399" t="s">
        <v>557</v>
      </c>
      <c r="C15" s="623">
        <v>453.75148571428571</v>
      </c>
      <c r="D15" s="633">
        <v>0.13614211728899145</v>
      </c>
      <c r="E15" s="628">
        <f>'Cropping GMs - N cost Grain £'!N78</f>
        <v>724.50352713738789</v>
      </c>
      <c r="F15" s="628">
        <f>'Cropping GMs - N cost Grain £'!N26</f>
        <v>1099.1028143523129</v>
      </c>
      <c r="G15" s="628">
        <f>'Cropping GMs - N cost Grain £'!N70</f>
        <v>374.59928721492491</v>
      </c>
      <c r="H15" s="16">
        <f>'Cropping GMs - N cost Grain £'!N4</f>
        <v>6.5959857442984982</v>
      </c>
      <c r="J15" s="290"/>
      <c r="K15" s="399" t="s">
        <v>557</v>
      </c>
      <c r="L15" s="633">
        <v>0</v>
      </c>
      <c r="M15" s="628"/>
      <c r="N15" s="628"/>
      <c r="O15" s="628"/>
      <c r="P15" s="16"/>
      <c r="R15" s="267" t="s">
        <v>555</v>
      </c>
      <c r="S15" s="2">
        <v>4</v>
      </c>
      <c r="T15" s="637">
        <v>0.3</v>
      </c>
      <c r="U15" s="2" t="s">
        <v>556</v>
      </c>
    </row>
    <row r="16" spans="1:26" x14ac:dyDescent="0.25">
      <c r="A16" s="290"/>
      <c r="B16" s="399" t="s">
        <v>558</v>
      </c>
      <c r="C16" s="623">
        <v>124.49</v>
      </c>
      <c r="D16" s="633">
        <v>3.735157396702922E-2</v>
      </c>
      <c r="E16" s="628">
        <f>'Cropping GMs - N cost Grain £'!O78</f>
        <v>463.52660107878398</v>
      </c>
      <c r="F16" s="628">
        <f>'Cropping GMs - N cost Grain £'!O26</f>
        <v>915.65679849758544</v>
      </c>
      <c r="G16" s="628">
        <f>'Cropping GMs - N cost Grain £'!O70</f>
        <v>452.13019741880146</v>
      </c>
      <c r="H16" s="16">
        <f>'Cropping GMs - N cost Grain £'!O4</f>
        <v>9.7397572118563573</v>
      </c>
      <c r="J16" s="290"/>
      <c r="K16" s="399" t="s">
        <v>558</v>
      </c>
      <c r="L16" s="633">
        <v>0</v>
      </c>
      <c r="M16" s="628">
        <f>'Cropping GMs - baseline'!O119</f>
        <v>573.54660000000001</v>
      </c>
      <c r="N16" s="628">
        <f>'Cropping GMs - baseline'!O98</f>
        <v>696.6</v>
      </c>
      <c r="O16" s="628">
        <f>'Cropping GMs - baseline'!O116</f>
        <v>123.0534</v>
      </c>
      <c r="P16" s="16">
        <f>'Cropping GMs - N cost Grain £'!O87</f>
        <v>3.618198</v>
      </c>
      <c r="R16" s="267" t="s">
        <v>559</v>
      </c>
      <c r="S16" s="2">
        <v>8</v>
      </c>
      <c r="T16" s="637">
        <v>0.5</v>
      </c>
      <c r="U16" s="2" t="s">
        <v>560</v>
      </c>
    </row>
    <row r="17" spans="1:26" x14ac:dyDescent="0.25">
      <c r="A17" s="290"/>
      <c r="B17" s="399" t="s">
        <v>561</v>
      </c>
      <c r="C17" s="623"/>
      <c r="D17" s="633"/>
      <c r="E17" s="628"/>
      <c r="F17" s="628"/>
      <c r="G17" s="628"/>
      <c r="H17" s="16"/>
      <c r="J17" s="290"/>
      <c r="K17" s="399" t="s">
        <v>561</v>
      </c>
      <c r="L17" s="633">
        <v>0</v>
      </c>
      <c r="M17" s="628">
        <f>'Cropping GMs - baseline'!P119</f>
        <v>538.4</v>
      </c>
      <c r="N17" s="634"/>
      <c r="O17" s="634"/>
      <c r="P17" s="635"/>
      <c r="R17" s="267" t="s">
        <v>561</v>
      </c>
      <c r="S17" s="2">
        <v>8</v>
      </c>
      <c r="T17" s="637">
        <v>0.5</v>
      </c>
      <c r="U17" s="2" t="s">
        <v>560</v>
      </c>
    </row>
    <row r="18" spans="1:26" x14ac:dyDescent="0.25">
      <c r="A18" s="290"/>
      <c r="B18" s="399" t="s">
        <v>562</v>
      </c>
      <c r="C18" s="623">
        <v>519.13571428571424</v>
      </c>
      <c r="D18" s="633">
        <v>0.15575978818434738</v>
      </c>
      <c r="E18" s="628">
        <f>'Cropping GMs - N cost Grain £'!Q78</f>
        <v>620.05109138717671</v>
      </c>
      <c r="F18" s="628">
        <f>'Cropping GMs - N cost Grain £'!Q26</f>
        <v>1201.165639084739</v>
      </c>
      <c r="G18" s="628">
        <f>'Cropping GMs - N cost Grain £'!Q70</f>
        <v>581.11454769756233</v>
      </c>
      <c r="H18" s="16">
        <f>'Cropping GMs - N cost Grain £'!Q4</f>
        <v>12.131184059215649</v>
      </c>
      <c r="J18" s="290"/>
      <c r="K18" s="399" t="s">
        <v>562</v>
      </c>
      <c r="L18" s="633">
        <v>0</v>
      </c>
      <c r="M18" s="628"/>
      <c r="N18" s="628"/>
      <c r="O18" s="628"/>
      <c r="P18" s="16"/>
      <c r="R18" s="267" t="s">
        <v>563</v>
      </c>
      <c r="S18" s="2">
        <v>0</v>
      </c>
      <c r="T18" s="637">
        <v>0.25</v>
      </c>
      <c r="U18" s="2" t="s">
        <v>564</v>
      </c>
    </row>
    <row r="19" spans="1:26" x14ac:dyDescent="0.25">
      <c r="A19" s="290"/>
      <c r="B19" s="399" t="s">
        <v>565</v>
      </c>
      <c r="C19" s="623">
        <v>8.9548571428571417</v>
      </c>
      <c r="D19" s="633">
        <v>2.6867861590136439E-3</v>
      </c>
      <c r="E19" s="628">
        <f>'Cropping GMs - N cost Grain £'!R78</f>
        <v>440.99927478742194</v>
      </c>
      <c r="F19" s="628">
        <f>'Cropping GMs - N cost Grain £'!R26</f>
        <v>780.7576654050805</v>
      </c>
      <c r="G19" s="628">
        <f>'Cropping GMs - N cost Grain £'!R70</f>
        <v>339.75839061765856</v>
      </c>
      <c r="H19" s="16">
        <f>'Cropping GMs - N cost Grain £'!R4</f>
        <v>5.7711678123531716</v>
      </c>
      <c r="J19" s="290"/>
      <c r="K19" s="399" t="s">
        <v>565</v>
      </c>
      <c r="L19" s="633">
        <v>0</v>
      </c>
      <c r="M19" s="628"/>
      <c r="N19" s="628"/>
      <c r="O19" s="628"/>
      <c r="P19" s="16"/>
      <c r="R19" s="267" t="s">
        <v>566</v>
      </c>
      <c r="S19" s="2">
        <v>0</v>
      </c>
      <c r="T19" s="637">
        <v>0.25</v>
      </c>
      <c r="U19" s="2" t="s">
        <v>564</v>
      </c>
    </row>
    <row r="20" spans="1:26" x14ac:dyDescent="0.25">
      <c r="A20" s="290"/>
      <c r="B20" s="399" t="s">
        <v>563</v>
      </c>
      <c r="C20" s="623">
        <v>47.277471428571445</v>
      </c>
      <c r="D20" s="633">
        <v>1.4184978480507648E-2</v>
      </c>
      <c r="E20" s="628">
        <f>'Cropping GMs - N cost Grain £'!S78</f>
        <v>458.47682163236431</v>
      </c>
      <c r="F20" s="628">
        <f>'Cropping GMs - N cost Grain £'!S26</f>
        <v>738.73275000000001</v>
      </c>
      <c r="G20" s="628">
        <f>'Cropping GMs - N cost Grain £'!S70</f>
        <v>280.2559283676357</v>
      </c>
      <c r="H20" s="16">
        <f>'Cropping GMs - N cost Grain £'!S4</f>
        <v>7.3987565089055831</v>
      </c>
      <c r="J20" s="290"/>
      <c r="K20" s="399" t="s">
        <v>563</v>
      </c>
      <c r="L20" s="633">
        <f>T18*(1/6)</f>
        <v>4.1666666666666664E-2</v>
      </c>
      <c r="M20" s="628">
        <f>'Cropping GMs - baseline'!S119</f>
        <v>469.6</v>
      </c>
      <c r="N20" s="628">
        <f>'Cropping GMs - baseline'!S98</f>
        <v>647.5</v>
      </c>
      <c r="O20" s="628">
        <f>'Cropping GMs - baseline'!S116</f>
        <v>177.89999999999998</v>
      </c>
      <c r="P20" s="16">
        <f>'Cropping GMs - N cost Grain £'!S87</f>
        <v>7.8206040000000012</v>
      </c>
      <c r="R20" s="267" t="s">
        <v>567</v>
      </c>
      <c r="S20" s="2">
        <v>0</v>
      </c>
      <c r="T20" s="637">
        <v>0.25</v>
      </c>
      <c r="U20" s="2" t="s">
        <v>564</v>
      </c>
    </row>
    <row r="21" spans="1:26" x14ac:dyDescent="0.25">
      <c r="A21" s="290"/>
      <c r="B21" s="399" t="s">
        <v>566</v>
      </c>
      <c r="C21" s="623">
        <v>55.157049999999991</v>
      </c>
      <c r="D21" s="633">
        <v>1.654914156059225E-2</v>
      </c>
      <c r="E21" s="628">
        <f>'Cropping GMs - N cost Grain £'!T78</f>
        <v>401.65884424105991</v>
      </c>
      <c r="F21" s="628">
        <f>'Cropping GMs - N cost Grain £'!T26</f>
        <v>679.21579999999994</v>
      </c>
      <c r="G21" s="628">
        <f>'Cropping GMs - N cost Grain £'!T70</f>
        <v>277.55695575894003</v>
      </c>
      <c r="H21" s="16">
        <f>'Cropping GMs - N cost Grain £'!T4</f>
        <v>5.5511391151788008</v>
      </c>
      <c r="J21" s="290"/>
      <c r="K21" s="399" t="s">
        <v>566</v>
      </c>
      <c r="L21" s="633">
        <f t="shared" ref="L21:L23" si="0">T19*(1/6)</f>
        <v>4.1666666666666664E-2</v>
      </c>
      <c r="M21" s="628">
        <f>'Cropping GMs - baseline'!T119</f>
        <v>358.37264000000005</v>
      </c>
      <c r="N21" s="628">
        <f>'Cropping GMs - baseline'!T98</f>
        <v>543.37264000000005</v>
      </c>
      <c r="O21" s="628">
        <f>'Cropping GMs - baseline'!T116</f>
        <v>185</v>
      </c>
      <c r="P21" s="16">
        <f>'Cropping GMs - N cost Grain £'!T87</f>
        <v>8.6790000000000003</v>
      </c>
      <c r="R21" s="267" t="s">
        <v>568</v>
      </c>
      <c r="S21" s="2">
        <v>0</v>
      </c>
      <c r="T21" s="637">
        <v>0.25</v>
      </c>
      <c r="U21" s="2" t="s">
        <v>564</v>
      </c>
    </row>
    <row r="22" spans="1:26" x14ac:dyDescent="0.25">
      <c r="A22" s="290"/>
      <c r="B22" s="399" t="s">
        <v>569</v>
      </c>
      <c r="C22" s="623">
        <v>55.157049999999991</v>
      </c>
      <c r="D22" s="633">
        <v>1.654914156059225E-2</v>
      </c>
      <c r="E22" s="628">
        <f>'Cropping GMs - N cost Grain £'!U78</f>
        <v>391.15779424105995</v>
      </c>
      <c r="F22" s="628">
        <f>'Cropping GMs - N cost Grain £'!U26</f>
        <v>668.37725</v>
      </c>
      <c r="G22" s="628">
        <f>'Cropping GMs - N cost Grain £'!U70</f>
        <v>277.21945575894006</v>
      </c>
      <c r="H22" s="16">
        <f>'Cropping GMs - N cost Grain £'!U4</f>
        <v>5.5443891151788014</v>
      </c>
      <c r="J22" s="290"/>
      <c r="K22" s="399" t="s">
        <v>569</v>
      </c>
      <c r="L22" s="633">
        <f t="shared" si="0"/>
        <v>4.1666666666666664E-2</v>
      </c>
      <c r="M22" s="628">
        <f>'Cropping GMs - baseline'!U119</f>
        <v>349.70180000000005</v>
      </c>
      <c r="N22" s="628">
        <f>'Cropping GMs - baseline'!U98</f>
        <v>534.70180000000005</v>
      </c>
      <c r="O22" s="628">
        <f>'Cropping GMs - baseline'!U116</f>
        <v>185</v>
      </c>
      <c r="P22" s="16">
        <f>'Cropping GMs - N cost Grain £'!U87</f>
        <v>6.5750000000000002</v>
      </c>
      <c r="R22" s="267" t="s">
        <v>570</v>
      </c>
      <c r="S22" s="2">
        <v>2</v>
      </c>
      <c r="T22" s="637">
        <v>0.2</v>
      </c>
      <c r="U22" s="2" t="s">
        <v>556</v>
      </c>
    </row>
    <row r="23" spans="1:26" x14ac:dyDescent="0.25">
      <c r="A23" s="290"/>
      <c r="B23" s="399" t="s">
        <v>571</v>
      </c>
      <c r="C23" s="623">
        <v>41.674571428571426</v>
      </c>
      <c r="D23" s="633">
        <v>1.2503902620760931E-2</v>
      </c>
      <c r="E23" s="628">
        <f>'Cropping GMs - N cost Grain £'!V78</f>
        <v>403.45787504896191</v>
      </c>
      <c r="F23" s="628">
        <f>'Cropping GMs - N cost Grain £'!V26</f>
        <v>692.51666666666654</v>
      </c>
      <c r="G23" s="628">
        <f>'Cropping GMs - N cost Grain £'!V70</f>
        <v>289.05879161770463</v>
      </c>
      <c r="H23" s="16">
        <f>'Cropping GMs - N cost Grain £'!V4</f>
        <v>5.7811758323540925</v>
      </c>
      <c r="J23" s="290"/>
      <c r="K23" s="399" t="s">
        <v>568</v>
      </c>
      <c r="L23" s="633">
        <f t="shared" si="0"/>
        <v>4.1666666666666664E-2</v>
      </c>
      <c r="M23" s="628">
        <f>'Cropping GMs - baseline'!V119</f>
        <v>332.86241330833332</v>
      </c>
      <c r="N23" s="628">
        <f>'Cropping GMs - baseline'!V98</f>
        <v>554.01333333333332</v>
      </c>
      <c r="O23" s="628">
        <f>'Cropping GMs - baseline'!V116</f>
        <v>221.150920025</v>
      </c>
      <c r="P23" s="16">
        <f>'Cropping GMs - N cost Grain £'!V87</f>
        <v>7.6487684005000007</v>
      </c>
      <c r="R23" s="267" t="s">
        <v>572</v>
      </c>
      <c r="S23" s="2">
        <v>2</v>
      </c>
      <c r="T23" s="637">
        <v>0.33</v>
      </c>
      <c r="U23" s="2" t="s">
        <v>573</v>
      </c>
    </row>
    <row r="24" spans="1:26" x14ac:dyDescent="0.25">
      <c r="A24" s="290"/>
      <c r="B24" s="399" t="s">
        <v>574</v>
      </c>
      <c r="C24" s="623">
        <v>4.7142857142857144</v>
      </c>
      <c r="D24" s="633">
        <v>1.4144589248843446E-3</v>
      </c>
      <c r="E24" s="628">
        <f>'Cropping GMs - N cost Grain £'!W78</f>
        <v>447.5150856389987</v>
      </c>
      <c r="F24" s="628">
        <f>'Cropping GMs - N cost Grain £'!W26</f>
        <v>700</v>
      </c>
      <c r="G24" s="628">
        <f>'Cropping GMs - N cost Grain £'!W70</f>
        <v>252.48491436100133</v>
      </c>
      <c r="H24" s="16">
        <f>'Cropping GMs - N cost Grain £'!W4</f>
        <v>4.409698287220027</v>
      </c>
      <c r="J24" s="290"/>
      <c r="K24" s="399" t="s">
        <v>574</v>
      </c>
      <c r="L24" s="633">
        <v>0</v>
      </c>
      <c r="M24" s="628"/>
      <c r="N24" s="628"/>
      <c r="O24" s="628"/>
      <c r="P24" s="16"/>
    </row>
    <row r="25" spans="1:26" x14ac:dyDescent="0.25">
      <c r="A25" s="290"/>
      <c r="B25" s="399" t="s">
        <v>575</v>
      </c>
      <c r="C25" s="623">
        <v>17.434571428571427</v>
      </c>
      <c r="D25" s="633">
        <v>5.2310120033556111E-3</v>
      </c>
      <c r="E25" s="628">
        <f>'Cropping GMs - N cost Grain £'!X78</f>
        <v>581.81073781291173</v>
      </c>
      <c r="F25" s="628">
        <f>'Cropping GMs - N cost Grain £'!X26</f>
        <v>900</v>
      </c>
      <c r="G25" s="628">
        <f>'Cropping GMs - N cost Grain £'!X70</f>
        <v>318.18926218708827</v>
      </c>
      <c r="H25" s="16">
        <f>'Cropping GMs - N cost Grain £'!X4</f>
        <v>7.0485165217391303</v>
      </c>
      <c r="J25" s="290"/>
      <c r="K25" s="399" t="s">
        <v>575</v>
      </c>
      <c r="L25" s="633">
        <v>0</v>
      </c>
      <c r="M25" s="628"/>
      <c r="N25" s="628"/>
      <c r="O25" s="628"/>
      <c r="P25" s="16"/>
    </row>
    <row r="26" spans="1:26" x14ac:dyDescent="0.25">
      <c r="A26" s="290"/>
      <c r="B26" s="399" t="s">
        <v>576</v>
      </c>
      <c r="C26" s="623"/>
      <c r="D26" s="633"/>
      <c r="E26" s="628"/>
      <c r="F26" s="628"/>
      <c r="G26" s="628"/>
      <c r="H26" s="16"/>
      <c r="J26" s="290"/>
      <c r="K26" s="399" t="s">
        <v>576</v>
      </c>
      <c r="L26" s="633">
        <v>0.33300000000000002</v>
      </c>
      <c r="M26" s="628">
        <v>0</v>
      </c>
      <c r="N26" s="628">
        <v>0</v>
      </c>
      <c r="O26" s="628">
        <f>(Forage!V29)</f>
        <v>125.66500000000001</v>
      </c>
      <c r="P26" s="16">
        <f>Forage!V6</f>
        <v>2.5133000000000001</v>
      </c>
    </row>
    <row r="27" spans="1:26" x14ac:dyDescent="0.25">
      <c r="A27" s="290"/>
      <c r="B27" s="399"/>
      <c r="C27" s="623"/>
      <c r="D27" s="633"/>
      <c r="E27" s="628"/>
      <c r="F27" s="628"/>
      <c r="G27" s="628"/>
      <c r="H27" s="16"/>
      <c r="J27" s="290"/>
      <c r="K27" s="399"/>
      <c r="L27" s="633"/>
      <c r="M27" s="628"/>
      <c r="N27" s="628"/>
      <c r="O27" s="628"/>
      <c r="P27" s="16"/>
    </row>
    <row r="28" spans="1:26" ht="11" thickBot="1" x14ac:dyDescent="0.3">
      <c r="A28" s="290"/>
      <c r="B28" s="400" t="s">
        <v>246</v>
      </c>
      <c r="C28" s="631">
        <v>3332.9251428571424</v>
      </c>
      <c r="D28" s="632">
        <v>1.0000000000000004</v>
      </c>
      <c r="E28" s="629">
        <f>SUMPRODUCT($D$5:$D$25,E5:E25)</f>
        <v>661.18926698751466</v>
      </c>
      <c r="F28" s="629">
        <f>SUMPRODUCT($D$5:$D$25,F5:F25)</f>
        <v>1246.1989443760331</v>
      </c>
      <c r="G28" s="629">
        <f>SUMPRODUCT($D$5:$D$25,G5:G25)</f>
        <v>585.00967738851853</v>
      </c>
      <c r="H28" s="630">
        <f>SUMPRODUCT($D$5:$D$25,H5:H25)</f>
        <v>12.310829381613869</v>
      </c>
      <c r="J28" s="290"/>
      <c r="K28" s="400" t="s">
        <v>246</v>
      </c>
      <c r="L28" s="632">
        <f>SUM(L5:L26)</f>
        <v>0.99966666666666648</v>
      </c>
      <c r="M28" s="629">
        <f>SUMPRODUCT($L$5:$L$26,M5:M26)</f>
        <v>441.29638406497776</v>
      </c>
      <c r="N28" s="629">
        <f>SUMPRODUCT($L$5:$L$26,N5:N26)</f>
        <v>533.63893906601959</v>
      </c>
      <c r="O28" s="629">
        <f>SUMPRODUCT($L$5:$L$26,O5:O26)</f>
        <v>134.18900000104165</v>
      </c>
      <c r="P28" s="630">
        <f>SUMPRODUCT($L$5:$L$26,P5:P26)</f>
        <v>4.2871292900208333</v>
      </c>
    </row>
    <row r="29" spans="1:26" s="235" customFormat="1" x14ac:dyDescent="0.25">
      <c r="A29" s="290"/>
      <c r="B29" s="340"/>
      <c r="C29" s="621"/>
      <c r="D29" s="92"/>
      <c r="E29" s="622"/>
      <c r="F29" s="622"/>
      <c r="G29" s="622"/>
      <c r="H29" s="622"/>
      <c r="J29" s="290"/>
      <c r="K29" s="340"/>
      <c r="L29" s="92"/>
      <c r="M29" s="622"/>
      <c r="N29" s="622"/>
      <c r="O29" s="622"/>
      <c r="P29" s="622"/>
      <c r="R29" s="267"/>
      <c r="S29" s="2"/>
      <c r="T29" s="2"/>
      <c r="U29" s="2"/>
      <c r="V29" s="2"/>
      <c r="W29" s="2"/>
      <c r="X29" s="2"/>
      <c r="Y29" s="2"/>
      <c r="Z29" s="2"/>
    </row>
    <row r="30" spans="1:26" s="235" customFormat="1" x14ac:dyDescent="0.25">
      <c r="A30" s="290"/>
      <c r="B30" s="340"/>
      <c r="C30" s="621"/>
      <c r="D30" s="92"/>
      <c r="E30" s="622"/>
      <c r="F30" s="622"/>
      <c r="G30" s="622"/>
      <c r="H30" s="622"/>
      <c r="J30" s="290"/>
      <c r="K30" s="340"/>
      <c r="L30" s="92"/>
      <c r="M30" s="622"/>
      <c r="N30" s="622"/>
      <c r="O30" s="622"/>
      <c r="P30" s="622"/>
      <c r="R30" s="267"/>
      <c r="S30" s="2"/>
      <c r="T30" s="2"/>
      <c r="U30" s="2"/>
      <c r="V30" s="2"/>
      <c r="W30" s="2"/>
      <c r="X30" s="2"/>
      <c r="Y30" s="2"/>
      <c r="Z30" s="2"/>
    </row>
    <row r="31" spans="1:26" s="235" customFormat="1" ht="11" thickBot="1" x14ac:dyDescent="0.3">
      <c r="A31" s="290"/>
      <c r="B31" s="340"/>
      <c r="C31" s="621"/>
      <c r="D31" s="92"/>
      <c r="E31" s="622"/>
      <c r="F31" s="622"/>
      <c r="G31" s="622"/>
      <c r="H31" s="622"/>
      <c r="J31" s="290"/>
      <c r="K31" s="340"/>
      <c r="L31" s="92"/>
      <c r="M31" s="622"/>
      <c r="N31" s="622"/>
      <c r="O31" s="622"/>
      <c r="P31" s="622"/>
      <c r="R31" s="267"/>
      <c r="S31" s="2"/>
      <c r="T31" s="2"/>
      <c r="U31" s="2"/>
      <c r="V31" s="2"/>
      <c r="W31" s="2"/>
      <c r="X31" s="2"/>
      <c r="Y31" s="2"/>
      <c r="Z31" s="2"/>
    </row>
    <row r="32" spans="1:26" s="235" customFormat="1" ht="20.5" customHeight="1" x14ac:dyDescent="0.25">
      <c r="A32" s="290"/>
      <c r="B32" s="396" t="s">
        <v>528</v>
      </c>
      <c r="C32" s="1495" t="s">
        <v>196</v>
      </c>
      <c r="D32" s="1495"/>
      <c r="E32" s="1495"/>
      <c r="F32" s="1495"/>
      <c r="G32" s="1495"/>
      <c r="H32" s="1496"/>
      <c r="J32" s="290"/>
      <c r="K32" s="396" t="s">
        <v>528</v>
      </c>
      <c r="L32" s="1495" t="s">
        <v>74</v>
      </c>
      <c r="M32" s="1495"/>
      <c r="N32" s="1495"/>
      <c r="O32" s="1495"/>
      <c r="P32" s="1496"/>
      <c r="R32" s="349" t="s">
        <v>577</v>
      </c>
      <c r="S32" s="2"/>
      <c r="T32" s="2"/>
      <c r="U32" s="2"/>
      <c r="V32" s="2"/>
      <c r="W32" s="2"/>
      <c r="X32" s="2"/>
      <c r="Y32" s="2"/>
      <c r="Z32" s="2"/>
    </row>
    <row r="33" spans="1:38" s="235" customFormat="1" ht="31.5" x14ac:dyDescent="0.25">
      <c r="A33" s="290"/>
      <c r="B33" s="397" t="s">
        <v>530</v>
      </c>
      <c r="C33" s="393" t="s">
        <v>531</v>
      </c>
      <c r="D33" s="4" t="s">
        <v>532</v>
      </c>
      <c r="E33" s="4" t="s">
        <v>533</v>
      </c>
      <c r="F33" s="4" t="s">
        <v>534</v>
      </c>
      <c r="G33" s="4" t="s">
        <v>536</v>
      </c>
      <c r="H33" s="394" t="s">
        <v>216</v>
      </c>
      <c r="J33" s="290"/>
      <c r="K33" s="397" t="s">
        <v>530</v>
      </c>
      <c r="L33" s="4" t="s">
        <v>532</v>
      </c>
      <c r="M33" s="4" t="s">
        <v>533</v>
      </c>
      <c r="N33" s="4" t="s">
        <v>534</v>
      </c>
      <c r="O33" s="4" t="s">
        <v>536</v>
      </c>
      <c r="P33" s="394" t="s">
        <v>216</v>
      </c>
      <c r="R33" s="267"/>
      <c r="S33" s="2"/>
      <c r="T33" s="2"/>
      <c r="U33" s="2"/>
      <c r="V33" s="2"/>
      <c r="W33" s="2"/>
      <c r="X33" s="2"/>
      <c r="Y33" s="2"/>
      <c r="Z33" s="2"/>
    </row>
    <row r="34" spans="1:38" s="235" customFormat="1" x14ac:dyDescent="0.25">
      <c r="A34" s="290"/>
      <c r="B34" s="398"/>
      <c r="C34" s="173"/>
      <c r="D34" s="174"/>
      <c r="E34" s="174" t="s">
        <v>538</v>
      </c>
      <c r="F34" s="174"/>
      <c r="G34" s="174"/>
      <c r="H34" s="395" t="s">
        <v>538</v>
      </c>
      <c r="J34" s="290"/>
      <c r="K34" s="398"/>
      <c r="L34" s="174"/>
      <c r="M34" s="174" t="s">
        <v>538</v>
      </c>
      <c r="N34" s="174"/>
      <c r="O34" s="174"/>
      <c r="P34" s="395" t="s">
        <v>538</v>
      </c>
      <c r="R34" s="267"/>
      <c r="S34" s="2"/>
      <c r="T34" s="2"/>
      <c r="U34" s="2"/>
      <c r="V34" s="2"/>
      <c r="W34" s="2"/>
      <c r="X34" s="2"/>
      <c r="Y34" s="2"/>
      <c r="Z34" s="2"/>
    </row>
    <row r="35" spans="1:38" s="235" customFormat="1" x14ac:dyDescent="0.25">
      <c r="A35" s="290"/>
      <c r="B35" s="399" t="s">
        <v>541</v>
      </c>
      <c r="C35" s="623">
        <v>643.09457370199993</v>
      </c>
      <c r="D35" s="633">
        <v>0.19295200046128508</v>
      </c>
      <c r="E35" s="628">
        <f>E5</f>
        <v>750.71973060313371</v>
      </c>
      <c r="F35" s="628">
        <v>1447.264645083593</v>
      </c>
      <c r="G35" s="628">
        <f>G5</f>
        <v>696.54491448045928</v>
      </c>
      <c r="H35" s="16">
        <v>15.178545742284125</v>
      </c>
      <c r="J35" s="290"/>
      <c r="K35" s="399" t="s">
        <v>541</v>
      </c>
      <c r="L35" s="633">
        <f>80%*(2/6)</f>
        <v>0.26666666666666666</v>
      </c>
      <c r="M35" s="628">
        <f t="shared" ref="M35:P56" si="1">M5</f>
        <v>879.11400000000003</v>
      </c>
      <c r="N35" s="628">
        <f t="shared" si="1"/>
        <v>990.65</v>
      </c>
      <c r="O35" s="628">
        <f t="shared" si="1"/>
        <v>111.536</v>
      </c>
      <c r="P35" s="16">
        <f t="shared" si="1"/>
        <v>4.4746944000000006</v>
      </c>
      <c r="R35" s="267"/>
      <c r="S35" s="2"/>
      <c r="T35" s="2"/>
      <c r="U35" s="2"/>
      <c r="V35" s="2"/>
      <c r="W35" s="2"/>
      <c r="X35" s="2"/>
      <c r="Y35" s="2"/>
      <c r="Z35" s="2"/>
    </row>
    <row r="36" spans="1:38" s="235" customFormat="1" x14ac:dyDescent="0.25">
      <c r="A36" s="290"/>
      <c r="B36" s="399" t="s">
        <v>543</v>
      </c>
      <c r="C36" s="623">
        <v>131.71816569799998</v>
      </c>
      <c r="D36" s="633">
        <v>3.952028925110658E-2</v>
      </c>
      <c r="E36" s="628">
        <f t="shared" ref="E36:E55" si="2">E6</f>
        <v>617.57600226718716</v>
      </c>
      <c r="F36" s="628">
        <v>1327.4428213875167</v>
      </c>
      <c r="G36" s="628">
        <f t="shared" ref="G36:G55" si="3">G6</f>
        <v>709.86681912032952</v>
      </c>
      <c r="H36" s="16">
        <v>15.5302440247767</v>
      </c>
      <c r="J36" s="290"/>
      <c r="K36" s="399" t="s">
        <v>543</v>
      </c>
      <c r="L36" s="633">
        <f>L6</f>
        <v>0</v>
      </c>
      <c r="M36" s="628">
        <f t="shared" si="1"/>
        <v>0</v>
      </c>
      <c r="N36" s="628">
        <f t="shared" si="1"/>
        <v>0</v>
      </c>
      <c r="O36" s="628">
        <f t="shared" si="1"/>
        <v>0</v>
      </c>
      <c r="P36" s="16">
        <f t="shared" si="1"/>
        <v>0</v>
      </c>
      <c r="R36" s="267"/>
      <c r="S36" s="2"/>
      <c r="T36" s="2"/>
      <c r="U36" s="2"/>
      <c r="V36" s="2"/>
      <c r="W36" s="2"/>
      <c r="X36" s="2"/>
      <c r="Y36" s="2"/>
      <c r="Z36" s="2"/>
    </row>
    <row r="37" spans="1:38" s="235" customFormat="1" x14ac:dyDescent="0.25">
      <c r="A37" s="290"/>
      <c r="B37" s="399" t="s">
        <v>544</v>
      </c>
      <c r="C37" s="623">
        <v>538.09954126085711</v>
      </c>
      <c r="D37" s="633">
        <v>0.16144963303903445</v>
      </c>
      <c r="E37" s="628">
        <f t="shared" si="2"/>
        <v>708.04335362593565</v>
      </c>
      <c r="F37" s="628">
        <v>1455.8552173475225</v>
      </c>
      <c r="G37" s="628">
        <f t="shared" si="3"/>
        <v>747.81186372158686</v>
      </c>
      <c r="H37" s="16">
        <v>15.856153202249894</v>
      </c>
      <c r="J37" s="290"/>
      <c r="K37" s="399" t="s">
        <v>544</v>
      </c>
      <c r="L37" s="633">
        <f>L7</f>
        <v>0</v>
      </c>
      <c r="M37" s="628">
        <f t="shared" si="1"/>
        <v>0</v>
      </c>
      <c r="N37" s="628">
        <f t="shared" si="1"/>
        <v>0</v>
      </c>
      <c r="O37" s="628">
        <f t="shared" si="1"/>
        <v>0</v>
      </c>
      <c r="P37" s="16">
        <f t="shared" si="1"/>
        <v>0</v>
      </c>
      <c r="R37" s="267"/>
      <c r="S37" s="2"/>
      <c r="T37" s="2"/>
      <c r="U37" s="2"/>
      <c r="V37" s="2"/>
      <c r="W37" s="2"/>
      <c r="X37" s="2"/>
      <c r="Y37" s="2"/>
      <c r="Z37" s="2"/>
    </row>
    <row r="38" spans="1:38" s="235" customFormat="1" x14ac:dyDescent="0.25">
      <c r="A38" s="290"/>
      <c r="B38" s="399" t="s">
        <v>546</v>
      </c>
      <c r="C38" s="623">
        <v>110.21315905342857</v>
      </c>
      <c r="D38" s="633">
        <v>3.3067997128476939E-2</v>
      </c>
      <c r="E38" s="628">
        <f t="shared" si="2"/>
        <v>559.04882600291603</v>
      </c>
      <c r="F38" s="628">
        <v>1335.2266724622052</v>
      </c>
      <c r="G38" s="628">
        <f t="shared" si="3"/>
        <v>776.17784645928919</v>
      </c>
      <c r="H38" s="16">
        <v>16.605015146525233</v>
      </c>
      <c r="J38" s="290"/>
      <c r="K38" s="399" t="s">
        <v>546</v>
      </c>
      <c r="L38" s="633">
        <f>L8</f>
        <v>0</v>
      </c>
      <c r="M38" s="628">
        <f t="shared" si="1"/>
        <v>0</v>
      </c>
      <c r="N38" s="628">
        <f t="shared" si="1"/>
        <v>0</v>
      </c>
      <c r="O38" s="628">
        <f t="shared" si="1"/>
        <v>0</v>
      </c>
      <c r="P38" s="16">
        <f t="shared" si="1"/>
        <v>0</v>
      </c>
      <c r="R38" s="267"/>
      <c r="S38" s="2"/>
      <c r="T38" s="2"/>
      <c r="U38" s="2"/>
      <c r="V38" s="2"/>
      <c r="W38" s="2"/>
      <c r="X38" s="2"/>
      <c r="Y38" s="2"/>
      <c r="Z38" s="2"/>
    </row>
    <row r="39" spans="1:38" s="235" customFormat="1" x14ac:dyDescent="0.25">
      <c r="A39" s="290"/>
      <c r="B39" s="399" t="s">
        <v>548</v>
      </c>
      <c r="C39" s="623">
        <v>131.24379055142856</v>
      </c>
      <c r="D39" s="633">
        <v>3.9377959277813276E-2</v>
      </c>
      <c r="E39" s="628">
        <f t="shared" si="2"/>
        <v>713.49821481940285</v>
      </c>
      <c r="F39" s="628">
        <v>1447.0119811934774</v>
      </c>
      <c r="G39" s="628">
        <f t="shared" si="3"/>
        <v>733.51376637407452</v>
      </c>
      <c r="H39" s="16">
        <v>15.647643432275565</v>
      </c>
      <c r="J39" s="290"/>
      <c r="K39" s="399" t="s">
        <v>548</v>
      </c>
      <c r="L39" s="633">
        <f>L9</f>
        <v>0</v>
      </c>
      <c r="M39" s="628">
        <f t="shared" si="1"/>
        <v>0</v>
      </c>
      <c r="N39" s="628">
        <f t="shared" si="1"/>
        <v>0</v>
      </c>
      <c r="O39" s="628">
        <f t="shared" si="1"/>
        <v>0</v>
      </c>
      <c r="P39" s="16">
        <f t="shared" si="1"/>
        <v>0</v>
      </c>
      <c r="R39" s="267"/>
      <c r="S39" s="2"/>
      <c r="T39" s="2"/>
      <c r="U39" s="2"/>
      <c r="V39" s="2"/>
      <c r="W39" s="2"/>
      <c r="X39" s="2"/>
      <c r="Y39" s="2"/>
      <c r="Z39" s="2"/>
    </row>
    <row r="40" spans="1:38" s="235" customFormat="1" x14ac:dyDescent="0.25">
      <c r="A40" s="290"/>
      <c r="B40" s="399" t="s">
        <v>549</v>
      </c>
      <c r="C40" s="623">
        <v>26.881258305714283</v>
      </c>
      <c r="D40" s="633">
        <v>8.0653651532870563E-3</v>
      </c>
      <c r="E40" s="628">
        <f t="shared" si="2"/>
        <v>568.16660030279968</v>
      </c>
      <c r="F40" s="628">
        <v>1327.2138845912025</v>
      </c>
      <c r="G40" s="628">
        <f t="shared" si="3"/>
        <v>759.04728428840281</v>
      </c>
      <c r="H40" s="16">
        <v>16.321728305213831</v>
      </c>
      <c r="J40" s="290"/>
      <c r="K40" s="399" t="s">
        <v>549</v>
      </c>
      <c r="L40" s="633">
        <f>L10</f>
        <v>0</v>
      </c>
      <c r="M40" s="628">
        <f t="shared" si="1"/>
        <v>0</v>
      </c>
      <c r="N40" s="628">
        <f t="shared" si="1"/>
        <v>0</v>
      </c>
      <c r="O40" s="628">
        <f t="shared" si="1"/>
        <v>0</v>
      </c>
      <c r="P40" s="16">
        <f t="shared" si="1"/>
        <v>0</v>
      </c>
      <c r="R40" s="267"/>
      <c r="S40" s="2"/>
      <c r="T40" s="2"/>
      <c r="U40" s="2"/>
      <c r="V40" s="2"/>
      <c r="W40" s="2"/>
      <c r="X40" s="2"/>
      <c r="Y40" s="2"/>
      <c r="Z40" s="2"/>
    </row>
    <row r="41" spans="1:38" s="235" customFormat="1" x14ac:dyDescent="0.25">
      <c r="B41" s="399" t="s">
        <v>551</v>
      </c>
      <c r="C41" s="623">
        <v>48.90465428571428</v>
      </c>
      <c r="D41" s="633">
        <v>1.4673193123020721E-2</v>
      </c>
      <c r="E41" s="628">
        <f t="shared" si="2"/>
        <v>589.57360759021458</v>
      </c>
      <c r="F41" s="628">
        <v>1160.6394715928743</v>
      </c>
      <c r="G41" s="628">
        <f t="shared" si="3"/>
        <v>571.06586400265974</v>
      </c>
      <c r="H41" s="16">
        <v>8.9893172800531929</v>
      </c>
      <c r="K41" s="399" t="s">
        <v>551</v>
      </c>
      <c r="L41" s="633">
        <f>20%*(2/6)</f>
        <v>6.6666666666666666E-2</v>
      </c>
      <c r="M41" s="628">
        <f t="shared" si="1"/>
        <v>649.28428238758215</v>
      </c>
      <c r="N41" s="628">
        <f t="shared" si="1"/>
        <v>809.03303238758213</v>
      </c>
      <c r="O41" s="628">
        <f t="shared" si="1"/>
        <v>159.74875</v>
      </c>
      <c r="P41" s="16">
        <f t="shared" si="1"/>
        <v>4.8768500000000001</v>
      </c>
      <c r="R41" s="267"/>
      <c r="S41" s="2"/>
      <c r="T41" s="2"/>
      <c r="U41" s="2"/>
      <c r="V41" s="2"/>
      <c r="W41" s="2"/>
      <c r="X41" s="2"/>
      <c r="Y41" s="2"/>
      <c r="Z41" s="2"/>
    </row>
    <row r="42" spans="1:38" s="235" customFormat="1" x14ac:dyDescent="0.25">
      <c r="B42" s="399" t="s">
        <v>552</v>
      </c>
      <c r="C42" s="623">
        <v>175.57064285714287</v>
      </c>
      <c r="D42" s="633">
        <v>5.2677643610871905E-2</v>
      </c>
      <c r="E42" s="628">
        <f t="shared" si="2"/>
        <v>611.36031757456612</v>
      </c>
      <c r="F42" s="628">
        <v>1135.4003013670419</v>
      </c>
      <c r="G42" s="628">
        <f t="shared" si="3"/>
        <v>524.03998379247582</v>
      </c>
      <c r="H42" s="16">
        <v>11.469215572121362</v>
      </c>
      <c r="K42" s="399" t="s">
        <v>552</v>
      </c>
      <c r="L42" s="633">
        <v>0</v>
      </c>
      <c r="M42" s="628">
        <f t="shared" si="1"/>
        <v>652.76782684756608</v>
      </c>
      <c r="N42" s="628">
        <f t="shared" si="1"/>
        <v>779.71882684756611</v>
      </c>
      <c r="O42" s="628">
        <f t="shared" si="1"/>
        <v>126.95099999999999</v>
      </c>
      <c r="P42" s="16">
        <f t="shared" si="1"/>
        <v>4.4444664000000005</v>
      </c>
      <c r="R42" s="628">
        <f>'Cropping GMs - N cost Grain £'!D78</f>
        <v>750.71973060313371</v>
      </c>
      <c r="S42" s="628">
        <f>'Cropping GMs - N cost Grain £'!E78</f>
        <v>617.57600226718716</v>
      </c>
      <c r="T42" s="628">
        <f>'Cropping GMs - N cost Grain £'!F78</f>
        <v>708.04335362593565</v>
      </c>
      <c r="U42" s="628">
        <f>'Cropping GMs - N cost Grain £'!G78</f>
        <v>559.04882600291603</v>
      </c>
      <c r="V42" s="628">
        <f>'Cropping GMs - N cost Grain £'!H78</f>
        <v>713.49821481940285</v>
      </c>
      <c r="W42" s="628">
        <f>'Cropping GMs - N cost Grain £'!I78</f>
        <v>568.16660030279968</v>
      </c>
      <c r="X42" s="628">
        <f>'Cropping GMs - N cost Grain £'!J78</f>
        <v>589.57360759021458</v>
      </c>
      <c r="Y42" s="628">
        <f>'Cropping GMs - N cost Grain £'!K78</f>
        <v>611.36031757456612</v>
      </c>
      <c r="Z42" s="628">
        <f>'Cropping GMs - N cost Grain £'!L78</f>
        <v>752.56895307672244</v>
      </c>
      <c r="AA42" s="628">
        <f>'Cropping GMs - N cost Grain £'!M78</f>
        <v>543.39199471547329</v>
      </c>
      <c r="AB42" s="628">
        <f>'Cropping GMs - N cost Grain £'!N78</f>
        <v>724.50352713738789</v>
      </c>
      <c r="AC42" s="628">
        <f>'Cropping GMs - N cost Grain £'!O78</f>
        <v>463.52660107878398</v>
      </c>
      <c r="AD42" s="628">
        <f>'Cropping GMs - N cost Grain £'!P78</f>
        <v>0</v>
      </c>
      <c r="AE42" s="628">
        <f>'Cropping GMs - N cost Grain £'!Q78</f>
        <v>620.05109138717671</v>
      </c>
      <c r="AF42" s="628">
        <f>'Cropping GMs - N cost Grain £'!R78</f>
        <v>440.99927478742194</v>
      </c>
      <c r="AG42" s="628">
        <f>'Cropping GMs - N cost Grain £'!S78</f>
        <v>458.47682163236431</v>
      </c>
      <c r="AH42" s="628">
        <f>'Cropping GMs - N cost Grain £'!T78</f>
        <v>401.65884424105991</v>
      </c>
      <c r="AI42" s="628">
        <f>'Cropping GMs - N cost Grain £'!U78</f>
        <v>391.15779424105995</v>
      </c>
      <c r="AJ42" s="628">
        <f>'Cropping GMs - N cost Grain £'!V78</f>
        <v>403.45787504896191</v>
      </c>
      <c r="AK42" s="628">
        <f>'Cropping GMs - N cost Grain £'!W78</f>
        <v>447.5150856389987</v>
      </c>
      <c r="AL42" s="628">
        <f>'Cropping GMs - N cost Grain £'!X78</f>
        <v>581.81073781291173</v>
      </c>
    </row>
    <row r="43" spans="1:38" s="235" customFormat="1" x14ac:dyDescent="0.25">
      <c r="B43" s="399" t="s">
        <v>554</v>
      </c>
      <c r="C43" s="623">
        <v>175.57064285714287</v>
      </c>
      <c r="D43" s="633">
        <v>5.2677643610871905E-2</v>
      </c>
      <c r="E43" s="628">
        <f t="shared" si="2"/>
        <v>752.56895307672244</v>
      </c>
      <c r="F43" s="628">
        <v>1208.1801063777216</v>
      </c>
      <c r="G43" s="628">
        <f t="shared" si="3"/>
        <v>455.61115330099915</v>
      </c>
      <c r="H43" s="16">
        <v>10.507494447146378</v>
      </c>
      <c r="K43" s="399" t="s">
        <v>554</v>
      </c>
      <c r="L43" s="633">
        <f>L13</f>
        <v>0</v>
      </c>
      <c r="M43" s="628">
        <f t="shared" si="1"/>
        <v>0</v>
      </c>
      <c r="N43" s="628">
        <f t="shared" si="1"/>
        <v>0</v>
      </c>
      <c r="O43" s="628">
        <f t="shared" si="1"/>
        <v>0</v>
      </c>
      <c r="P43" s="16">
        <f t="shared" si="1"/>
        <v>0</v>
      </c>
      <c r="R43" s="267"/>
      <c r="S43" s="2"/>
      <c r="T43" s="2"/>
      <c r="U43" s="2"/>
      <c r="V43" s="2"/>
      <c r="W43" s="2"/>
      <c r="X43" s="2"/>
      <c r="Y43" s="2"/>
      <c r="Z43" s="2"/>
    </row>
    <row r="44" spans="1:38" s="235" customFormat="1" x14ac:dyDescent="0.25">
      <c r="B44" s="399" t="s">
        <v>555</v>
      </c>
      <c r="C44" s="623">
        <v>23.881657142857147</v>
      </c>
      <c r="D44" s="633">
        <v>7.1653745941574467E-3</v>
      </c>
      <c r="E44" s="628">
        <f t="shared" si="2"/>
        <v>543.39199471547329</v>
      </c>
      <c r="F44" s="628">
        <v>970.13414414183239</v>
      </c>
      <c r="G44" s="628">
        <f t="shared" si="3"/>
        <v>426.74214942635911</v>
      </c>
      <c r="H44" s="16">
        <v>7.1268429885271827</v>
      </c>
      <c r="K44" s="399" t="s">
        <v>555</v>
      </c>
      <c r="L44" s="633">
        <v>0</v>
      </c>
      <c r="M44" s="628">
        <f t="shared" si="1"/>
        <v>554.92812936793609</v>
      </c>
      <c r="N44" s="628">
        <f t="shared" si="1"/>
        <v>666.84812936793605</v>
      </c>
      <c r="O44" s="628">
        <f t="shared" si="1"/>
        <v>111.92</v>
      </c>
      <c r="P44" s="16">
        <f t="shared" si="1"/>
        <v>3.3757500000000005</v>
      </c>
      <c r="R44" s="267"/>
      <c r="S44" s="2"/>
      <c r="T44" s="2"/>
      <c r="U44" s="2"/>
      <c r="V44" s="2"/>
      <c r="W44" s="2"/>
      <c r="X44" s="2"/>
      <c r="Y44" s="2"/>
      <c r="Z44" s="2"/>
    </row>
    <row r="45" spans="1:38" s="235" customFormat="1" x14ac:dyDescent="0.25">
      <c r="B45" s="399" t="s">
        <v>557</v>
      </c>
      <c r="C45" s="623">
        <v>453.75148571428571</v>
      </c>
      <c r="D45" s="633">
        <v>0.13614211728899145</v>
      </c>
      <c r="E45" s="628">
        <f t="shared" si="2"/>
        <v>724.50352713738789</v>
      </c>
      <c r="F45" s="628">
        <v>1099.1028143523129</v>
      </c>
      <c r="G45" s="628">
        <f t="shared" si="3"/>
        <v>374.59928721492491</v>
      </c>
      <c r="H45" s="16">
        <v>6.5959857442984982</v>
      </c>
      <c r="K45" s="399" t="s">
        <v>557</v>
      </c>
      <c r="L45" s="633">
        <f t="shared" ref="L45:L55" si="4">L15</f>
        <v>0</v>
      </c>
      <c r="M45" s="628">
        <f t="shared" si="1"/>
        <v>0</v>
      </c>
      <c r="N45" s="628">
        <f t="shared" si="1"/>
        <v>0</v>
      </c>
      <c r="O45" s="628">
        <f t="shared" si="1"/>
        <v>0</v>
      </c>
      <c r="P45" s="16">
        <f t="shared" si="1"/>
        <v>0</v>
      </c>
      <c r="R45" s="267"/>
      <c r="S45" s="2"/>
      <c r="T45" s="2"/>
      <c r="U45" s="2"/>
      <c r="V45" s="2"/>
      <c r="W45" s="2"/>
      <c r="X45" s="2"/>
      <c r="Y45" s="2"/>
      <c r="Z45" s="2"/>
    </row>
    <row r="46" spans="1:38" s="235" customFormat="1" x14ac:dyDescent="0.25">
      <c r="B46" s="399" t="s">
        <v>558</v>
      </c>
      <c r="C46" s="623">
        <v>124.49</v>
      </c>
      <c r="D46" s="633">
        <v>3.735157396702922E-2</v>
      </c>
      <c r="E46" s="628">
        <f t="shared" si="2"/>
        <v>463.52660107878398</v>
      </c>
      <c r="F46" s="628">
        <v>915.65679849758544</v>
      </c>
      <c r="G46" s="628">
        <f t="shared" si="3"/>
        <v>452.13019741880146</v>
      </c>
      <c r="H46" s="16">
        <v>9.7397572118563573</v>
      </c>
      <c r="K46" s="399" t="s">
        <v>558</v>
      </c>
      <c r="L46" s="633">
        <f t="shared" si="4"/>
        <v>0</v>
      </c>
      <c r="M46" s="628">
        <f t="shared" si="1"/>
        <v>573.54660000000001</v>
      </c>
      <c r="N46" s="628">
        <f t="shared" si="1"/>
        <v>696.6</v>
      </c>
      <c r="O46" s="628">
        <f t="shared" si="1"/>
        <v>123.0534</v>
      </c>
      <c r="P46" s="16">
        <f t="shared" si="1"/>
        <v>3.618198</v>
      </c>
      <c r="R46" s="267"/>
      <c r="S46" s="2"/>
      <c r="T46" s="2"/>
      <c r="U46" s="2"/>
      <c r="V46" s="2"/>
      <c r="W46" s="2"/>
      <c r="X46" s="2"/>
      <c r="Y46" s="2"/>
      <c r="Z46" s="2"/>
    </row>
    <row r="47" spans="1:38" s="235" customFormat="1" x14ac:dyDescent="0.25">
      <c r="B47" s="399" t="s">
        <v>561</v>
      </c>
      <c r="C47" s="623"/>
      <c r="D47" s="633"/>
      <c r="E47" s="628">
        <f t="shared" si="2"/>
        <v>0</v>
      </c>
      <c r="F47" s="628"/>
      <c r="G47" s="628">
        <f t="shared" si="3"/>
        <v>0</v>
      </c>
      <c r="H47" s="16"/>
      <c r="K47" s="399" t="s">
        <v>561</v>
      </c>
      <c r="L47" s="633">
        <f t="shared" si="4"/>
        <v>0</v>
      </c>
      <c r="M47" s="628">
        <f t="shared" si="1"/>
        <v>538.4</v>
      </c>
      <c r="N47" s="634">
        <f t="shared" si="1"/>
        <v>0</v>
      </c>
      <c r="O47" s="634">
        <f t="shared" si="1"/>
        <v>0</v>
      </c>
      <c r="P47" s="635">
        <f t="shared" si="1"/>
        <v>0</v>
      </c>
      <c r="R47" s="267"/>
      <c r="S47" s="2"/>
      <c r="T47" s="2"/>
      <c r="U47" s="2"/>
      <c r="V47" s="2"/>
      <c r="W47" s="2"/>
      <c r="X47" s="2"/>
      <c r="Y47" s="2"/>
      <c r="Z47" s="2"/>
    </row>
    <row r="48" spans="1:38" s="235" customFormat="1" x14ac:dyDescent="0.25">
      <c r="B48" s="399" t="s">
        <v>562</v>
      </c>
      <c r="C48" s="623">
        <v>519.13571428571424</v>
      </c>
      <c r="D48" s="633">
        <v>0.15575978818434738</v>
      </c>
      <c r="E48" s="628">
        <f t="shared" si="2"/>
        <v>620.05109138717671</v>
      </c>
      <c r="F48" s="628">
        <v>1201.165639084739</v>
      </c>
      <c r="G48" s="628">
        <f t="shared" si="3"/>
        <v>581.11454769756233</v>
      </c>
      <c r="H48" s="16">
        <v>12.131184059215649</v>
      </c>
      <c r="K48" s="399" t="s">
        <v>562</v>
      </c>
      <c r="L48" s="633">
        <f t="shared" si="4"/>
        <v>0</v>
      </c>
      <c r="M48" s="628">
        <f t="shared" si="1"/>
        <v>0</v>
      </c>
      <c r="N48" s="628">
        <f t="shared" si="1"/>
        <v>0</v>
      </c>
      <c r="O48" s="628">
        <f t="shared" si="1"/>
        <v>0</v>
      </c>
      <c r="P48" s="16">
        <f t="shared" si="1"/>
        <v>0</v>
      </c>
      <c r="R48" s="267"/>
      <c r="S48" s="2"/>
      <c r="T48" s="2"/>
      <c r="U48" s="2"/>
      <c r="V48" s="2"/>
      <c r="W48" s="2"/>
      <c r="X48" s="2"/>
      <c r="Y48" s="2"/>
      <c r="Z48" s="2"/>
    </row>
    <row r="49" spans="1:26" s="235" customFormat="1" x14ac:dyDescent="0.25">
      <c r="B49" s="399" t="s">
        <v>565</v>
      </c>
      <c r="C49" s="623">
        <v>8.9548571428571417</v>
      </c>
      <c r="D49" s="633">
        <v>2.6867861590136439E-3</v>
      </c>
      <c r="E49" s="628">
        <f t="shared" si="2"/>
        <v>440.99927478742194</v>
      </c>
      <c r="F49" s="628">
        <v>780.7576654050805</v>
      </c>
      <c r="G49" s="628">
        <f t="shared" si="3"/>
        <v>339.75839061765856</v>
      </c>
      <c r="H49" s="16">
        <v>5.7711678123531716</v>
      </c>
      <c r="K49" s="399" t="s">
        <v>565</v>
      </c>
      <c r="L49" s="633">
        <f t="shared" si="4"/>
        <v>0</v>
      </c>
      <c r="M49" s="628">
        <f t="shared" si="1"/>
        <v>0</v>
      </c>
      <c r="N49" s="628">
        <f t="shared" si="1"/>
        <v>0</v>
      </c>
      <c r="O49" s="628">
        <f t="shared" si="1"/>
        <v>0</v>
      </c>
      <c r="P49" s="16">
        <f t="shared" si="1"/>
        <v>0</v>
      </c>
      <c r="R49" s="267"/>
      <c r="S49" s="2"/>
      <c r="T49" s="2"/>
      <c r="U49" s="2"/>
      <c r="V49" s="2"/>
      <c r="W49" s="2"/>
      <c r="X49" s="2"/>
      <c r="Y49" s="2"/>
      <c r="Z49" s="2"/>
    </row>
    <row r="50" spans="1:26" s="235" customFormat="1" x14ac:dyDescent="0.25">
      <c r="B50" s="399" t="s">
        <v>563</v>
      </c>
      <c r="C50" s="623">
        <v>47.277471428571445</v>
      </c>
      <c r="D50" s="633">
        <v>1.4184978480507648E-2</v>
      </c>
      <c r="E50" s="628">
        <f t="shared" si="2"/>
        <v>458.47682163236431</v>
      </c>
      <c r="F50" s="628">
        <v>738.73275000000001</v>
      </c>
      <c r="G50" s="628">
        <f t="shared" si="3"/>
        <v>280.2559283676357</v>
      </c>
      <c r="H50" s="16">
        <v>7.3987565089055831</v>
      </c>
      <c r="K50" s="399" t="s">
        <v>563</v>
      </c>
      <c r="L50" s="633">
        <f t="shared" si="4"/>
        <v>4.1666666666666664E-2</v>
      </c>
      <c r="M50" s="628">
        <f t="shared" si="1"/>
        <v>469.6</v>
      </c>
      <c r="N50" s="628">
        <f t="shared" si="1"/>
        <v>647.5</v>
      </c>
      <c r="O50" s="628">
        <f t="shared" si="1"/>
        <v>177.89999999999998</v>
      </c>
      <c r="P50" s="16">
        <f t="shared" si="1"/>
        <v>7.8206040000000012</v>
      </c>
      <c r="R50" s="267"/>
      <c r="S50" s="2"/>
      <c r="T50" s="2"/>
      <c r="U50" s="2"/>
      <c r="V50" s="2"/>
      <c r="W50" s="2"/>
      <c r="X50" s="2"/>
      <c r="Y50" s="2"/>
      <c r="Z50" s="2"/>
    </row>
    <row r="51" spans="1:26" s="235" customFormat="1" x14ac:dyDescent="0.25">
      <c r="B51" s="399" t="s">
        <v>566</v>
      </c>
      <c r="C51" s="623">
        <v>55.157049999999991</v>
      </c>
      <c r="D51" s="633">
        <v>1.654914156059225E-2</v>
      </c>
      <c r="E51" s="628">
        <f t="shared" si="2"/>
        <v>401.65884424105991</v>
      </c>
      <c r="F51" s="628">
        <v>679.21579999999994</v>
      </c>
      <c r="G51" s="628">
        <f t="shared" si="3"/>
        <v>277.55695575894003</v>
      </c>
      <c r="H51" s="16">
        <v>5.5511391151788008</v>
      </c>
      <c r="K51" s="399" t="s">
        <v>566</v>
      </c>
      <c r="L51" s="633">
        <f t="shared" si="4"/>
        <v>4.1666666666666664E-2</v>
      </c>
      <c r="M51" s="628">
        <f t="shared" si="1"/>
        <v>358.37264000000005</v>
      </c>
      <c r="N51" s="628">
        <f t="shared" si="1"/>
        <v>543.37264000000005</v>
      </c>
      <c r="O51" s="628">
        <f t="shared" si="1"/>
        <v>185</v>
      </c>
      <c r="P51" s="16">
        <f t="shared" si="1"/>
        <v>8.6790000000000003</v>
      </c>
      <c r="R51" s="267"/>
      <c r="S51" s="2"/>
      <c r="T51" s="2"/>
      <c r="U51" s="2"/>
      <c r="V51" s="2"/>
      <c r="W51" s="2"/>
      <c r="X51" s="2"/>
      <c r="Y51" s="2"/>
      <c r="Z51" s="2"/>
    </row>
    <row r="52" spans="1:26" s="235" customFormat="1" x14ac:dyDescent="0.25">
      <c r="B52" s="399" t="s">
        <v>569</v>
      </c>
      <c r="C52" s="623">
        <v>55.157049999999991</v>
      </c>
      <c r="D52" s="633">
        <v>1.654914156059225E-2</v>
      </c>
      <c r="E52" s="628">
        <f t="shared" si="2"/>
        <v>391.15779424105995</v>
      </c>
      <c r="F52" s="628">
        <v>668.37725</v>
      </c>
      <c r="G52" s="628">
        <f t="shared" si="3"/>
        <v>277.21945575894006</v>
      </c>
      <c r="H52" s="16">
        <v>5.5443891151788014</v>
      </c>
      <c r="K52" s="399" t="s">
        <v>569</v>
      </c>
      <c r="L52" s="633">
        <f t="shared" si="4"/>
        <v>4.1666666666666664E-2</v>
      </c>
      <c r="M52" s="628">
        <f t="shared" si="1"/>
        <v>349.70180000000005</v>
      </c>
      <c r="N52" s="628">
        <f t="shared" si="1"/>
        <v>534.70180000000005</v>
      </c>
      <c r="O52" s="628">
        <f t="shared" si="1"/>
        <v>185</v>
      </c>
      <c r="P52" s="16">
        <f t="shared" si="1"/>
        <v>6.5750000000000002</v>
      </c>
      <c r="R52" s="267"/>
      <c r="S52" s="2"/>
      <c r="T52" s="2"/>
      <c r="U52" s="2"/>
      <c r="V52" s="2"/>
      <c r="W52" s="2"/>
      <c r="X52" s="2"/>
      <c r="Y52" s="2"/>
      <c r="Z52" s="2"/>
    </row>
    <row r="53" spans="1:26" s="235" customFormat="1" x14ac:dyDescent="0.25">
      <c r="B53" s="399" t="s">
        <v>571</v>
      </c>
      <c r="C53" s="623">
        <v>41.674571428571426</v>
      </c>
      <c r="D53" s="633">
        <v>1.2503902620760931E-2</v>
      </c>
      <c r="E53" s="628">
        <f t="shared" si="2"/>
        <v>403.45787504896191</v>
      </c>
      <c r="F53" s="628">
        <v>692.51666666666654</v>
      </c>
      <c r="G53" s="628">
        <f t="shared" si="3"/>
        <v>289.05879161770463</v>
      </c>
      <c r="H53" s="16">
        <v>5.7811758323540925</v>
      </c>
      <c r="K53" s="399" t="s">
        <v>568</v>
      </c>
      <c r="L53" s="633">
        <f t="shared" si="4"/>
        <v>4.1666666666666664E-2</v>
      </c>
      <c r="M53" s="628">
        <f t="shared" si="1"/>
        <v>332.86241330833332</v>
      </c>
      <c r="N53" s="628">
        <f t="shared" si="1"/>
        <v>554.01333333333332</v>
      </c>
      <c r="O53" s="628">
        <f t="shared" si="1"/>
        <v>221.150920025</v>
      </c>
      <c r="P53" s="16">
        <f t="shared" si="1"/>
        <v>7.6487684005000007</v>
      </c>
      <c r="R53" s="267"/>
      <c r="S53" s="2"/>
      <c r="T53" s="2"/>
      <c r="U53" s="2"/>
      <c r="V53" s="2"/>
      <c r="W53" s="2"/>
      <c r="X53" s="2"/>
      <c r="Y53" s="2"/>
      <c r="Z53" s="2"/>
    </row>
    <row r="54" spans="1:26" s="235" customFormat="1" x14ac:dyDescent="0.25">
      <c r="A54" s="290"/>
      <c r="B54" s="399" t="s">
        <v>574</v>
      </c>
      <c r="C54" s="623">
        <v>4.7142857142857144</v>
      </c>
      <c r="D54" s="633">
        <v>1.4144589248843446E-3</v>
      </c>
      <c r="E54" s="628">
        <f t="shared" si="2"/>
        <v>447.5150856389987</v>
      </c>
      <c r="F54" s="628">
        <v>700</v>
      </c>
      <c r="G54" s="628">
        <f t="shared" si="3"/>
        <v>252.48491436100133</v>
      </c>
      <c r="H54" s="16">
        <v>4.409698287220027</v>
      </c>
      <c r="K54" s="399" t="s">
        <v>574</v>
      </c>
      <c r="L54" s="633">
        <f t="shared" si="4"/>
        <v>0</v>
      </c>
      <c r="M54" s="628">
        <f t="shared" si="1"/>
        <v>0</v>
      </c>
      <c r="N54" s="628">
        <f t="shared" si="1"/>
        <v>0</v>
      </c>
      <c r="O54" s="628">
        <f t="shared" si="1"/>
        <v>0</v>
      </c>
      <c r="P54" s="16">
        <f t="shared" si="1"/>
        <v>0</v>
      </c>
      <c r="R54" s="267"/>
      <c r="S54" s="2"/>
      <c r="T54" s="2"/>
      <c r="U54" s="2"/>
      <c r="V54" s="2"/>
      <c r="W54" s="2"/>
      <c r="X54" s="2"/>
      <c r="Y54" s="2"/>
      <c r="Z54" s="2"/>
    </row>
    <row r="55" spans="1:26" s="235" customFormat="1" x14ac:dyDescent="0.25">
      <c r="A55" s="290"/>
      <c r="B55" s="399" t="s">
        <v>575</v>
      </c>
      <c r="C55" s="623">
        <v>17.434571428571427</v>
      </c>
      <c r="D55" s="633">
        <v>5.2310120033556111E-3</v>
      </c>
      <c r="E55" s="628">
        <f t="shared" si="2"/>
        <v>581.81073781291173</v>
      </c>
      <c r="F55" s="628">
        <v>900</v>
      </c>
      <c r="G55" s="628">
        <f t="shared" si="3"/>
        <v>318.18926218708827</v>
      </c>
      <c r="H55" s="16">
        <v>7.0485165217391303</v>
      </c>
      <c r="K55" s="399" t="s">
        <v>575</v>
      </c>
      <c r="L55" s="633">
        <f t="shared" si="4"/>
        <v>0</v>
      </c>
      <c r="M55" s="628">
        <f t="shared" si="1"/>
        <v>0</v>
      </c>
      <c r="N55" s="628">
        <f t="shared" si="1"/>
        <v>0</v>
      </c>
      <c r="O55" s="628">
        <f t="shared" si="1"/>
        <v>0</v>
      </c>
      <c r="P55" s="16">
        <f t="shared" si="1"/>
        <v>0</v>
      </c>
      <c r="R55" s="267"/>
      <c r="S55" s="2"/>
      <c r="T55" s="2"/>
      <c r="U55" s="2"/>
      <c r="V55" s="2"/>
      <c r="W55" s="2"/>
      <c r="X55" s="2"/>
      <c r="Y55" s="2"/>
      <c r="Z55" s="2"/>
    </row>
    <row r="56" spans="1:26" s="235" customFormat="1" x14ac:dyDescent="0.25">
      <c r="A56" s="290"/>
      <c r="B56" s="399" t="s">
        <v>576</v>
      </c>
      <c r="C56" s="623"/>
      <c r="D56" s="633"/>
      <c r="E56" s="628"/>
      <c r="F56" s="628"/>
      <c r="G56" s="628"/>
      <c r="H56" s="16"/>
      <c r="K56" s="399" t="s">
        <v>576</v>
      </c>
      <c r="L56" s="633">
        <v>0.5</v>
      </c>
      <c r="M56" s="628">
        <f t="shared" si="1"/>
        <v>0</v>
      </c>
      <c r="N56" s="628">
        <f t="shared" si="1"/>
        <v>0</v>
      </c>
      <c r="O56" s="628">
        <f t="shared" si="1"/>
        <v>125.66500000000001</v>
      </c>
      <c r="P56" s="16">
        <f t="shared" si="1"/>
        <v>2.5133000000000001</v>
      </c>
      <c r="R56" s="267"/>
      <c r="S56" s="2"/>
      <c r="T56" s="2"/>
      <c r="U56" s="2"/>
      <c r="V56" s="2"/>
      <c r="W56" s="2"/>
      <c r="X56" s="2"/>
      <c r="Y56" s="2"/>
      <c r="Z56" s="2"/>
    </row>
    <row r="57" spans="1:26" s="235" customFormat="1" ht="11" thickBot="1" x14ac:dyDescent="0.3">
      <c r="B57" s="400" t="s">
        <v>246</v>
      </c>
      <c r="C57" s="631">
        <v>3332.9251428571424</v>
      </c>
      <c r="D57" s="632">
        <v>1.0000000000000004</v>
      </c>
      <c r="E57" s="629">
        <f>E28</f>
        <v>661.18926698751466</v>
      </c>
      <c r="F57" s="629">
        <v>1246.1989443760331</v>
      </c>
      <c r="G57" s="629">
        <f>G28</f>
        <v>585.00967738851853</v>
      </c>
      <c r="H57" s="630">
        <v>12.310829381613869</v>
      </c>
      <c r="K57" s="400" t="s">
        <v>246</v>
      </c>
      <c r="L57" s="632">
        <f>SUM(L35:L56)</f>
        <v>1</v>
      </c>
      <c r="M57" s="629">
        <f>SUMPRODUCT($L$35:$L$56,M35:M56)</f>
        <v>340.65505438035262</v>
      </c>
      <c r="N57" s="629">
        <f>SUMPRODUCT($L$35:$L$56,N35:N56)</f>
        <v>413.0916927147278</v>
      </c>
      <c r="O57" s="629">
        <f>SUMPRODUCT($L$35:$L$56,O35:O56)</f>
        <v>135.26913833437501</v>
      </c>
      <c r="P57" s="630">
        <f>SUMPRODUCT($L$35:$L$56,P35:P56)</f>
        <v>4.055165690020833</v>
      </c>
      <c r="R57" s="267"/>
      <c r="S57" s="2"/>
      <c r="T57" s="2"/>
      <c r="U57" s="2"/>
      <c r="V57" s="2"/>
      <c r="W57" s="2"/>
      <c r="X57" s="2"/>
      <c r="Y57" s="2"/>
      <c r="Z57" s="2"/>
    </row>
    <row r="58" spans="1:26" s="235" customFormat="1" x14ac:dyDescent="0.25">
      <c r="A58" s="290"/>
      <c r="R58" s="267"/>
      <c r="S58" s="2"/>
      <c r="T58" s="2"/>
      <c r="U58" s="2"/>
      <c r="V58" s="2"/>
      <c r="W58" s="2"/>
      <c r="X58" s="2"/>
      <c r="Y58" s="2"/>
      <c r="Z58" s="2"/>
    </row>
    <row r="59" spans="1:26" s="235" customFormat="1" x14ac:dyDescent="0.25">
      <c r="A59" s="290"/>
      <c r="R59" s="267"/>
      <c r="S59" s="2"/>
      <c r="T59" s="2"/>
      <c r="U59" s="2"/>
      <c r="V59" s="2"/>
      <c r="W59" s="2"/>
      <c r="X59" s="2"/>
      <c r="Y59" s="2"/>
      <c r="Z59" s="2"/>
    </row>
    <row r="60" spans="1:26" s="235" customFormat="1" ht="11" thickBot="1" x14ac:dyDescent="0.3">
      <c r="A60" s="290"/>
      <c r="R60" s="267"/>
      <c r="S60" s="2"/>
      <c r="T60" s="2"/>
      <c r="U60" s="2"/>
      <c r="V60" s="2"/>
      <c r="W60" s="2"/>
      <c r="X60" s="2"/>
      <c r="Y60" s="2"/>
      <c r="Z60" s="2"/>
    </row>
    <row r="61" spans="1:26" s="235" customFormat="1" ht="21" customHeight="1" x14ac:dyDescent="0.25">
      <c r="A61" s="290"/>
      <c r="K61" s="396" t="s">
        <v>528</v>
      </c>
      <c r="L61" s="1494" t="s">
        <v>74</v>
      </c>
      <c r="M61" s="1495"/>
      <c r="N61" s="1495"/>
      <c r="O61" s="1495"/>
      <c r="P61" s="1496"/>
      <c r="R61" s="349" t="s">
        <v>578</v>
      </c>
      <c r="S61" s="2"/>
      <c r="T61" s="2"/>
      <c r="U61" s="2"/>
      <c r="V61" s="2"/>
      <c r="W61" s="2"/>
      <c r="X61" s="2"/>
      <c r="Y61" s="2"/>
      <c r="Z61" s="2"/>
    </row>
    <row r="62" spans="1:26" s="235" customFormat="1" ht="31.5" x14ac:dyDescent="0.25">
      <c r="A62" s="290"/>
      <c r="K62" s="397" t="s">
        <v>530</v>
      </c>
      <c r="L62" s="917" t="s">
        <v>532</v>
      </c>
      <c r="M62" s="4" t="s">
        <v>533</v>
      </c>
      <c r="N62" s="4" t="s">
        <v>534</v>
      </c>
      <c r="O62" s="4" t="s">
        <v>536</v>
      </c>
      <c r="P62" s="394" t="s">
        <v>216</v>
      </c>
      <c r="R62" s="267"/>
      <c r="S62" s="2"/>
      <c r="T62" s="2"/>
      <c r="U62" s="2"/>
      <c r="V62" s="2"/>
      <c r="W62" s="2"/>
      <c r="X62" s="2"/>
      <c r="Y62" s="2"/>
      <c r="Z62" s="2"/>
    </row>
    <row r="63" spans="1:26" s="235" customFormat="1" x14ac:dyDescent="0.25">
      <c r="A63" s="290"/>
      <c r="K63" s="398"/>
      <c r="L63" s="918"/>
      <c r="M63" s="174" t="s">
        <v>538</v>
      </c>
      <c r="N63" s="174"/>
      <c r="O63" s="174"/>
      <c r="P63" s="395" t="s">
        <v>538</v>
      </c>
      <c r="R63" s="267"/>
      <c r="S63" s="2"/>
      <c r="T63" s="2"/>
      <c r="U63" s="2"/>
      <c r="V63" s="2"/>
      <c r="W63" s="2"/>
      <c r="X63" s="2"/>
      <c r="Y63" s="2"/>
      <c r="Z63" s="2"/>
    </row>
    <row r="64" spans="1:26" s="235" customFormat="1" x14ac:dyDescent="0.25">
      <c r="K64" s="399" t="s">
        <v>552</v>
      </c>
      <c r="L64" s="838">
        <f>1/2*50%</f>
        <v>0.25</v>
      </c>
      <c r="M64" s="628">
        <f>M42</f>
        <v>652.76782684756608</v>
      </c>
      <c r="N64" s="628">
        <f>N42</f>
        <v>779.71882684756611</v>
      </c>
      <c r="O64" s="628">
        <f>O42</f>
        <v>126.95099999999999</v>
      </c>
      <c r="P64" s="861">
        <f>P42</f>
        <v>4.4444664000000005</v>
      </c>
      <c r="R64" s="267"/>
      <c r="S64" s="2"/>
      <c r="T64" s="2"/>
      <c r="U64" s="2"/>
      <c r="V64" s="2"/>
      <c r="W64" s="2"/>
      <c r="X64" s="2"/>
      <c r="Y64" s="2"/>
      <c r="Z64" s="2"/>
    </row>
    <row r="65" spans="2:26" s="235" customFormat="1" x14ac:dyDescent="0.25">
      <c r="K65" s="399" t="s">
        <v>555</v>
      </c>
      <c r="L65" s="838">
        <v>0.25</v>
      </c>
      <c r="M65" s="628">
        <f>M44</f>
        <v>554.92812936793609</v>
      </c>
      <c r="N65" s="628">
        <f>N44</f>
        <v>666.84812936793605</v>
      </c>
      <c r="O65" s="628">
        <f>O44</f>
        <v>111.92</v>
      </c>
      <c r="P65" s="861">
        <f>P44</f>
        <v>3.3757500000000005</v>
      </c>
      <c r="R65" s="267"/>
      <c r="S65" s="2"/>
      <c r="T65" s="2"/>
      <c r="U65" s="2"/>
      <c r="V65" s="2"/>
      <c r="W65" s="2"/>
      <c r="X65" s="2"/>
      <c r="Y65" s="2"/>
      <c r="Z65" s="2"/>
    </row>
    <row r="66" spans="2:26" s="235" customFormat="1" x14ac:dyDescent="0.25">
      <c r="K66" s="399" t="s">
        <v>563</v>
      </c>
      <c r="L66" s="838">
        <f>1/4*50%</f>
        <v>0.125</v>
      </c>
      <c r="M66" s="628">
        <f t="shared" ref="M66:P69" si="5">M50</f>
        <v>469.6</v>
      </c>
      <c r="N66" s="628">
        <f t="shared" si="5"/>
        <v>647.5</v>
      </c>
      <c r="O66" s="628">
        <f t="shared" si="5"/>
        <v>177.89999999999998</v>
      </c>
      <c r="P66" s="861">
        <f t="shared" si="5"/>
        <v>7.8206040000000012</v>
      </c>
      <c r="R66" s="267"/>
      <c r="S66" s="2"/>
      <c r="T66" s="2"/>
      <c r="U66" s="2"/>
      <c r="V66" s="2"/>
      <c r="W66" s="2"/>
      <c r="X66" s="2"/>
      <c r="Y66" s="2"/>
      <c r="Z66" s="2"/>
    </row>
    <row r="67" spans="2:26" s="235" customFormat="1" x14ac:dyDescent="0.25">
      <c r="K67" s="399" t="s">
        <v>566</v>
      </c>
      <c r="L67" s="838">
        <f t="shared" ref="L67:L69" si="6">1/4*50%</f>
        <v>0.125</v>
      </c>
      <c r="M67" s="628">
        <f t="shared" si="5"/>
        <v>358.37264000000005</v>
      </c>
      <c r="N67" s="628">
        <f t="shared" si="5"/>
        <v>543.37264000000005</v>
      </c>
      <c r="O67" s="628">
        <f t="shared" si="5"/>
        <v>185</v>
      </c>
      <c r="P67" s="861">
        <f t="shared" si="5"/>
        <v>8.6790000000000003</v>
      </c>
      <c r="R67" s="267"/>
      <c r="S67" s="2"/>
      <c r="T67" s="2"/>
      <c r="U67" s="2"/>
      <c r="V67" s="2"/>
      <c r="W67" s="2"/>
      <c r="X67" s="2"/>
      <c r="Y67" s="2"/>
      <c r="Z67" s="2"/>
    </row>
    <row r="68" spans="2:26" s="235" customFormat="1" x14ac:dyDescent="0.25">
      <c r="K68" s="399" t="s">
        <v>569</v>
      </c>
      <c r="L68" s="838">
        <f t="shared" si="6"/>
        <v>0.125</v>
      </c>
      <c r="M68" s="628">
        <f t="shared" si="5"/>
        <v>349.70180000000005</v>
      </c>
      <c r="N68" s="628">
        <f t="shared" si="5"/>
        <v>534.70180000000005</v>
      </c>
      <c r="O68" s="628">
        <f t="shared" si="5"/>
        <v>185</v>
      </c>
      <c r="P68" s="861">
        <f t="shared" si="5"/>
        <v>6.5750000000000002</v>
      </c>
      <c r="R68" s="267"/>
      <c r="S68" s="2"/>
      <c r="T68" s="2"/>
      <c r="U68" s="2"/>
      <c r="V68" s="2"/>
      <c r="W68" s="2"/>
      <c r="X68" s="2"/>
      <c r="Y68" s="2"/>
      <c r="Z68" s="2"/>
    </row>
    <row r="69" spans="2:26" s="235" customFormat="1" x14ac:dyDescent="0.25">
      <c r="K69" s="399" t="s">
        <v>568</v>
      </c>
      <c r="L69" s="838">
        <f t="shared" si="6"/>
        <v>0.125</v>
      </c>
      <c r="M69" s="628">
        <f t="shared" si="5"/>
        <v>332.86241330833332</v>
      </c>
      <c r="N69" s="628">
        <f t="shared" si="5"/>
        <v>554.01333333333332</v>
      </c>
      <c r="O69" s="628">
        <f t="shared" si="5"/>
        <v>221.150920025</v>
      </c>
      <c r="P69" s="861">
        <f t="shared" si="5"/>
        <v>7.6487684005000007</v>
      </c>
      <c r="R69" s="267"/>
      <c r="S69" s="2"/>
      <c r="T69" s="2"/>
      <c r="U69" s="2"/>
      <c r="V69" s="2"/>
      <c r="W69" s="2"/>
      <c r="X69" s="2"/>
      <c r="Y69" s="2"/>
      <c r="Z69" s="2"/>
    </row>
    <row r="70" spans="2:26" s="235" customFormat="1" ht="11" thickBot="1" x14ac:dyDescent="0.3">
      <c r="K70" s="400" t="s">
        <v>246</v>
      </c>
      <c r="L70" s="919">
        <f>SUM(L64:L69)</f>
        <v>1</v>
      </c>
      <c r="M70" s="629">
        <f>SUMPRODUCT($L$64:$L$69,M64:M69)</f>
        <v>490.74109571741712</v>
      </c>
      <c r="N70" s="629">
        <f>SUMPRODUCT($L$64:$L$69,N64:N69)</f>
        <v>646.59021072054225</v>
      </c>
      <c r="O70" s="629">
        <f>SUMPRODUCT($L$64:$L$69,O64:O69)</f>
        <v>155.84911500312498</v>
      </c>
      <c r="P70" s="630">
        <f>SUMPRODUCT($L$64:$L$69,P64:P69)</f>
        <v>5.7954756500625013</v>
      </c>
      <c r="R70" s="267"/>
      <c r="S70" s="2"/>
      <c r="T70" s="2"/>
      <c r="U70" s="2"/>
      <c r="V70" s="2"/>
      <c r="W70" s="2"/>
      <c r="X70" s="2"/>
      <c r="Y70" s="2"/>
      <c r="Z70" s="2"/>
    </row>
    <row r="71" spans="2:26" s="235" customFormat="1" x14ac:dyDescent="0.25">
      <c r="R71" s="267"/>
      <c r="S71" s="2"/>
      <c r="T71" s="2"/>
      <c r="U71" s="2"/>
      <c r="V71" s="2"/>
      <c r="W71" s="2"/>
      <c r="X71" s="2"/>
      <c r="Y71" s="2"/>
      <c r="Z71" s="2"/>
    </row>
    <row r="72" spans="2:26" s="235" customFormat="1" x14ac:dyDescent="0.25">
      <c r="R72" s="267"/>
      <c r="S72" s="2"/>
      <c r="T72" s="2"/>
      <c r="U72" s="2"/>
      <c r="V72" s="2"/>
      <c r="W72" s="2"/>
      <c r="X72" s="2"/>
      <c r="Y72" s="2"/>
      <c r="Z72" s="2"/>
    </row>
    <row r="73" spans="2:26" s="235" customFormat="1" ht="11" thickBot="1" x14ac:dyDescent="0.3">
      <c r="Q73" s="965"/>
      <c r="R73" s="267"/>
      <c r="S73" s="2"/>
      <c r="T73" s="2"/>
      <c r="U73" s="2"/>
      <c r="V73" s="2"/>
      <c r="W73" s="2"/>
      <c r="X73" s="2"/>
      <c r="Y73" s="2"/>
      <c r="Z73" s="2"/>
    </row>
    <row r="74" spans="2:26" s="339" customFormat="1" ht="22.75" customHeight="1" thickBot="1" x14ac:dyDescent="0.4">
      <c r="B74" s="396" t="s">
        <v>580</v>
      </c>
      <c r="C74" s="1497" t="s">
        <v>581</v>
      </c>
      <c r="D74" s="1497"/>
      <c r="E74" s="1497"/>
      <c r="F74" s="1497"/>
      <c r="G74" s="1497"/>
      <c r="H74" s="1498"/>
      <c r="K74" s="396" t="s">
        <v>580</v>
      </c>
      <c r="L74" s="1499" t="s">
        <v>74</v>
      </c>
      <c r="M74" s="1497"/>
      <c r="N74" s="1497"/>
      <c r="O74" s="1497"/>
      <c r="P74" s="1497"/>
      <c r="Q74" s="966"/>
      <c r="R74" s="349"/>
      <c r="S74" s="175"/>
      <c r="T74" s="175"/>
      <c r="U74" s="175"/>
      <c r="V74" s="175"/>
      <c r="W74" s="175"/>
      <c r="X74" s="175"/>
      <c r="Y74" s="175"/>
      <c r="Z74" s="175"/>
    </row>
    <row r="75" spans="2:26" s="235" customFormat="1" x14ac:dyDescent="0.25">
      <c r="B75" s="953"/>
      <c r="C75" s="955" t="s">
        <v>531</v>
      </c>
      <c r="D75" s="955" t="s">
        <v>582</v>
      </c>
      <c r="E75" s="955" t="s">
        <v>583</v>
      </c>
      <c r="F75" s="955"/>
      <c r="G75" s="955"/>
      <c r="H75" s="956"/>
      <c r="K75" s="953"/>
      <c r="L75" s="955" t="s">
        <v>582</v>
      </c>
      <c r="M75" s="955" t="s">
        <v>583</v>
      </c>
      <c r="N75" s="955"/>
      <c r="O75" s="955"/>
      <c r="P75" s="956"/>
      <c r="Q75" s="299"/>
      <c r="R75" s="267"/>
      <c r="S75" s="2"/>
      <c r="T75" s="2"/>
      <c r="U75" s="2"/>
      <c r="V75" s="2"/>
      <c r="W75" s="2"/>
      <c r="X75" s="2"/>
      <c r="Y75" s="2"/>
    </row>
    <row r="76" spans="2:26" s="235" customFormat="1" ht="31.5" x14ac:dyDescent="0.25">
      <c r="B76" s="397"/>
      <c r="C76" s="957" t="s">
        <v>584</v>
      </c>
      <c r="D76" s="1"/>
      <c r="E76" s="4" t="s">
        <v>525</v>
      </c>
      <c r="F76" s="4" t="s">
        <v>534</v>
      </c>
      <c r="G76" s="4" t="s">
        <v>536</v>
      </c>
      <c r="H76" s="958" t="s">
        <v>216</v>
      </c>
      <c r="K76" s="397"/>
      <c r="L76" s="1"/>
      <c r="M76" s="4" t="s">
        <v>525</v>
      </c>
      <c r="N76" s="4" t="s">
        <v>534</v>
      </c>
      <c r="O76" s="4" t="s">
        <v>536</v>
      </c>
      <c r="P76" s="958" t="s">
        <v>216</v>
      </c>
      <c r="Q76" s="299"/>
      <c r="R76" s="267"/>
      <c r="S76" s="2"/>
      <c r="T76" s="2"/>
      <c r="U76" s="2"/>
      <c r="V76" s="2"/>
      <c r="W76" s="2"/>
      <c r="X76" s="2"/>
      <c r="Y76" s="2"/>
    </row>
    <row r="77" spans="2:26" s="235" customFormat="1" ht="11" thickBot="1" x14ac:dyDescent="0.3">
      <c r="B77" s="953"/>
      <c r="C77" s="959"/>
      <c r="D77" s="960"/>
      <c r="E77" s="960" t="s">
        <v>538</v>
      </c>
      <c r="F77" s="960"/>
      <c r="G77" s="960"/>
      <c r="H77" s="961" t="s">
        <v>538</v>
      </c>
      <c r="K77" s="953"/>
      <c r="L77" s="960"/>
      <c r="M77" s="960" t="s">
        <v>538</v>
      </c>
      <c r="N77" s="960"/>
      <c r="O77" s="960"/>
      <c r="P77" s="961" t="s">
        <v>538</v>
      </c>
      <c r="Q77" s="299"/>
      <c r="R77" s="267"/>
      <c r="S77" s="2"/>
      <c r="T77" s="2"/>
      <c r="U77" s="2"/>
      <c r="V77" s="2"/>
      <c r="W77" s="2"/>
      <c r="X77" s="2"/>
      <c r="Y77" s="2"/>
    </row>
    <row r="78" spans="2:26" s="235" customFormat="1" x14ac:dyDescent="0.25">
      <c r="B78" s="951"/>
      <c r="C78" s="967"/>
      <c r="D78" s="968"/>
      <c r="E78" s="968"/>
      <c r="F78" s="968"/>
      <c r="G78" s="968"/>
      <c r="H78" s="969"/>
      <c r="K78" s="951"/>
      <c r="L78" s="967"/>
      <c r="M78" s="968"/>
      <c r="N78" s="968"/>
      <c r="O78" s="968"/>
      <c r="P78" s="969"/>
      <c r="R78" s="267"/>
      <c r="S78" s="2"/>
      <c r="T78" s="2"/>
      <c r="U78" s="2"/>
      <c r="V78" s="2"/>
      <c r="W78" s="2"/>
      <c r="X78" s="2"/>
      <c r="Y78" s="2"/>
    </row>
    <row r="79" spans="2:26" s="235" customFormat="1" x14ac:dyDescent="0.25">
      <c r="B79" s="399" t="s">
        <v>541</v>
      </c>
      <c r="C79" s="970">
        <v>643.09457370199993</v>
      </c>
      <c r="D79" s="962">
        <f t="shared" ref="D79:D93" si="7">C79/$C$94</f>
        <v>0.34837633290459108</v>
      </c>
      <c r="E79" s="323">
        <f>E35</f>
        <v>750.71973060313371</v>
      </c>
      <c r="F79" s="323">
        <f>F35</f>
        <v>1447.264645083593</v>
      </c>
      <c r="G79" s="323">
        <f>G35</f>
        <v>696.54491448045928</v>
      </c>
      <c r="H79" s="964">
        <f>H35</f>
        <v>15.178545742284125</v>
      </c>
      <c r="K79" s="399" t="s">
        <v>541</v>
      </c>
      <c r="L79" s="992">
        <v>0</v>
      </c>
      <c r="M79" s="323">
        <f>E79</f>
        <v>750.71973060313371</v>
      </c>
      <c r="N79" s="323">
        <f t="shared" ref="N79:P93" si="8">F79</f>
        <v>1447.264645083593</v>
      </c>
      <c r="O79" s="323">
        <f t="shared" si="8"/>
        <v>696.54491448045928</v>
      </c>
      <c r="P79" s="964">
        <f t="shared" si="8"/>
        <v>15.178545742284125</v>
      </c>
      <c r="R79" s="267"/>
      <c r="S79" s="2"/>
      <c r="T79" s="2"/>
      <c r="U79" s="2"/>
      <c r="V79" s="2"/>
      <c r="W79" s="2"/>
      <c r="X79" s="2"/>
      <c r="Y79" s="2"/>
    </row>
    <row r="80" spans="2:26" s="235" customFormat="1" x14ac:dyDescent="0.25">
      <c r="B80" s="397" t="s">
        <v>544</v>
      </c>
      <c r="C80" s="970">
        <v>538.09954126085711</v>
      </c>
      <c r="D80" s="962">
        <f t="shared" si="7"/>
        <v>0.29149856426710685</v>
      </c>
      <c r="E80" s="323">
        <f>E37</f>
        <v>708.04335362593565</v>
      </c>
      <c r="F80" s="323">
        <f>F37</f>
        <v>1455.8552173475225</v>
      </c>
      <c r="G80" s="323">
        <f>G37</f>
        <v>747.81186372158686</v>
      </c>
      <c r="H80" s="964">
        <f>H37</f>
        <v>15.856153202249894</v>
      </c>
      <c r="K80" s="397" t="s">
        <v>544</v>
      </c>
      <c r="L80" s="992">
        <v>0</v>
      </c>
      <c r="M80" s="323">
        <f t="shared" ref="M80:M93" si="9">E80</f>
        <v>708.04335362593565</v>
      </c>
      <c r="N80" s="323">
        <f t="shared" si="8"/>
        <v>1455.8552173475225</v>
      </c>
      <c r="O80" s="323">
        <f t="shared" si="8"/>
        <v>747.81186372158686</v>
      </c>
      <c r="P80" s="964">
        <f t="shared" si="8"/>
        <v>15.856153202249894</v>
      </c>
      <c r="R80" s="267"/>
      <c r="S80" s="2"/>
      <c r="T80" s="2"/>
      <c r="U80" s="2"/>
      <c r="V80" s="2"/>
      <c r="W80" s="2"/>
      <c r="X80" s="2"/>
      <c r="Y80" s="2"/>
    </row>
    <row r="81" spans="2:26" s="235" customFormat="1" x14ac:dyDescent="0.25">
      <c r="B81" s="399" t="s">
        <v>554</v>
      </c>
      <c r="C81" s="970">
        <v>175.57064285714287</v>
      </c>
      <c r="D81" s="962">
        <f t="shared" si="7"/>
        <v>9.510989398056377E-2</v>
      </c>
      <c r="E81" s="323">
        <f t="shared" ref="E81:G82" si="10">E43</f>
        <v>752.56895307672244</v>
      </c>
      <c r="F81" s="323">
        <f t="shared" si="10"/>
        <v>1208.1801063777216</v>
      </c>
      <c r="G81" s="323">
        <f t="shared" si="10"/>
        <v>455.61115330099915</v>
      </c>
      <c r="H81" s="964">
        <v>10.507494447146378</v>
      </c>
      <c r="K81" s="399" t="s">
        <v>554</v>
      </c>
      <c r="L81" s="992">
        <v>0</v>
      </c>
      <c r="M81" s="323">
        <f t="shared" si="9"/>
        <v>752.56895307672244</v>
      </c>
      <c r="N81" s="323">
        <f t="shared" si="8"/>
        <v>1208.1801063777216</v>
      </c>
      <c r="O81" s="323">
        <f t="shared" si="8"/>
        <v>455.61115330099915</v>
      </c>
      <c r="P81" s="964">
        <f t="shared" si="8"/>
        <v>10.507494447146378</v>
      </c>
      <c r="R81" s="267"/>
      <c r="S81" s="2"/>
      <c r="T81" s="2"/>
      <c r="U81" s="2"/>
      <c r="V81" s="2"/>
      <c r="W81" s="2"/>
      <c r="X81" s="2"/>
      <c r="Y81" s="2"/>
    </row>
    <row r="82" spans="2:26" s="235" customFormat="1" x14ac:dyDescent="0.25">
      <c r="B82" s="399" t="s">
        <v>555</v>
      </c>
      <c r="C82" s="970">
        <v>23.881657142857147</v>
      </c>
      <c r="D82" s="962">
        <f t="shared" si="7"/>
        <v>1.2937139387166677E-2</v>
      </c>
      <c r="E82" s="323">
        <f t="shared" si="10"/>
        <v>543.39199471547329</v>
      </c>
      <c r="F82" s="323">
        <f t="shared" si="10"/>
        <v>970.13414414183239</v>
      </c>
      <c r="G82" s="323">
        <f t="shared" si="10"/>
        <v>426.74214942635911</v>
      </c>
      <c r="H82" s="964">
        <f>H44</f>
        <v>7.1268429885271827</v>
      </c>
      <c r="K82" s="399" t="s">
        <v>555</v>
      </c>
      <c r="L82" s="992">
        <v>0</v>
      </c>
      <c r="M82" s="323">
        <f t="shared" si="9"/>
        <v>543.39199471547329</v>
      </c>
      <c r="N82" s="323">
        <f t="shared" si="8"/>
        <v>970.13414414183239</v>
      </c>
      <c r="O82" s="323">
        <f t="shared" si="8"/>
        <v>426.74214942635911</v>
      </c>
      <c r="P82" s="964">
        <f t="shared" si="8"/>
        <v>7.1268429885271827</v>
      </c>
      <c r="R82" s="267"/>
      <c r="S82" s="2"/>
      <c r="T82" s="2"/>
      <c r="U82" s="2"/>
      <c r="V82" s="2"/>
      <c r="W82" s="2"/>
      <c r="X82" s="2"/>
      <c r="Y82" s="2"/>
    </row>
    <row r="83" spans="2:26" s="235" customFormat="1" x14ac:dyDescent="0.25">
      <c r="B83" s="399" t="s">
        <v>563</v>
      </c>
      <c r="C83" s="970">
        <v>47.277471428571445</v>
      </c>
      <c r="D83" s="962">
        <f t="shared" si="7"/>
        <v>2.5611088631140286E-2</v>
      </c>
      <c r="E83" s="323">
        <f t="shared" ref="E83:H85" si="11">E50</f>
        <v>458.47682163236431</v>
      </c>
      <c r="F83" s="323">
        <f t="shared" si="11"/>
        <v>738.73275000000001</v>
      </c>
      <c r="G83" s="323">
        <f t="shared" si="11"/>
        <v>280.2559283676357</v>
      </c>
      <c r="H83" s="964">
        <f t="shared" si="11"/>
        <v>7.3987565089055831</v>
      </c>
      <c r="K83" s="399" t="s">
        <v>563</v>
      </c>
      <c r="L83" s="992">
        <v>0</v>
      </c>
      <c r="M83" s="323">
        <f t="shared" si="9"/>
        <v>458.47682163236431</v>
      </c>
      <c r="N83" s="323">
        <f t="shared" si="8"/>
        <v>738.73275000000001</v>
      </c>
      <c r="O83" s="323">
        <f t="shared" si="8"/>
        <v>280.2559283676357</v>
      </c>
      <c r="P83" s="964">
        <f t="shared" si="8"/>
        <v>7.3987565089055831</v>
      </c>
      <c r="R83" s="267"/>
      <c r="S83" s="2"/>
      <c r="T83" s="2"/>
      <c r="U83" s="2"/>
      <c r="V83" s="2"/>
      <c r="W83" s="2"/>
      <c r="X83" s="2"/>
      <c r="Y83" s="2"/>
    </row>
    <row r="84" spans="2:26" s="235" customFormat="1" x14ac:dyDescent="0.25">
      <c r="B84" s="399" t="s">
        <v>566</v>
      </c>
      <c r="C84" s="970">
        <v>55.157049999999991</v>
      </c>
      <c r="D84" s="962">
        <f t="shared" si="7"/>
        <v>2.9879603402996984E-2</v>
      </c>
      <c r="E84" s="323">
        <f t="shared" si="11"/>
        <v>401.65884424105991</v>
      </c>
      <c r="F84" s="323">
        <f t="shared" si="11"/>
        <v>679.21579999999994</v>
      </c>
      <c r="G84" s="323">
        <f t="shared" si="11"/>
        <v>277.55695575894003</v>
      </c>
      <c r="H84" s="964">
        <f t="shared" si="11"/>
        <v>5.5511391151788008</v>
      </c>
      <c r="K84" s="399" t="s">
        <v>566</v>
      </c>
      <c r="L84" s="992">
        <v>0</v>
      </c>
      <c r="M84" s="323">
        <f t="shared" si="9"/>
        <v>401.65884424105991</v>
      </c>
      <c r="N84" s="323">
        <f t="shared" si="8"/>
        <v>679.21579999999994</v>
      </c>
      <c r="O84" s="323">
        <f t="shared" si="8"/>
        <v>277.55695575894003</v>
      </c>
      <c r="P84" s="964">
        <f t="shared" si="8"/>
        <v>5.5511391151788008</v>
      </c>
      <c r="R84" s="267"/>
      <c r="S84" s="2"/>
      <c r="T84" s="2"/>
      <c r="U84" s="2"/>
      <c r="V84" s="2"/>
      <c r="W84" s="2"/>
      <c r="X84" s="2"/>
      <c r="Y84" s="2"/>
    </row>
    <row r="85" spans="2:26" s="235" customFormat="1" x14ac:dyDescent="0.25">
      <c r="B85" s="399" t="s">
        <v>569</v>
      </c>
      <c r="C85" s="970">
        <v>55.157049999999991</v>
      </c>
      <c r="D85" s="962">
        <f t="shared" si="7"/>
        <v>2.9879603402996984E-2</v>
      </c>
      <c r="E85" s="323">
        <f t="shared" si="11"/>
        <v>391.15779424105995</v>
      </c>
      <c r="F85" s="323">
        <f t="shared" si="11"/>
        <v>668.37725</v>
      </c>
      <c r="G85" s="323">
        <f t="shared" si="11"/>
        <v>277.21945575894006</v>
      </c>
      <c r="H85" s="964">
        <f t="shared" si="11"/>
        <v>5.5443891151788014</v>
      </c>
      <c r="K85" s="399" t="s">
        <v>569</v>
      </c>
      <c r="L85" s="992">
        <v>0</v>
      </c>
      <c r="M85" s="323">
        <f t="shared" si="9"/>
        <v>391.15779424105995</v>
      </c>
      <c r="N85" s="323">
        <f t="shared" si="8"/>
        <v>668.37725</v>
      </c>
      <c r="O85" s="323">
        <f t="shared" si="8"/>
        <v>277.21945575894006</v>
      </c>
      <c r="P85" s="964">
        <f t="shared" si="8"/>
        <v>5.5443891151788014</v>
      </c>
      <c r="R85" s="267"/>
      <c r="S85" s="2"/>
      <c r="T85" s="2"/>
      <c r="U85" s="2"/>
      <c r="V85" s="2"/>
      <c r="W85" s="2"/>
      <c r="X85" s="2"/>
      <c r="Y85" s="2"/>
    </row>
    <row r="86" spans="2:26" s="235" customFormat="1" x14ac:dyDescent="0.25">
      <c r="B86" s="952" t="s">
        <v>585</v>
      </c>
      <c r="C86" s="970">
        <v>105.23928571428571</v>
      </c>
      <c r="D86" s="962">
        <f t="shared" si="7"/>
        <v>5.7010085194141892E-2</v>
      </c>
      <c r="E86" s="323">
        <f>'Cropping GMs - N cost Grain £'!AI78</f>
        <v>2612.2502028985518</v>
      </c>
      <c r="F86" s="323">
        <f>'Cropping GMs - N cost Grain £'!AI26</f>
        <v>7875.2500000000009</v>
      </c>
      <c r="G86" s="323">
        <f>'Cropping GMs - N cost Grain £'!AI70</f>
        <v>5262.9997971014491</v>
      </c>
      <c r="H86" s="964">
        <f>'Cropping GMs - N cost Grain £'!AI4</f>
        <v>136.23983464347828</v>
      </c>
      <c r="K86" s="952" t="s">
        <v>585</v>
      </c>
      <c r="L86" s="992">
        <v>0</v>
      </c>
      <c r="M86" s="323">
        <f t="shared" si="9"/>
        <v>2612.2502028985518</v>
      </c>
      <c r="N86" s="323">
        <f t="shared" si="8"/>
        <v>7875.2500000000009</v>
      </c>
      <c r="O86" s="323">
        <f t="shared" si="8"/>
        <v>5262.9997971014491</v>
      </c>
      <c r="P86" s="964">
        <f t="shared" si="8"/>
        <v>136.23983464347828</v>
      </c>
      <c r="R86" s="267"/>
      <c r="S86" s="2"/>
      <c r="T86" s="2"/>
      <c r="U86" s="2"/>
      <c r="V86" s="2"/>
      <c r="W86" s="2"/>
      <c r="X86" s="2"/>
      <c r="Y86" s="2"/>
    </row>
    <row r="87" spans="2:26" s="235" customFormat="1" x14ac:dyDescent="0.25">
      <c r="B87" s="952" t="s">
        <v>586</v>
      </c>
      <c r="C87" s="970">
        <v>105.40814285714285</v>
      </c>
      <c r="D87" s="962">
        <f t="shared" si="7"/>
        <v>5.7101558259875722E-2</v>
      </c>
      <c r="E87" s="323">
        <f>'Cropping GMs - N cost Grain £'!AG78</f>
        <v>668.24357778885485</v>
      </c>
      <c r="F87" s="323">
        <f>'Cropping GMs - N cost Grain £'!AG26</f>
        <v>1615.2143665781769</v>
      </c>
      <c r="G87" s="323">
        <f>'Cropping GMs - N cost Grain £'!AG70</f>
        <v>946.970788789322</v>
      </c>
      <c r="H87" s="964">
        <f>'Cropping GMs - N cost Grain £'!AG4</f>
        <v>22.3642528240381</v>
      </c>
      <c r="K87" s="952" t="s">
        <v>586</v>
      </c>
      <c r="L87" s="992">
        <v>0</v>
      </c>
      <c r="M87" s="323">
        <f t="shared" si="9"/>
        <v>668.24357778885485</v>
      </c>
      <c r="N87" s="323">
        <f t="shared" si="8"/>
        <v>1615.2143665781769</v>
      </c>
      <c r="O87" s="323">
        <f t="shared" si="8"/>
        <v>946.970788789322</v>
      </c>
      <c r="P87" s="964">
        <f t="shared" si="8"/>
        <v>22.3642528240381</v>
      </c>
      <c r="R87" s="267"/>
      <c r="S87" s="2"/>
      <c r="T87" s="2"/>
      <c r="U87" s="2"/>
      <c r="V87" s="2"/>
      <c r="W87" s="2"/>
      <c r="X87" s="2"/>
      <c r="Y87" s="2"/>
    </row>
    <row r="88" spans="2:26" s="235" customFormat="1" x14ac:dyDescent="0.25">
      <c r="B88" s="952" t="s">
        <v>587</v>
      </c>
      <c r="C88" s="970">
        <v>97.091228571428573</v>
      </c>
      <c r="D88" s="962">
        <f t="shared" si="7"/>
        <v>5.2596130569419787E-2</v>
      </c>
      <c r="E88" s="323">
        <f>'Cropping GMs - N cost Grain £'!AJ78</f>
        <v>752.72000000000025</v>
      </c>
      <c r="F88" s="323">
        <f>'Cropping GMs - baseline'!AJ26</f>
        <v>4920</v>
      </c>
      <c r="G88" s="323">
        <f>'Cropping GMs - N cost Grain £'!AJ70</f>
        <v>4167.28</v>
      </c>
      <c r="H88" s="964">
        <f>'Cropping GMs - N cost Grain £'!AJ4</f>
        <v>101.9568</v>
      </c>
      <c r="K88" s="952" t="s">
        <v>587</v>
      </c>
      <c r="L88" s="992">
        <v>0</v>
      </c>
      <c r="M88" s="323">
        <f>E88</f>
        <v>752.72000000000025</v>
      </c>
      <c r="N88" s="323">
        <f t="shared" si="8"/>
        <v>4920</v>
      </c>
      <c r="O88" s="323">
        <f t="shared" si="8"/>
        <v>4167.28</v>
      </c>
      <c r="P88" s="964">
        <f t="shared" si="8"/>
        <v>101.9568</v>
      </c>
      <c r="R88" s="267"/>
      <c r="S88" s="2"/>
      <c r="T88" s="2"/>
      <c r="U88" s="2"/>
      <c r="V88" s="2"/>
      <c r="W88" s="2"/>
      <c r="X88" s="2"/>
      <c r="Y88" s="2"/>
    </row>
    <row r="89" spans="2:26" s="235" customFormat="1" x14ac:dyDescent="0.25">
      <c r="B89" s="952" t="s">
        <v>588</v>
      </c>
      <c r="C89" s="970">
        <v>0</v>
      </c>
      <c r="D89" s="962">
        <f t="shared" si="7"/>
        <v>0</v>
      </c>
      <c r="E89" s="323">
        <f>0</f>
        <v>0</v>
      </c>
      <c r="F89" s="323">
        <v>0</v>
      </c>
      <c r="G89" s="323">
        <f>O56</f>
        <v>125.66500000000001</v>
      </c>
      <c r="H89" s="964">
        <f>P56</f>
        <v>2.5133000000000001</v>
      </c>
      <c r="K89" s="952" t="str">
        <f>B89</f>
        <v>Agroecological herbal ley</v>
      </c>
      <c r="L89" s="992">
        <f>3/7</f>
        <v>0.42857142857142855</v>
      </c>
      <c r="M89" s="323">
        <f t="shared" si="9"/>
        <v>0</v>
      </c>
      <c r="N89" s="323">
        <f t="shared" si="8"/>
        <v>0</v>
      </c>
      <c r="O89" s="323">
        <f t="shared" si="8"/>
        <v>125.66500000000001</v>
      </c>
      <c r="P89" s="964">
        <f t="shared" si="8"/>
        <v>2.5133000000000001</v>
      </c>
      <c r="R89" s="267"/>
      <c r="S89" s="2"/>
      <c r="T89" s="2"/>
      <c r="U89" s="2"/>
      <c r="V89" s="2"/>
      <c r="W89" s="2"/>
      <c r="X89" s="2"/>
      <c r="Y89" s="2"/>
    </row>
    <row r="90" spans="2:26" s="235" customFormat="1" x14ac:dyDescent="0.25">
      <c r="B90" s="952" t="s">
        <v>589</v>
      </c>
      <c r="C90" s="970">
        <v>0</v>
      </c>
      <c r="D90" s="962">
        <f t="shared" si="7"/>
        <v>0</v>
      </c>
      <c r="E90" s="323">
        <f>'Cropping GMs - baseline'!AI81</f>
        <v>491.77999999999975</v>
      </c>
      <c r="F90" s="323">
        <f>'Cropping GMs - baseline'!AI98</f>
        <v>5780</v>
      </c>
      <c r="G90" s="323">
        <f>'Cropping GMs - baseline'!AI116</f>
        <v>5288.22</v>
      </c>
      <c r="H90" s="964">
        <f>'Cropping GMs - N cost Grain £'!AI87</f>
        <v>74</v>
      </c>
      <c r="K90" s="952" t="str">
        <f t="shared" ref="K90:K93" si="12">B90</f>
        <v>Agroecological potatoes</v>
      </c>
      <c r="L90" s="992">
        <f>1/7</f>
        <v>0.14285714285714285</v>
      </c>
      <c r="M90" s="323">
        <f t="shared" si="9"/>
        <v>491.77999999999975</v>
      </c>
      <c r="N90" s="323">
        <f t="shared" si="8"/>
        <v>5780</v>
      </c>
      <c r="O90" s="323">
        <f t="shared" si="8"/>
        <v>5288.22</v>
      </c>
      <c r="P90" s="964">
        <f t="shared" si="8"/>
        <v>74</v>
      </c>
      <c r="R90" s="267"/>
      <c r="S90" s="2"/>
      <c r="T90" s="2"/>
      <c r="U90" s="2"/>
      <c r="V90" s="2"/>
      <c r="W90" s="2"/>
      <c r="X90" s="2"/>
      <c r="Y90" s="2"/>
    </row>
    <row r="91" spans="2:26" s="235" customFormat="1" x14ac:dyDescent="0.25">
      <c r="B91" s="952" t="s">
        <v>590</v>
      </c>
      <c r="C91" s="970">
        <v>0</v>
      </c>
      <c r="D91" s="962">
        <f t="shared" si="7"/>
        <v>0</v>
      </c>
      <c r="E91" s="323">
        <f>'Cropping GMs - baseline'!AR81</f>
        <v>1951.7799999999997</v>
      </c>
      <c r="F91" s="323">
        <f>'Cropping GMs - baseline'!AR98</f>
        <v>9800</v>
      </c>
      <c r="G91" s="323">
        <f>'Cropping GMs - baseline'!AR116</f>
        <v>7848.22</v>
      </c>
      <c r="H91" s="964">
        <f>'Cropping GMs - N cost Grain £'!AR87</f>
        <v>125.2</v>
      </c>
      <c r="K91" s="952" t="str">
        <f t="shared" si="12"/>
        <v>Agroecological carrots</v>
      </c>
      <c r="L91" s="992">
        <f>1/7</f>
        <v>0.14285714285714285</v>
      </c>
      <c r="M91" s="323">
        <f t="shared" si="9"/>
        <v>1951.7799999999997</v>
      </c>
      <c r="N91" s="323">
        <f t="shared" si="8"/>
        <v>9800</v>
      </c>
      <c r="O91" s="323">
        <f t="shared" si="8"/>
        <v>7848.22</v>
      </c>
      <c r="P91" s="964">
        <f t="shared" si="8"/>
        <v>125.2</v>
      </c>
      <c r="R91" s="267"/>
      <c r="S91" s="2"/>
      <c r="T91" s="2"/>
      <c r="U91" s="2"/>
      <c r="V91" s="2"/>
      <c r="W91" s="2"/>
      <c r="X91" s="2"/>
      <c r="Y91" s="2"/>
    </row>
    <row r="92" spans="2:26" s="235" customFormat="1" x14ac:dyDescent="0.25">
      <c r="B92" s="952" t="s">
        <v>591</v>
      </c>
      <c r="C92" s="970">
        <v>0</v>
      </c>
      <c r="D92" s="962">
        <f t="shared" si="7"/>
        <v>0</v>
      </c>
      <c r="E92" s="323">
        <f>M35</f>
        <v>879.11400000000003</v>
      </c>
      <c r="F92" s="323">
        <f t="shared" ref="F92:H92" si="13">N35</f>
        <v>990.65</v>
      </c>
      <c r="G92" s="323">
        <f t="shared" si="13"/>
        <v>111.536</v>
      </c>
      <c r="H92" s="964">
        <f t="shared" si="13"/>
        <v>4.4746944000000006</v>
      </c>
      <c r="K92" s="952" t="str">
        <f t="shared" si="12"/>
        <v>Agroecological wheat</v>
      </c>
      <c r="L92" s="992">
        <f>1/7</f>
        <v>0.14285714285714285</v>
      </c>
      <c r="M92" s="323">
        <f t="shared" si="9"/>
        <v>879.11400000000003</v>
      </c>
      <c r="N92" s="323">
        <f t="shared" si="8"/>
        <v>990.65</v>
      </c>
      <c r="O92" s="323">
        <f t="shared" si="8"/>
        <v>111.536</v>
      </c>
      <c r="P92" s="964">
        <f t="shared" si="8"/>
        <v>4.4746944000000006</v>
      </c>
      <c r="R92" s="267"/>
      <c r="S92" s="2"/>
      <c r="T92" s="2"/>
      <c r="U92" s="2"/>
      <c r="V92" s="2"/>
      <c r="W92" s="2"/>
      <c r="X92" s="2"/>
      <c r="Y92" s="2"/>
    </row>
    <row r="93" spans="2:26" s="235" customFormat="1" ht="11" thickBot="1" x14ac:dyDescent="0.3">
      <c r="B93" s="952" t="s">
        <v>592</v>
      </c>
      <c r="C93" s="998">
        <v>0</v>
      </c>
      <c r="D93" s="999">
        <f t="shared" si="7"/>
        <v>0</v>
      </c>
      <c r="E93" s="1000">
        <f>M68</f>
        <v>349.70180000000005</v>
      </c>
      <c r="F93" s="1000">
        <f t="shared" ref="F93:H93" si="14">N68</f>
        <v>534.70180000000005</v>
      </c>
      <c r="G93" s="1000">
        <f>O68</f>
        <v>185</v>
      </c>
      <c r="H93" s="1001">
        <f t="shared" si="14"/>
        <v>6.5750000000000002</v>
      </c>
      <c r="K93" s="952" t="str">
        <f t="shared" si="12"/>
        <v>Agroecological beans</v>
      </c>
      <c r="L93" s="992">
        <f>1/7</f>
        <v>0.14285714285714285</v>
      </c>
      <c r="M93" s="323">
        <f t="shared" si="9"/>
        <v>349.70180000000005</v>
      </c>
      <c r="N93" s="323">
        <f t="shared" si="8"/>
        <v>534.70180000000005</v>
      </c>
      <c r="O93" s="323">
        <f t="shared" si="8"/>
        <v>185</v>
      </c>
      <c r="P93" s="964">
        <f t="shared" si="8"/>
        <v>6.5750000000000002</v>
      </c>
      <c r="R93" s="267"/>
      <c r="S93" s="2"/>
      <c r="T93" s="2"/>
      <c r="U93" s="2"/>
      <c r="V93" s="2"/>
      <c r="W93" s="2"/>
      <c r="X93" s="2"/>
      <c r="Y93" s="2"/>
    </row>
    <row r="94" spans="2:26" s="235" customFormat="1" ht="11" thickBot="1" x14ac:dyDescent="0.3">
      <c r="B94" s="954" t="s">
        <v>246</v>
      </c>
      <c r="C94" s="994">
        <f>SUM(C79:C93)</f>
        <v>1845.9766435342856</v>
      </c>
      <c r="D94" s="995">
        <f>SUM(D79:D93)</f>
        <v>1</v>
      </c>
      <c r="E94" s="996">
        <f>SUMPRODUCT($D$79:$D$88,E79:E88)</f>
        <v>808.63695197523111</v>
      </c>
      <c r="F94" s="996">
        <f>SUMPRODUCT($D$79:$D$88,F79:F88)</f>
        <v>1915.1912868079642</v>
      </c>
      <c r="G94" s="996">
        <f>SUMPRODUCT($D$79:$D$88,G79:G88)</f>
        <v>1106.5543348327337</v>
      </c>
      <c r="H94" s="997">
        <f>SUMPRODUCT($D$79:$D$88,H79:H88)</f>
        <v>25.929091264229925</v>
      </c>
      <c r="K94" s="954" t="s">
        <v>246</v>
      </c>
      <c r="L94" s="993">
        <f>SUM(L79:L93)</f>
        <v>0.99999999999999978</v>
      </c>
      <c r="M94" s="963">
        <f>SUMPRODUCT($L$79:$L$93,M79:M93)</f>
        <v>524.62511428571429</v>
      </c>
      <c r="N94" s="963">
        <f t="shared" ref="N94:P94" si="15">SUMPRODUCT($L$79:$L$93,N79:N93)</f>
        <v>2443.6216857142858</v>
      </c>
      <c r="O94" s="963">
        <f>SUMPRODUCT($L$79:$L$93,O79:O93)</f>
        <v>1972.8529999999998</v>
      </c>
      <c r="P94" s="971">
        <f t="shared" si="15"/>
        <v>31.112799200000001</v>
      </c>
      <c r="R94" s="267"/>
      <c r="S94" s="2"/>
      <c r="T94" s="2"/>
      <c r="U94" s="2"/>
      <c r="V94" s="2"/>
      <c r="W94" s="2"/>
      <c r="X94" s="2"/>
      <c r="Y94" s="2"/>
    </row>
    <row r="95" spans="2:26" s="235" customFormat="1" x14ac:dyDescent="0.25">
      <c r="R95" s="267"/>
      <c r="S95" s="2"/>
      <c r="T95" s="2"/>
      <c r="U95" s="2"/>
      <c r="V95" s="2"/>
      <c r="W95" s="2"/>
      <c r="X95" s="2"/>
      <c r="Y95" s="2"/>
      <c r="Z95" s="2"/>
    </row>
    <row r="96" spans="2:26" s="235" customFormat="1" x14ac:dyDescent="0.25">
      <c r="R96" s="267"/>
      <c r="S96" s="2"/>
      <c r="T96" s="2"/>
      <c r="U96" s="2"/>
      <c r="V96" s="2"/>
      <c r="W96" s="2"/>
      <c r="X96" s="2"/>
      <c r="Y96" s="2"/>
      <c r="Z96" s="2"/>
    </row>
    <row r="97" spans="18:26" s="235" customFormat="1" x14ac:dyDescent="0.25">
      <c r="R97" s="267"/>
      <c r="S97" s="2"/>
      <c r="T97" s="2"/>
      <c r="U97" s="2"/>
      <c r="V97" s="2"/>
      <c r="W97" s="2"/>
      <c r="X97" s="2"/>
      <c r="Y97" s="2"/>
      <c r="Z97" s="2"/>
    </row>
    <row r="98" spans="18:26" s="235" customFormat="1" x14ac:dyDescent="0.25">
      <c r="R98" s="267"/>
      <c r="S98" s="2"/>
      <c r="T98" s="2"/>
      <c r="U98" s="2"/>
      <c r="V98" s="2"/>
      <c r="W98" s="2"/>
      <c r="X98" s="2"/>
      <c r="Y98" s="2"/>
      <c r="Z98" s="2"/>
    </row>
    <row r="99" spans="18:26" s="235" customFormat="1" x14ac:dyDescent="0.25">
      <c r="R99" s="267"/>
      <c r="S99" s="2"/>
      <c r="T99" s="2"/>
      <c r="U99" s="2"/>
      <c r="V99" s="2"/>
      <c r="W99" s="2"/>
      <c r="X99" s="2"/>
      <c r="Y99" s="2"/>
      <c r="Z99" s="2"/>
    </row>
    <row r="100" spans="18:26" s="235" customFormat="1" x14ac:dyDescent="0.25">
      <c r="R100" s="267"/>
      <c r="S100" s="2"/>
      <c r="T100" s="2"/>
      <c r="U100" s="2"/>
      <c r="V100" s="2"/>
      <c r="W100" s="2"/>
      <c r="X100" s="2"/>
      <c r="Y100" s="2"/>
      <c r="Z100" s="2"/>
    </row>
    <row r="101" spans="18:26" s="235" customFormat="1" x14ac:dyDescent="0.25">
      <c r="R101" s="267"/>
      <c r="S101" s="2"/>
      <c r="T101" s="2"/>
      <c r="U101" s="2"/>
      <c r="V101" s="2"/>
      <c r="W101" s="2"/>
      <c r="X101" s="2"/>
      <c r="Y101" s="2"/>
      <c r="Z101" s="2"/>
    </row>
    <row r="102" spans="18:26" s="235" customFormat="1" x14ac:dyDescent="0.25">
      <c r="R102" s="267"/>
      <c r="S102" s="2"/>
      <c r="T102" s="2"/>
      <c r="U102" s="2"/>
      <c r="V102" s="2"/>
      <c r="W102" s="2"/>
      <c r="X102" s="2"/>
      <c r="Y102" s="2"/>
      <c r="Z102" s="2"/>
    </row>
    <row r="103" spans="18:26" s="235" customFormat="1" x14ac:dyDescent="0.25">
      <c r="R103" s="267"/>
      <c r="S103" s="2"/>
      <c r="T103" s="2"/>
      <c r="U103" s="2"/>
      <c r="V103" s="2"/>
      <c r="W103" s="2"/>
      <c r="X103" s="2"/>
      <c r="Y103" s="2"/>
      <c r="Z103" s="2"/>
    </row>
    <row r="104" spans="18:26" s="235" customFormat="1" x14ac:dyDescent="0.25">
      <c r="R104" s="267"/>
      <c r="S104" s="2"/>
      <c r="T104" s="2"/>
      <c r="U104" s="2"/>
      <c r="V104" s="2"/>
      <c r="W104" s="2"/>
      <c r="X104" s="2"/>
      <c r="Y104" s="2"/>
      <c r="Z104" s="2"/>
    </row>
    <row r="105" spans="18:26" s="235" customFormat="1" x14ac:dyDescent="0.25">
      <c r="R105" s="267"/>
      <c r="S105" s="2"/>
      <c r="T105" s="2"/>
      <c r="U105" s="2"/>
      <c r="V105" s="2"/>
      <c r="W105" s="2"/>
      <c r="X105" s="2"/>
      <c r="Y105" s="2"/>
      <c r="Z105" s="2"/>
    </row>
    <row r="106" spans="18:26" s="235" customFormat="1" x14ac:dyDescent="0.25">
      <c r="R106" s="267"/>
      <c r="S106" s="2"/>
      <c r="T106" s="2"/>
      <c r="U106" s="2"/>
      <c r="V106" s="2"/>
      <c r="W106" s="2"/>
      <c r="X106" s="2"/>
      <c r="Y106" s="2"/>
      <c r="Z106" s="2"/>
    </row>
    <row r="107" spans="18:26" s="235" customFormat="1" x14ac:dyDescent="0.25">
      <c r="R107" s="267"/>
      <c r="S107" s="2"/>
      <c r="T107" s="2"/>
      <c r="U107" s="2"/>
      <c r="V107" s="2"/>
      <c r="W107" s="2"/>
      <c r="X107" s="2"/>
      <c r="Y107" s="2"/>
      <c r="Z107" s="2"/>
    </row>
    <row r="108" spans="18:26" s="235" customFormat="1" x14ac:dyDescent="0.25">
      <c r="R108" s="267"/>
      <c r="S108" s="2"/>
      <c r="T108" s="2"/>
      <c r="U108" s="2"/>
      <c r="V108" s="2"/>
      <c r="W108" s="2"/>
      <c r="X108" s="2"/>
      <c r="Y108" s="2"/>
      <c r="Z108" s="2"/>
    </row>
    <row r="109" spans="18:26" s="235" customFormat="1" x14ac:dyDescent="0.25">
      <c r="R109" s="267"/>
      <c r="S109" s="2"/>
      <c r="T109" s="2"/>
      <c r="U109" s="2"/>
      <c r="V109" s="2"/>
      <c r="W109" s="2"/>
      <c r="X109" s="2"/>
      <c r="Y109" s="2"/>
      <c r="Z109" s="2"/>
    </row>
    <row r="110" spans="18:26" s="235" customFormat="1" x14ac:dyDescent="0.25">
      <c r="R110" s="267"/>
      <c r="S110" s="2"/>
      <c r="T110" s="2"/>
      <c r="U110" s="2"/>
      <c r="V110" s="2"/>
      <c r="W110" s="2"/>
      <c r="X110" s="2"/>
      <c r="Y110" s="2"/>
      <c r="Z110" s="2"/>
    </row>
    <row r="111" spans="18:26" s="235" customFormat="1" x14ac:dyDescent="0.25">
      <c r="R111" s="267"/>
      <c r="S111" s="2"/>
      <c r="T111" s="2"/>
      <c r="U111" s="2"/>
      <c r="V111" s="2"/>
      <c r="W111" s="2"/>
      <c r="X111" s="2"/>
      <c r="Y111" s="2"/>
      <c r="Z111" s="2"/>
    </row>
    <row r="112" spans="18:26" s="235" customFormat="1" x14ac:dyDescent="0.25">
      <c r="R112" s="267"/>
      <c r="S112" s="2"/>
      <c r="T112" s="2"/>
      <c r="U112" s="2"/>
      <c r="V112" s="2"/>
      <c r="W112" s="2"/>
      <c r="X112" s="2"/>
      <c r="Y112" s="2"/>
      <c r="Z112" s="2"/>
    </row>
    <row r="113" spans="18:26" s="235" customFormat="1" x14ac:dyDescent="0.25">
      <c r="R113" s="267"/>
      <c r="S113" s="2"/>
      <c r="T113" s="2"/>
      <c r="U113" s="2"/>
      <c r="V113" s="2"/>
      <c r="W113" s="2"/>
      <c r="X113" s="2"/>
      <c r="Y113" s="2"/>
      <c r="Z113" s="2"/>
    </row>
    <row r="114" spans="18:26" s="235" customFormat="1" x14ac:dyDescent="0.25">
      <c r="R114" s="267"/>
      <c r="S114" s="2"/>
      <c r="T114" s="2"/>
      <c r="U114" s="2"/>
      <c r="V114" s="2"/>
      <c r="W114" s="2"/>
      <c r="X114" s="2"/>
      <c r="Y114" s="2"/>
      <c r="Z114" s="2"/>
    </row>
    <row r="115" spans="18:26" s="235" customFormat="1" x14ac:dyDescent="0.25">
      <c r="R115" s="267"/>
      <c r="S115" s="2"/>
      <c r="T115" s="2"/>
      <c r="U115" s="2"/>
      <c r="V115" s="2"/>
      <c r="W115" s="2"/>
      <c r="X115" s="2"/>
      <c r="Y115" s="2"/>
      <c r="Z115" s="2"/>
    </row>
    <row r="116" spans="18:26" s="235" customFormat="1" x14ac:dyDescent="0.25">
      <c r="R116" s="267"/>
      <c r="S116" s="2"/>
      <c r="T116" s="2"/>
      <c r="U116" s="2"/>
      <c r="V116" s="2"/>
      <c r="W116" s="2"/>
      <c r="X116" s="2"/>
      <c r="Y116" s="2"/>
      <c r="Z116" s="2"/>
    </row>
    <row r="117" spans="18:26" s="235" customFormat="1" x14ac:dyDescent="0.25">
      <c r="R117" s="267"/>
      <c r="S117" s="2"/>
      <c r="T117" s="2"/>
      <c r="U117" s="2"/>
      <c r="V117" s="2"/>
      <c r="W117" s="2"/>
      <c r="X117" s="2"/>
      <c r="Y117" s="2"/>
      <c r="Z117" s="2"/>
    </row>
    <row r="118" spans="18:26" s="235" customFormat="1" x14ac:dyDescent="0.25">
      <c r="R118" s="267"/>
      <c r="S118" s="2"/>
      <c r="T118" s="2"/>
      <c r="U118" s="2"/>
      <c r="V118" s="2"/>
      <c r="W118" s="2"/>
      <c r="X118" s="2"/>
      <c r="Y118" s="2"/>
      <c r="Z118" s="2"/>
    </row>
    <row r="119" spans="18:26" s="235" customFormat="1" x14ac:dyDescent="0.25">
      <c r="R119" s="267"/>
      <c r="S119" s="2"/>
      <c r="T119" s="2"/>
      <c r="U119" s="2"/>
      <c r="V119" s="2"/>
      <c r="W119" s="2"/>
      <c r="X119" s="2"/>
      <c r="Y119" s="2"/>
      <c r="Z119" s="2"/>
    </row>
  </sheetData>
  <mergeCells count="7">
    <mergeCell ref="C74:H74"/>
    <mergeCell ref="L74:P74"/>
    <mergeCell ref="C2:H2"/>
    <mergeCell ref="L2:P2"/>
    <mergeCell ref="C32:H32"/>
    <mergeCell ref="L32:P32"/>
    <mergeCell ref="L61:P6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2C4E-ACDA-4C5F-BB0A-3A1A5E02BC31}">
  <dimension ref="A2:E13"/>
  <sheetViews>
    <sheetView showGridLines="0" showRowColHeaders="0" workbookViewId="0"/>
  </sheetViews>
  <sheetFormatPr defaultRowHeight="14.5" x14ac:dyDescent="0.35"/>
  <cols>
    <col min="1" max="1" width="5.54296875" style="1270" customWidth="1"/>
    <col min="2" max="2" width="6.453125" style="1270" customWidth="1"/>
    <col min="3" max="3" width="29.81640625" style="1270" customWidth="1"/>
    <col min="4" max="4" width="142.54296875" style="1270" customWidth="1"/>
    <col min="5" max="5" width="7.1796875" style="1270" customWidth="1"/>
  </cols>
  <sheetData>
    <row r="2" spans="2:5" x14ac:dyDescent="0.35">
      <c r="B2" s="1402"/>
      <c r="C2" s="1402"/>
      <c r="D2" s="1402"/>
      <c r="E2" s="1402"/>
    </row>
    <row r="3" spans="2:5" ht="21" x14ac:dyDescent="0.35">
      <c r="B3" s="1402"/>
      <c r="C3" s="1404" t="s">
        <v>33</v>
      </c>
      <c r="D3" s="1402"/>
      <c r="E3" s="1402"/>
    </row>
    <row r="4" spans="2:5" x14ac:dyDescent="0.35">
      <c r="B4" s="1402"/>
      <c r="C4" s="1405" t="s">
        <v>15</v>
      </c>
      <c r="D4" s="1402"/>
      <c r="E4" s="1402"/>
    </row>
    <row r="5" spans="2:5" x14ac:dyDescent="0.35">
      <c r="B5" s="1402"/>
      <c r="C5" s="1432" t="s">
        <v>45</v>
      </c>
      <c r="D5" s="1432"/>
      <c r="E5" s="1402"/>
    </row>
    <row r="6" spans="2:5" ht="58.5" customHeight="1" x14ac:dyDescent="0.35">
      <c r="B6" s="1402"/>
      <c r="C6" s="1431" t="s">
        <v>46</v>
      </c>
      <c r="D6" s="1431"/>
      <c r="E6" s="1402"/>
    </row>
    <row r="7" spans="2:5" ht="215.25" customHeight="1" x14ac:dyDescent="0.35">
      <c r="B7" s="1402"/>
      <c r="C7" s="1433"/>
      <c r="D7" s="1433"/>
      <c r="E7" s="1402"/>
    </row>
    <row r="8" spans="2:5" ht="49.5" customHeight="1" x14ac:dyDescent="0.35">
      <c r="B8" s="1402"/>
      <c r="C8" s="1431" t="s">
        <v>47</v>
      </c>
      <c r="D8" s="1431"/>
      <c r="E8" s="1402"/>
    </row>
    <row r="9" spans="2:5" ht="221.25" customHeight="1" x14ac:dyDescent="0.35">
      <c r="B9" s="1402"/>
      <c r="C9" s="1433"/>
      <c r="D9" s="1433"/>
      <c r="E9" s="1402"/>
    </row>
    <row r="10" spans="2:5" ht="107.25" customHeight="1" x14ac:dyDescent="0.35">
      <c r="B10" s="1402"/>
      <c r="C10" s="1431" t="s">
        <v>48</v>
      </c>
      <c r="D10" s="1431"/>
      <c r="E10" s="1402"/>
    </row>
    <row r="11" spans="2:5" ht="182.25" customHeight="1" x14ac:dyDescent="0.35">
      <c r="B11" s="1402"/>
      <c r="C11" s="1433"/>
      <c r="D11" s="1433"/>
      <c r="E11" s="1402"/>
    </row>
    <row r="12" spans="2:5" x14ac:dyDescent="0.35">
      <c r="B12" s="1402"/>
      <c r="C12" s="1431"/>
      <c r="D12" s="1431"/>
      <c r="E12" s="1402"/>
    </row>
    <row r="13" spans="2:5" x14ac:dyDescent="0.35">
      <c r="B13" s="1402"/>
      <c r="C13" s="1402"/>
      <c r="D13" s="1402"/>
      <c r="E13" s="1402"/>
    </row>
  </sheetData>
  <sheetProtection algorithmName="SHA-512" hashValue="5yxN0eHKD5zCDEbInerOI5uLnZNMtsXu49clYsweDwZMf0bo/F4V97po+QqyNIbLx3tf64qAi97Bh0kC3iwh9Q==" saltValue="QieoZlKel4wkvorQPeEhvg==" spinCount="100000" sheet="1" objects="1" scenarios="1"/>
  <mergeCells count="8">
    <mergeCell ref="C11:D11"/>
    <mergeCell ref="C5:D5"/>
    <mergeCell ref="C6:D6"/>
    <mergeCell ref="C12:D12"/>
    <mergeCell ref="C7:D7"/>
    <mergeCell ref="C9:D9"/>
    <mergeCell ref="C8:D8"/>
    <mergeCell ref="C10:D10"/>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5093-29BE-4DC9-9171-5CADF3A3893E}">
  <dimension ref="A1:AL119"/>
  <sheetViews>
    <sheetView workbookViewId="0"/>
  </sheetViews>
  <sheetFormatPr defaultColWidth="8.81640625" defaultRowHeight="10.5" x14ac:dyDescent="0.25"/>
  <cols>
    <col min="1" max="1" width="2.1796875" style="235" customWidth="1"/>
    <col min="2" max="2" width="25.1796875" style="2" customWidth="1"/>
    <col min="3" max="5" width="8.81640625" style="2"/>
    <col min="6" max="7" width="9.81640625" style="2" customWidth="1"/>
    <col min="8" max="8" width="7.54296875" style="2" customWidth="1"/>
    <col min="9" max="9" width="4.54296875" style="235" customWidth="1"/>
    <col min="10" max="10" width="4.81640625" style="235" customWidth="1"/>
    <col min="11" max="11" width="26.54296875" style="2" customWidth="1"/>
    <col min="12" max="16" width="8.81640625" style="2"/>
    <col min="17" max="17" width="8.81640625" style="235"/>
    <col min="18" max="18" width="18" style="267" customWidth="1"/>
    <col min="19" max="16384" width="8.81640625" style="2"/>
  </cols>
  <sheetData>
    <row r="1" spans="1:26" s="235" customFormat="1" ht="11" thickBot="1" x14ac:dyDescent="0.3">
      <c r="R1" s="839" t="s">
        <v>69</v>
      </c>
      <c r="S1" s="2"/>
      <c r="T1" s="2"/>
      <c r="U1" s="2"/>
      <c r="V1" s="2"/>
      <c r="W1" s="2"/>
      <c r="X1" s="2"/>
      <c r="Y1" s="2"/>
      <c r="Z1" s="2"/>
    </row>
    <row r="2" spans="1:26" s="175" customFormat="1" ht="19.399999999999999" customHeight="1" x14ac:dyDescent="0.35">
      <c r="A2" s="339"/>
      <c r="B2" s="396" t="s">
        <v>528</v>
      </c>
      <c r="C2" s="1495" t="s">
        <v>196</v>
      </c>
      <c r="D2" s="1495"/>
      <c r="E2" s="1495"/>
      <c r="F2" s="1495"/>
      <c r="G2" s="1495"/>
      <c r="H2" s="1496"/>
      <c r="I2" s="339"/>
      <c r="J2" s="339"/>
      <c r="K2" s="396" t="s">
        <v>528</v>
      </c>
      <c r="L2" s="1495" t="s">
        <v>74</v>
      </c>
      <c r="M2" s="1495"/>
      <c r="N2" s="1495"/>
      <c r="O2" s="1495"/>
      <c r="P2" s="1496"/>
      <c r="Q2" s="339"/>
      <c r="R2" s="349" t="s">
        <v>529</v>
      </c>
    </row>
    <row r="3" spans="1:26" ht="31.5" x14ac:dyDescent="0.25">
      <c r="A3" s="290"/>
      <c r="B3" s="397" t="s">
        <v>530</v>
      </c>
      <c r="C3" s="393" t="s">
        <v>531</v>
      </c>
      <c r="D3" s="4" t="s">
        <v>532</v>
      </c>
      <c r="E3" s="4" t="s">
        <v>533</v>
      </c>
      <c r="F3" s="4" t="s">
        <v>534</v>
      </c>
      <c r="G3" s="4" t="s">
        <v>536</v>
      </c>
      <c r="H3" s="394" t="s">
        <v>216</v>
      </c>
      <c r="J3" s="290"/>
      <c r="K3" s="397" t="s">
        <v>530</v>
      </c>
      <c r="L3" s="4" t="s">
        <v>532</v>
      </c>
      <c r="M3" s="4" t="s">
        <v>533</v>
      </c>
      <c r="N3" s="4" t="s">
        <v>534</v>
      </c>
      <c r="O3" s="4" t="s">
        <v>536</v>
      </c>
      <c r="P3" s="394" t="s">
        <v>216</v>
      </c>
      <c r="R3" s="349" t="s">
        <v>537</v>
      </c>
    </row>
    <row r="4" spans="1:26" x14ac:dyDescent="0.25">
      <c r="A4" s="290"/>
      <c r="B4" s="398"/>
      <c r="C4" s="173"/>
      <c r="D4" s="174"/>
      <c r="E4" s="174" t="s">
        <v>538</v>
      </c>
      <c r="F4" s="174"/>
      <c r="G4" s="174"/>
      <c r="H4" s="395" t="s">
        <v>538</v>
      </c>
      <c r="J4" s="290"/>
      <c r="K4" s="398"/>
      <c r="L4" s="174"/>
      <c r="M4" s="174" t="s">
        <v>538</v>
      </c>
      <c r="N4" s="174"/>
      <c r="O4" s="174"/>
      <c r="P4" s="395" t="s">
        <v>538</v>
      </c>
      <c r="R4" s="267" t="s">
        <v>540</v>
      </c>
    </row>
    <row r="5" spans="1:26" x14ac:dyDescent="0.25">
      <c r="A5" s="290"/>
      <c r="B5" s="399" t="s">
        <v>541</v>
      </c>
      <c r="C5" s="623">
        <v>643.09457370199993</v>
      </c>
      <c r="D5" s="633">
        <v>0.19295200046128508</v>
      </c>
      <c r="E5" s="628">
        <f>'Cropping GMs - N cost Grain £'!D77</f>
        <v>2218.0652724492656</v>
      </c>
      <c r="F5" s="628">
        <f>'Cropping GMs - N cost Grain £'!D75</f>
        <v>2914.6101869297249</v>
      </c>
      <c r="G5" s="628">
        <f>'Cropping GMs - N cost Grain £'!D70</f>
        <v>696.54491448045928</v>
      </c>
      <c r="H5" s="16">
        <f>'Cropping GMs - N cost Grain £'!D4</f>
        <v>15.178545742284125</v>
      </c>
      <c r="J5" s="290"/>
      <c r="K5" s="399" t="s">
        <v>541</v>
      </c>
      <c r="L5" s="633">
        <f>80%*(2/6)</f>
        <v>0.26666666666666666</v>
      </c>
      <c r="M5" s="628">
        <f>'Cropping GMs - N cost Grain £'!D129</f>
        <v>1670.9039999999995</v>
      </c>
      <c r="N5" s="628">
        <f>'Cropping GMs - N cost Grain £'!D127</f>
        <v>1840.3999999999996</v>
      </c>
      <c r="O5" s="628">
        <f>'Cropping GMs - baseline'!D116</f>
        <v>111.536</v>
      </c>
      <c r="P5" s="16">
        <f>'Cropping GMs - N cost Grain £'!D87</f>
        <v>4.4746944000000006</v>
      </c>
      <c r="R5" s="636">
        <v>1</v>
      </c>
      <c r="S5" s="2" t="s">
        <v>542</v>
      </c>
    </row>
    <row r="6" spans="1:26" x14ac:dyDescent="0.25">
      <c r="A6" s="539"/>
      <c r="B6" s="399" t="s">
        <v>543</v>
      </c>
      <c r="C6" s="623">
        <v>131.71816569799998</v>
      </c>
      <c r="D6" s="633">
        <v>3.952028925110658E-2</v>
      </c>
      <c r="E6" s="628">
        <f>'Cropping GMs - N cost Grain £'!E77</f>
        <v>1947.1264468628315</v>
      </c>
      <c r="F6" s="628">
        <f>'Cropping GMs - N cost Grain £'!E75</f>
        <v>2656.9932659831611</v>
      </c>
      <c r="G6" s="628">
        <f>'Cropping GMs - N cost Grain £'!E70</f>
        <v>709.86681912032952</v>
      </c>
      <c r="H6" s="16">
        <f>'Cropping GMs - N cost Grain £'!E4</f>
        <v>15.5302440247767</v>
      </c>
      <c r="J6" s="539"/>
      <c r="K6" s="399" t="s">
        <v>543</v>
      </c>
      <c r="L6" s="633">
        <v>0</v>
      </c>
      <c r="M6" s="628"/>
      <c r="N6" s="628"/>
      <c r="O6" s="628"/>
      <c r="P6" s="16"/>
      <c r="R6" s="636">
        <v>2</v>
      </c>
      <c r="S6" s="2" t="s">
        <v>542</v>
      </c>
    </row>
    <row r="7" spans="1:26" x14ac:dyDescent="0.25">
      <c r="A7" s="290"/>
      <c r="B7" s="399" t="s">
        <v>544</v>
      </c>
      <c r="C7" s="623">
        <v>538.09954126085711</v>
      </c>
      <c r="D7" s="633">
        <v>0.16144963303903445</v>
      </c>
      <c r="E7" s="628">
        <f>'Cropping GMs - N cost Grain £'!F77</f>
        <v>2185.2680535755862</v>
      </c>
      <c r="F7" s="628">
        <f>'Cropping GMs - N cost Grain £'!F75</f>
        <v>2933.0799172971729</v>
      </c>
      <c r="G7" s="628">
        <f>'Cropping GMs - N cost Grain £'!F70</f>
        <v>747.81186372158686</v>
      </c>
      <c r="H7" s="16">
        <f>'Cropping GMs - N cost Grain £'!F4</f>
        <v>15.856153202249894</v>
      </c>
      <c r="J7" s="290"/>
      <c r="K7" s="399" t="s">
        <v>544</v>
      </c>
      <c r="L7" s="633">
        <v>0</v>
      </c>
      <c r="M7" s="628"/>
      <c r="N7" s="628"/>
      <c r="O7" s="628"/>
      <c r="P7" s="16"/>
      <c r="R7" s="636">
        <v>3</v>
      </c>
      <c r="S7" s="2" t="s">
        <v>545</v>
      </c>
    </row>
    <row r="8" spans="1:26" x14ac:dyDescent="0.25">
      <c r="A8" s="290"/>
      <c r="B8" s="399" t="s">
        <v>546</v>
      </c>
      <c r="C8" s="623">
        <v>110.21315905342857</v>
      </c>
      <c r="D8" s="633">
        <v>3.3067997128476939E-2</v>
      </c>
      <c r="E8" s="628">
        <f>'Cropping GMs - N cost Grain £'!G77</f>
        <v>1897.5506993344518</v>
      </c>
      <c r="F8" s="628">
        <f>'Cropping GMs - N cost Grain £'!G75</f>
        <v>2673.728545793741</v>
      </c>
      <c r="G8" s="628">
        <f>'Cropping GMs - N cost Grain £'!G70</f>
        <v>776.17784645928919</v>
      </c>
      <c r="H8" s="16">
        <f>'Cropping GMs - N cost Grain £'!G4</f>
        <v>16.605015146525233</v>
      </c>
      <c r="J8" s="290"/>
      <c r="K8" s="399" t="s">
        <v>546</v>
      </c>
      <c r="L8" s="633">
        <v>0</v>
      </c>
      <c r="M8" s="628"/>
      <c r="N8" s="628"/>
      <c r="O8" s="628"/>
      <c r="P8" s="16"/>
      <c r="R8" s="636">
        <v>4</v>
      </c>
      <c r="S8" s="2" t="s">
        <v>547</v>
      </c>
    </row>
    <row r="9" spans="1:26" x14ac:dyDescent="0.25">
      <c r="A9" s="290"/>
      <c r="B9" s="399" t="s">
        <v>548</v>
      </c>
      <c r="C9" s="623">
        <v>131.24379055142856</v>
      </c>
      <c r="D9" s="633">
        <v>3.9377959277813276E-2</v>
      </c>
      <c r="E9" s="628">
        <f>'Cropping GMs - N cost Grain £'!H77</f>
        <v>2180.5531931919013</v>
      </c>
      <c r="F9" s="628">
        <f>'Cropping GMs - N cost Grain £'!H75</f>
        <v>2914.066959565976</v>
      </c>
      <c r="G9" s="628">
        <f>'Cropping GMs - N cost Grain £'!H70</f>
        <v>733.51376637407452</v>
      </c>
      <c r="H9" s="16">
        <f>'Cropping GMs - N cost Grain £'!H4</f>
        <v>15.647643432275565</v>
      </c>
      <c r="J9" s="290"/>
      <c r="K9" s="399" t="s">
        <v>548</v>
      </c>
      <c r="L9" s="633">
        <v>0</v>
      </c>
      <c r="M9" s="628"/>
      <c r="N9" s="628"/>
      <c r="O9" s="628"/>
      <c r="P9" s="16"/>
      <c r="R9" s="636">
        <v>5</v>
      </c>
      <c r="S9" s="2" t="s">
        <v>545</v>
      </c>
    </row>
    <row r="10" spans="1:26" x14ac:dyDescent="0.25">
      <c r="A10" s="290"/>
      <c r="B10" s="399" t="s">
        <v>549</v>
      </c>
      <c r="C10" s="623">
        <v>26.881258305714283</v>
      </c>
      <c r="D10" s="633">
        <v>8.0653651532870563E-3</v>
      </c>
      <c r="E10" s="628">
        <f>'Cropping GMs - N cost Grain £'!I77</f>
        <v>1897.4537675826823</v>
      </c>
      <c r="F10" s="628">
        <f>'Cropping GMs - N cost Grain £'!I75</f>
        <v>2656.5010518710851</v>
      </c>
      <c r="G10" s="628">
        <f>'Cropping GMs - N cost Grain £'!I70</f>
        <v>759.04728428840281</v>
      </c>
      <c r="H10" s="16">
        <f>'Cropping GMs - N cost Grain £'!I4</f>
        <v>16.321728305213831</v>
      </c>
      <c r="J10" s="290"/>
      <c r="K10" s="399" t="s">
        <v>549</v>
      </c>
      <c r="L10" s="633">
        <v>0</v>
      </c>
      <c r="M10" s="628"/>
      <c r="N10" s="628"/>
      <c r="O10" s="628"/>
      <c r="P10" s="16"/>
      <c r="R10" s="636">
        <v>6</v>
      </c>
      <c r="S10" s="2" t="s">
        <v>550</v>
      </c>
    </row>
    <row r="11" spans="1:26" x14ac:dyDescent="0.25">
      <c r="A11" s="290"/>
      <c r="B11" s="399" t="s">
        <v>551</v>
      </c>
      <c r="C11" s="623">
        <v>48.90465428571428</v>
      </c>
      <c r="D11" s="633">
        <v>1.4673193123020721E-2</v>
      </c>
      <c r="E11" s="628">
        <f>'Cropping GMs - N cost Grain £'!J77</f>
        <v>1727.3001999220198</v>
      </c>
      <c r="F11" s="628">
        <f>'Cropping GMs - N cost Grain £'!J75</f>
        <v>2298.3660639246796</v>
      </c>
      <c r="G11" s="628">
        <f>'Cropping GMs - N cost Grain £'!J70</f>
        <v>571.06586400265974</v>
      </c>
      <c r="H11" s="16">
        <f>'Cropping GMs - N cost Grain £'!J4</f>
        <v>8.9893172800531929</v>
      </c>
      <c r="J11" s="290"/>
      <c r="K11" s="399" t="s">
        <v>551</v>
      </c>
      <c r="L11" s="633">
        <f>20%*(2/6)</f>
        <v>6.6666666666666666E-2</v>
      </c>
      <c r="M11" s="628">
        <f>'Cropping GMs - N cost Grain £'!J129</f>
        <v>1080.1274999999998</v>
      </c>
      <c r="N11" s="628">
        <f>'Cropping GMs - N cost Grain £'!J127</f>
        <v>1323.9699999999998</v>
      </c>
      <c r="O11" s="628">
        <f>'Cropping GMs - baseline'!J116</f>
        <v>159.74875</v>
      </c>
      <c r="P11" s="16">
        <f>'Cropping GMs - N cost Grain £'!J87</f>
        <v>4.8768500000000001</v>
      </c>
    </row>
    <row r="12" spans="1:26" x14ac:dyDescent="0.25">
      <c r="A12" s="290"/>
      <c r="B12" s="399" t="s">
        <v>552</v>
      </c>
      <c r="C12" s="623">
        <v>175.57064285714287</v>
      </c>
      <c r="D12" s="633">
        <v>5.2677643610871905E-2</v>
      </c>
      <c r="E12" s="628">
        <f>'Cropping GMs - N cost Grain £'!K77</f>
        <v>1707.0484641466644</v>
      </c>
      <c r="F12" s="628">
        <f>'Cropping GMs - N cost Grain £'!K75</f>
        <v>2231.0884479391402</v>
      </c>
      <c r="G12" s="628">
        <f>'Cropping GMs - N cost Grain £'!K70</f>
        <v>524.03998379247582</v>
      </c>
      <c r="H12" s="16">
        <f>'Cropping GMs - N cost Grain £'!K4</f>
        <v>11.469215572121362</v>
      </c>
      <c r="J12" s="290"/>
      <c r="K12" s="399" t="s">
        <v>552</v>
      </c>
      <c r="L12" s="633">
        <f>50%*(1/6)</f>
        <v>8.3333333333333329E-2</v>
      </c>
      <c r="M12" s="628">
        <f>'Cropping GMs - N cost Grain £'!K129</f>
        <v>978.2589999999999</v>
      </c>
      <c r="N12" s="628">
        <f>'Cropping GMs - N cost Grain £'!K127</f>
        <v>1146.6099999999999</v>
      </c>
      <c r="O12" s="628">
        <f>'Cropping GMs - baseline'!K116</f>
        <v>126.95099999999999</v>
      </c>
      <c r="P12" s="16">
        <f>'Cropping GMs - N cost Grain £'!K87</f>
        <v>4.4444664000000005</v>
      </c>
      <c r="R12" s="267" t="s">
        <v>541</v>
      </c>
      <c r="S12" s="2">
        <v>8.1</v>
      </c>
      <c r="T12" s="637">
        <v>0.8</v>
      </c>
      <c r="U12" s="2" t="s">
        <v>553</v>
      </c>
    </row>
    <row r="13" spans="1:26" x14ac:dyDescent="0.25">
      <c r="A13" s="290"/>
      <c r="B13" s="399" t="s">
        <v>554</v>
      </c>
      <c r="C13" s="623">
        <v>175.57064285714287</v>
      </c>
      <c r="D13" s="633">
        <v>5.2677643610871905E-2</v>
      </c>
      <c r="E13" s="628">
        <f>'Cropping GMs - N cost Grain £'!L77</f>
        <v>1931.9538754111029</v>
      </c>
      <c r="F13" s="628">
        <f>'Cropping GMs - N cost Grain £'!L75</f>
        <v>2387.565028712102</v>
      </c>
      <c r="G13" s="628">
        <f>'Cropping GMs - N cost Grain £'!L70</f>
        <v>455.61115330099915</v>
      </c>
      <c r="H13" s="16">
        <f>'Cropping GMs - N cost Grain £'!L4</f>
        <v>10.507494447146378</v>
      </c>
      <c r="J13" s="290"/>
      <c r="K13" s="399" t="s">
        <v>554</v>
      </c>
      <c r="L13" s="633">
        <v>0</v>
      </c>
      <c r="M13" s="628"/>
      <c r="N13" s="628"/>
      <c r="O13" s="628"/>
      <c r="P13" s="16"/>
      <c r="R13" s="267" t="s">
        <v>551</v>
      </c>
      <c r="S13" s="2">
        <v>2</v>
      </c>
      <c r="T13" s="637">
        <v>0.2</v>
      </c>
      <c r="U13" s="2" t="s">
        <v>553</v>
      </c>
    </row>
    <row r="14" spans="1:26" x14ac:dyDescent="0.25">
      <c r="A14" s="290"/>
      <c r="B14" s="399" t="s">
        <v>555</v>
      </c>
      <c r="C14" s="623">
        <v>23.881657142857147</v>
      </c>
      <c r="D14" s="633">
        <v>7.1653745941574467E-3</v>
      </c>
      <c r="E14" s="628">
        <f>'Cropping GMs - N cost Grain £'!M77</f>
        <v>1432.5054604785805</v>
      </c>
      <c r="F14" s="628">
        <f>'Cropping GMs - N cost Grain £'!M75</f>
        <v>1859.2476099049395</v>
      </c>
      <c r="G14" s="628">
        <f>'Cropping GMs - N cost Grain £'!M70</f>
        <v>426.74214942635911</v>
      </c>
      <c r="H14" s="16">
        <f>'Cropping GMs - N cost Grain £'!M4</f>
        <v>7.1268429885271827</v>
      </c>
      <c r="J14" s="290"/>
      <c r="K14" s="399" t="s">
        <v>555</v>
      </c>
      <c r="L14" s="633">
        <f>50%*(1/6)</f>
        <v>8.3333333333333329E-2</v>
      </c>
      <c r="M14" s="628">
        <f>'Cropping GMs - N cost Grain £'!M129</f>
        <v>976.32249999999988</v>
      </c>
      <c r="N14" s="628">
        <f>'Cropping GMs - N cost Grain £'!M127</f>
        <v>1145.1099999999999</v>
      </c>
      <c r="O14" s="628">
        <f>'Cropping GMs - baseline'!M116</f>
        <v>111.92</v>
      </c>
      <c r="P14" s="16">
        <f>'Cropping GMs - N cost Grain £'!M87</f>
        <v>3.3757500000000005</v>
      </c>
      <c r="R14" s="267" t="s">
        <v>552</v>
      </c>
      <c r="S14" s="2">
        <v>6</v>
      </c>
      <c r="T14" s="637">
        <v>0.5</v>
      </c>
      <c r="U14" s="2" t="s">
        <v>556</v>
      </c>
    </row>
    <row r="15" spans="1:26" x14ac:dyDescent="0.25">
      <c r="A15" s="290"/>
      <c r="B15" s="399" t="s">
        <v>557</v>
      </c>
      <c r="C15" s="623">
        <v>453.75148571428571</v>
      </c>
      <c r="D15" s="633">
        <v>0.13614211728899145</v>
      </c>
      <c r="E15" s="628">
        <f>'Cropping GMs - N cost Grain £'!N77</f>
        <v>1761.9309636425478</v>
      </c>
      <c r="F15" s="628">
        <f>'Cropping GMs - N cost Grain £'!N75</f>
        <v>2136.5302508574728</v>
      </c>
      <c r="G15" s="628">
        <f>'Cropping GMs - N cost Grain £'!N70</f>
        <v>374.59928721492491</v>
      </c>
      <c r="H15" s="16">
        <f>'Cropping GMs - N cost Grain £'!N4</f>
        <v>6.5959857442984982</v>
      </c>
      <c r="J15" s="290"/>
      <c r="K15" s="399" t="s">
        <v>557</v>
      </c>
      <c r="L15" s="633">
        <v>0</v>
      </c>
      <c r="M15" s="628"/>
      <c r="N15" s="628"/>
      <c r="O15" s="628"/>
      <c r="P15" s="16"/>
      <c r="R15" s="267" t="s">
        <v>555</v>
      </c>
      <c r="S15" s="2">
        <v>4</v>
      </c>
      <c r="T15" s="637">
        <v>0.3</v>
      </c>
      <c r="U15" s="2" t="s">
        <v>556</v>
      </c>
    </row>
    <row r="16" spans="1:26" x14ac:dyDescent="0.25">
      <c r="A16" s="290"/>
      <c r="B16" s="399" t="s">
        <v>558</v>
      </c>
      <c r="C16" s="623">
        <v>124.49</v>
      </c>
      <c r="D16" s="633">
        <v>3.735157396702922E-2</v>
      </c>
      <c r="E16" s="628">
        <f>'Cropping GMs - N cost Grain £'!O77</f>
        <v>1302.5767193510069</v>
      </c>
      <c r="F16" s="628">
        <f>'Cropping GMs - N cost Grain £'!O75</f>
        <v>1754.7069167698085</v>
      </c>
      <c r="G16" s="628">
        <f>'Cropping GMs - N cost Grain £'!O70</f>
        <v>452.13019741880146</v>
      </c>
      <c r="H16" s="16">
        <f>'Cropping GMs - N cost Grain £'!O4</f>
        <v>9.7397572118563573</v>
      </c>
      <c r="J16" s="290"/>
      <c r="K16" s="399" t="s">
        <v>558</v>
      </c>
      <c r="L16" s="633">
        <v>0</v>
      </c>
      <c r="M16" s="628">
        <f>'Cropping GMs - N cost Grain £'!O129</f>
        <v>1058.0300999999999</v>
      </c>
      <c r="N16" s="628">
        <f>'Cropping GMs - N cost Grain £'!O127</f>
        <v>1238.94</v>
      </c>
      <c r="O16" s="628">
        <f>'Cropping GMs - baseline'!O116</f>
        <v>123.0534</v>
      </c>
      <c r="P16" s="16">
        <f>'Cropping GMs - N cost Grain £'!O87</f>
        <v>3.618198</v>
      </c>
      <c r="R16" s="267" t="s">
        <v>559</v>
      </c>
      <c r="S16" s="2">
        <v>8</v>
      </c>
      <c r="T16" s="637">
        <v>0.5</v>
      </c>
      <c r="U16" s="2" t="s">
        <v>560</v>
      </c>
    </row>
    <row r="17" spans="1:26" x14ac:dyDescent="0.25">
      <c r="A17" s="290"/>
      <c r="B17" s="399" t="s">
        <v>561</v>
      </c>
      <c r="C17" s="623"/>
      <c r="D17" s="633"/>
      <c r="E17" s="628"/>
      <c r="F17" s="628"/>
      <c r="G17" s="628"/>
      <c r="H17" s="16"/>
      <c r="J17" s="290"/>
      <c r="K17" s="399" t="s">
        <v>561</v>
      </c>
      <c r="L17" s="633">
        <v>0</v>
      </c>
      <c r="M17" s="628">
        <f>'Cropping GMs - N cost Grain £'!P129</f>
        <v>960.91</v>
      </c>
      <c r="N17" s="634"/>
      <c r="O17" s="634"/>
      <c r="P17" s="635"/>
      <c r="R17" s="267" t="s">
        <v>561</v>
      </c>
      <c r="S17" s="2">
        <v>8</v>
      </c>
      <c r="T17" s="637">
        <v>0.5</v>
      </c>
      <c r="U17" s="2" t="s">
        <v>560</v>
      </c>
    </row>
    <row r="18" spans="1:26" x14ac:dyDescent="0.25">
      <c r="A18" s="290"/>
      <c r="B18" s="399" t="s">
        <v>562</v>
      </c>
      <c r="C18" s="623">
        <v>519.13571428571424</v>
      </c>
      <c r="D18" s="633">
        <v>0.15575978818434738</v>
      </c>
      <c r="E18" s="628">
        <f>'Cropping GMs - N cost Grain £'!Q77</f>
        <v>2001.3915763346265</v>
      </c>
      <c r="F18" s="628">
        <f>'Cropping GMs - N cost Grain £'!Q75</f>
        <v>2582.5061240321888</v>
      </c>
      <c r="G18" s="628">
        <f>'Cropping GMs - N cost Grain £'!Q70</f>
        <v>581.11454769756233</v>
      </c>
      <c r="H18" s="16">
        <f>'Cropping GMs - N cost Grain £'!Q4</f>
        <v>12.131184059215649</v>
      </c>
      <c r="J18" s="290"/>
      <c r="K18" s="399" t="s">
        <v>562</v>
      </c>
      <c r="L18" s="633">
        <v>0</v>
      </c>
      <c r="M18" s="628"/>
      <c r="N18" s="628"/>
      <c r="O18" s="628"/>
      <c r="P18" s="16"/>
      <c r="R18" s="267" t="s">
        <v>563</v>
      </c>
      <c r="S18" s="2">
        <v>0</v>
      </c>
      <c r="T18" s="637">
        <v>0.25</v>
      </c>
      <c r="U18" s="2" t="s">
        <v>564</v>
      </c>
    </row>
    <row r="19" spans="1:26" x14ac:dyDescent="0.25">
      <c r="A19" s="290"/>
      <c r="B19" s="399" t="s">
        <v>565</v>
      </c>
      <c r="C19" s="623">
        <v>8.9548571428571417</v>
      </c>
      <c r="D19" s="633">
        <v>2.6867861590136439E-3</v>
      </c>
      <c r="E19" s="628">
        <f>'Cropping GMs - N cost Grain £'!R77</f>
        <v>1338.8705900032644</v>
      </c>
      <c r="F19" s="628">
        <f>'Cropping GMs - N cost Grain £'!R75</f>
        <v>1678.6289806209229</v>
      </c>
      <c r="G19" s="628">
        <f>'Cropping GMs - N cost Grain £'!R70</f>
        <v>339.75839061765856</v>
      </c>
      <c r="H19" s="16">
        <f>'Cropping GMs - N cost Grain £'!R4</f>
        <v>5.7711678123531716</v>
      </c>
      <c r="J19" s="290"/>
      <c r="K19" s="399" t="s">
        <v>565</v>
      </c>
      <c r="L19" s="633">
        <v>0</v>
      </c>
      <c r="M19" s="628"/>
      <c r="N19" s="628"/>
      <c r="O19" s="628"/>
      <c r="P19" s="16"/>
      <c r="R19" s="267" t="s">
        <v>566</v>
      </c>
      <c r="S19" s="2">
        <v>0</v>
      </c>
      <c r="T19" s="637">
        <v>0.25</v>
      </c>
      <c r="U19" s="2" t="s">
        <v>564</v>
      </c>
    </row>
    <row r="20" spans="1:26" x14ac:dyDescent="0.25">
      <c r="A20" s="290"/>
      <c r="B20" s="399" t="s">
        <v>563</v>
      </c>
      <c r="C20" s="623">
        <v>47.277471428571445</v>
      </c>
      <c r="D20" s="633">
        <v>1.4184978480507648E-2</v>
      </c>
      <c r="E20" s="628">
        <f>'Cropping GMs - N cost Grain £'!S77</f>
        <v>1308.0194841323641</v>
      </c>
      <c r="F20" s="628">
        <f>'Cropping GMs - N cost Grain £'!S75</f>
        <v>1588.2754124999999</v>
      </c>
      <c r="G20" s="628">
        <f>'Cropping GMs - N cost Grain £'!S70</f>
        <v>280.2559283676357</v>
      </c>
      <c r="H20" s="16">
        <f>'Cropping GMs - N cost Grain £'!S4</f>
        <v>7.3987565089055831</v>
      </c>
      <c r="J20" s="290"/>
      <c r="K20" s="399" t="s">
        <v>563</v>
      </c>
      <c r="L20" s="633">
        <f>T18*(1/6)</f>
        <v>4.1666666666666664E-2</v>
      </c>
      <c r="M20" s="628">
        <f>'Cropping GMs - N cost Grain £'!S129</f>
        <v>1095.8899999999999</v>
      </c>
      <c r="N20" s="628">
        <f>'Cropping GMs - N cost Grain £'!S127</f>
        <v>1392.125</v>
      </c>
      <c r="O20" s="628">
        <f>'Cropping GMs - baseline'!S116</f>
        <v>177.89999999999998</v>
      </c>
      <c r="P20" s="16">
        <f>'Cropping GMs - N cost Grain £'!S87</f>
        <v>7.8206040000000012</v>
      </c>
      <c r="R20" s="267" t="s">
        <v>567</v>
      </c>
      <c r="S20" s="2">
        <v>0</v>
      </c>
      <c r="T20" s="637">
        <v>0.25</v>
      </c>
      <c r="U20" s="2" t="s">
        <v>564</v>
      </c>
    </row>
    <row r="21" spans="1:26" x14ac:dyDescent="0.25">
      <c r="A21" s="290"/>
      <c r="B21" s="399" t="s">
        <v>566</v>
      </c>
      <c r="C21" s="623">
        <v>55.157049999999991</v>
      </c>
      <c r="D21" s="633">
        <v>1.654914156059225E-2</v>
      </c>
      <c r="E21" s="628">
        <f>'Cropping GMs - N cost Grain £'!T77</f>
        <v>1182.75701424106</v>
      </c>
      <c r="F21" s="628">
        <f>'Cropping GMs - N cost Grain £'!T75</f>
        <v>1460.3139699999999</v>
      </c>
      <c r="G21" s="628">
        <f>'Cropping GMs - N cost Grain £'!T70</f>
        <v>277.55695575894003</v>
      </c>
      <c r="H21" s="16">
        <f>'Cropping GMs - N cost Grain £'!T4</f>
        <v>5.5511391151788008</v>
      </c>
      <c r="J21" s="290"/>
      <c r="K21" s="399" t="s">
        <v>566</v>
      </c>
      <c r="L21" s="633">
        <f t="shared" ref="L21:L23" si="0">T19*(1/6)</f>
        <v>4.1666666666666664E-2</v>
      </c>
      <c r="M21" s="628">
        <f>'Cropping GMs - N cost Grain £'!T129</f>
        <v>277.54999999999995</v>
      </c>
      <c r="N21" s="628">
        <f>'Cropping GMs - N cost Grain £'!T127</f>
        <v>606.29999999999995</v>
      </c>
      <c r="O21" s="628">
        <f>'Cropping GMs - baseline'!T116</f>
        <v>185</v>
      </c>
      <c r="P21" s="16">
        <f>'Cropping GMs - N cost Grain £'!T87</f>
        <v>8.6790000000000003</v>
      </c>
      <c r="R21" s="267" t="s">
        <v>568</v>
      </c>
      <c r="S21" s="2">
        <v>0</v>
      </c>
      <c r="T21" s="637">
        <v>0.25</v>
      </c>
      <c r="U21" s="2" t="s">
        <v>564</v>
      </c>
    </row>
    <row r="22" spans="1:26" x14ac:dyDescent="0.25">
      <c r="A22" s="290"/>
      <c r="B22" s="399" t="s">
        <v>569</v>
      </c>
      <c r="C22" s="623">
        <v>55.157049999999991</v>
      </c>
      <c r="D22" s="633">
        <v>1.654914156059225E-2</v>
      </c>
      <c r="E22" s="628">
        <f>'Cropping GMs - N cost Grain £'!U77</f>
        <v>1159.79163174106</v>
      </c>
      <c r="F22" s="628">
        <f>'Cropping GMs - N cost Grain £'!U75</f>
        <v>1437.0110875</v>
      </c>
      <c r="G22" s="628">
        <f>'Cropping GMs - N cost Grain £'!U70</f>
        <v>277.21945575894006</v>
      </c>
      <c r="H22" s="16">
        <f>'Cropping GMs - N cost Grain £'!U4</f>
        <v>5.5443891151788014</v>
      </c>
      <c r="J22" s="290"/>
      <c r="K22" s="399" t="s">
        <v>569</v>
      </c>
      <c r="L22" s="633">
        <f t="shared" si="0"/>
        <v>4.1666666666666664E-2</v>
      </c>
      <c r="M22" s="628">
        <f>'Cropping GMs - N cost Grain £'!U129</f>
        <v>466.75</v>
      </c>
      <c r="N22" s="628">
        <f>'Cropping GMs - N cost Grain £'!U127</f>
        <v>795.5</v>
      </c>
      <c r="O22" s="628">
        <f>'Cropping GMs - baseline'!U116</f>
        <v>185</v>
      </c>
      <c r="P22" s="16">
        <f>'Cropping GMs - N cost Grain £'!U87</f>
        <v>6.5750000000000002</v>
      </c>
      <c r="R22" s="267" t="s">
        <v>570</v>
      </c>
      <c r="S22" s="2">
        <v>2</v>
      </c>
      <c r="T22" s="637">
        <v>0.2</v>
      </c>
      <c r="U22" s="2" t="s">
        <v>556</v>
      </c>
    </row>
    <row r="23" spans="1:26" x14ac:dyDescent="0.25">
      <c r="A23" s="290"/>
      <c r="B23" s="399" t="s">
        <v>571</v>
      </c>
      <c r="C23" s="623">
        <v>41.674571428571426</v>
      </c>
      <c r="D23" s="633">
        <v>1.2503902620760931E-2</v>
      </c>
      <c r="E23" s="628">
        <f>'Cropping GMs - N cost Grain £'!V77</f>
        <v>1199.8520417156285</v>
      </c>
      <c r="F23" s="628">
        <f>'Cropping GMs - N cost Grain £'!V75</f>
        <v>1488.9108333333331</v>
      </c>
      <c r="G23" s="628">
        <f>'Cropping GMs - N cost Grain £'!V70</f>
        <v>289.05879161770463</v>
      </c>
      <c r="H23" s="16">
        <f>'Cropping GMs - N cost Grain £'!V4</f>
        <v>5.7811758323540925</v>
      </c>
      <c r="J23" s="290"/>
      <c r="K23" s="399" t="s">
        <v>568</v>
      </c>
      <c r="L23" s="633">
        <f t="shared" si="0"/>
        <v>4.1666666666666664E-2</v>
      </c>
      <c r="M23" s="628">
        <f>'Cropping GMs - N cost Grain £'!V129</f>
        <v>413.06157997499997</v>
      </c>
      <c r="N23" s="628">
        <f>'Cropping GMs - N cost Grain £'!V127</f>
        <v>795.5</v>
      </c>
      <c r="O23" s="628">
        <f>'Cropping GMs - baseline'!V116</f>
        <v>221.150920025</v>
      </c>
      <c r="P23" s="16">
        <f>'Cropping GMs - N cost Grain £'!V87</f>
        <v>7.6487684005000007</v>
      </c>
      <c r="R23" s="267" t="s">
        <v>572</v>
      </c>
      <c r="S23" s="2">
        <v>2</v>
      </c>
      <c r="T23" s="637">
        <v>0.33</v>
      </c>
      <c r="U23" s="2" t="s">
        <v>573</v>
      </c>
    </row>
    <row r="24" spans="1:26" x14ac:dyDescent="0.25">
      <c r="A24" s="290"/>
      <c r="B24" s="399" t="s">
        <v>574</v>
      </c>
      <c r="C24" s="623">
        <v>4.7142857142857144</v>
      </c>
      <c r="D24" s="633">
        <v>1.4144589248843446E-3</v>
      </c>
      <c r="E24" s="628">
        <f>'Cropping GMs - N cost Grain £'!W77</f>
        <v>1252.5150856389987</v>
      </c>
      <c r="F24" s="628">
        <f>'Cropping GMs - N cost Grain £'!W75</f>
        <v>1505</v>
      </c>
      <c r="G24" s="628">
        <f>'Cropping GMs - N cost Grain £'!W70</f>
        <v>252.48491436100133</v>
      </c>
      <c r="H24" s="16">
        <f>'Cropping GMs - N cost Grain £'!W4</f>
        <v>4.409698287220027</v>
      </c>
      <c r="J24" s="290"/>
      <c r="K24" s="399" t="s">
        <v>574</v>
      </c>
      <c r="L24" s="633">
        <v>0</v>
      </c>
      <c r="M24" s="628"/>
      <c r="N24" s="628"/>
      <c r="O24" s="628"/>
      <c r="P24" s="16"/>
    </row>
    <row r="25" spans="1:26" x14ac:dyDescent="0.25">
      <c r="A25" s="290"/>
      <c r="B25" s="399" t="s">
        <v>575</v>
      </c>
      <c r="C25" s="623">
        <v>17.434571428571427</v>
      </c>
      <c r="D25" s="633">
        <v>5.2310120033556111E-3</v>
      </c>
      <c r="E25" s="628">
        <f>'Cropping GMs - N cost Grain £'!X77</f>
        <v>1616.8107378129116</v>
      </c>
      <c r="F25" s="628">
        <f>'Cropping GMs - N cost Grain £'!X75</f>
        <v>1935</v>
      </c>
      <c r="G25" s="628">
        <f>'Cropping GMs - N cost Grain £'!X70</f>
        <v>318.18926218708827</v>
      </c>
      <c r="H25" s="16">
        <f>'Cropping GMs - N cost Grain £'!X4</f>
        <v>7.0485165217391303</v>
      </c>
      <c r="J25" s="290"/>
      <c r="K25" s="399" t="s">
        <v>575</v>
      </c>
      <c r="L25" s="633">
        <v>0</v>
      </c>
      <c r="M25" s="628"/>
      <c r="N25" s="628"/>
      <c r="O25" s="628"/>
      <c r="P25" s="16"/>
    </row>
    <row r="26" spans="1:26" x14ac:dyDescent="0.25">
      <c r="A26" s="290"/>
      <c r="B26" s="399" t="s">
        <v>576</v>
      </c>
      <c r="C26" s="623"/>
      <c r="D26" s="633"/>
      <c r="E26" s="628"/>
      <c r="F26" s="628"/>
      <c r="G26" s="628"/>
      <c r="H26" s="16"/>
      <c r="J26" s="290"/>
      <c r="K26" s="399" t="s">
        <v>576</v>
      </c>
      <c r="L26" s="633">
        <v>0.33300000000000002</v>
      </c>
      <c r="M26" s="628">
        <v>0</v>
      </c>
      <c r="N26" s="628">
        <v>0</v>
      </c>
      <c r="O26" s="628">
        <f>(Forage!V29)</f>
        <v>125.66500000000001</v>
      </c>
      <c r="P26" s="16">
        <f>Forage!V6</f>
        <v>2.5133000000000001</v>
      </c>
    </row>
    <row r="27" spans="1:26" x14ac:dyDescent="0.25">
      <c r="A27" s="290"/>
      <c r="B27" s="399"/>
      <c r="C27" s="623"/>
      <c r="D27" s="633"/>
      <c r="E27" s="628"/>
      <c r="F27" s="628"/>
      <c r="G27" s="628"/>
      <c r="H27" s="16"/>
      <c r="J27" s="290"/>
      <c r="K27" s="399"/>
      <c r="L27" s="633"/>
      <c r="M27" s="628"/>
      <c r="N27" s="628"/>
      <c r="O27" s="628"/>
      <c r="P27" s="16"/>
    </row>
    <row r="28" spans="1:26" ht="11" thickBot="1" x14ac:dyDescent="0.3">
      <c r="A28" s="290"/>
      <c r="B28" s="400" t="s">
        <v>246</v>
      </c>
      <c r="C28" s="631">
        <v>3332.9251428571424</v>
      </c>
      <c r="D28" s="632">
        <v>1.0000000000000004</v>
      </c>
      <c r="E28" s="629">
        <f>SUMPRODUCT($D$5:$D$25,E5:E25)</f>
        <v>1935.3762741692253</v>
      </c>
      <c r="F28" s="629">
        <f>SUMPRODUCT($D$5:$D$25,F5:F25)</f>
        <v>2520.3859515577442</v>
      </c>
      <c r="G28" s="629">
        <f>SUMPRODUCT($D$5:$D$25,G5:G25)</f>
        <v>585.00967738851853</v>
      </c>
      <c r="H28" s="630">
        <f>SUMPRODUCT($D$5:$D$25,H5:H25)</f>
        <v>12.310829381613869</v>
      </c>
      <c r="J28" s="290"/>
      <c r="K28" s="400" t="s">
        <v>246</v>
      </c>
      <c r="L28" s="632">
        <f>SUM(L5:L26)</f>
        <v>0.99966666666666648</v>
      </c>
      <c r="M28" s="629">
        <f>SUMPRODUCT($L$5:$L$26,M5:M26)</f>
        <v>774.35017416562471</v>
      </c>
      <c r="N28" s="629">
        <f>SUMPRODUCT($L$5:$L$26,N5:N26)</f>
        <v>919.57404166666674</v>
      </c>
      <c r="O28" s="629">
        <f>SUMPRODUCT($L$5:$L$26,O5:O26)</f>
        <v>134.18900000104165</v>
      </c>
      <c r="P28" s="630">
        <f>SUMPRODUCT($L$5:$L$26,P5:P26)</f>
        <v>4.2871292900208333</v>
      </c>
    </row>
    <row r="29" spans="1:26" s="235" customFormat="1" x14ac:dyDescent="0.25">
      <c r="A29" s="290"/>
      <c r="B29" s="340"/>
      <c r="C29" s="621"/>
      <c r="D29" s="92"/>
      <c r="E29" s="622"/>
      <c r="F29" s="622"/>
      <c r="G29" s="622"/>
      <c r="H29" s="622"/>
      <c r="J29" s="290"/>
      <c r="K29" s="340"/>
      <c r="L29" s="92"/>
      <c r="M29" s="622"/>
      <c r="N29" s="622"/>
      <c r="O29" s="622"/>
      <c r="P29" s="622"/>
      <c r="R29" s="267"/>
      <c r="S29" s="2"/>
      <c r="T29" s="2"/>
      <c r="U29" s="2"/>
      <c r="V29" s="2"/>
      <c r="W29" s="2"/>
      <c r="X29" s="2"/>
      <c r="Y29" s="2"/>
      <c r="Z29" s="2"/>
    </row>
    <row r="30" spans="1:26" s="235" customFormat="1" x14ac:dyDescent="0.25">
      <c r="A30" s="290"/>
      <c r="B30" s="340"/>
      <c r="C30" s="621"/>
      <c r="D30" s="92"/>
      <c r="E30" s="622"/>
      <c r="F30" s="622"/>
      <c r="G30" s="622"/>
      <c r="H30" s="622"/>
      <c r="J30" s="290"/>
      <c r="K30" s="340"/>
      <c r="L30" s="92"/>
      <c r="M30" s="622"/>
      <c r="N30" s="622"/>
      <c r="O30" s="622"/>
      <c r="P30" s="622"/>
      <c r="R30" s="267"/>
      <c r="S30" s="2"/>
      <c r="T30" s="2"/>
      <c r="U30" s="2"/>
      <c r="V30" s="2"/>
      <c r="W30" s="2"/>
      <c r="X30" s="2"/>
      <c r="Y30" s="2"/>
      <c r="Z30" s="2"/>
    </row>
    <row r="31" spans="1:26" s="235" customFormat="1" ht="11" thickBot="1" x14ac:dyDescent="0.3">
      <c r="A31" s="290"/>
      <c r="B31" s="340"/>
      <c r="C31" s="621"/>
      <c r="D31" s="92"/>
      <c r="E31" s="622"/>
      <c r="F31" s="622"/>
      <c r="G31" s="622"/>
      <c r="H31" s="622"/>
      <c r="J31" s="290"/>
      <c r="K31" s="340"/>
      <c r="L31" s="92"/>
      <c r="M31" s="622"/>
      <c r="N31" s="622"/>
      <c r="O31" s="622"/>
      <c r="P31" s="622"/>
      <c r="R31" s="267"/>
      <c r="S31" s="2"/>
      <c r="T31" s="2"/>
      <c r="U31" s="2"/>
      <c r="V31" s="2"/>
      <c r="W31" s="2"/>
      <c r="X31" s="2"/>
      <c r="Y31" s="2"/>
      <c r="Z31" s="2"/>
    </row>
    <row r="32" spans="1:26" s="235" customFormat="1" ht="20.5" customHeight="1" x14ac:dyDescent="0.25">
      <c r="A32" s="290"/>
      <c r="B32" s="396" t="s">
        <v>528</v>
      </c>
      <c r="C32" s="1495" t="s">
        <v>196</v>
      </c>
      <c r="D32" s="1495"/>
      <c r="E32" s="1495"/>
      <c r="F32" s="1495"/>
      <c r="G32" s="1495"/>
      <c r="H32" s="1496"/>
      <c r="J32" s="290"/>
      <c r="K32" s="396" t="s">
        <v>528</v>
      </c>
      <c r="L32" s="1495" t="s">
        <v>74</v>
      </c>
      <c r="M32" s="1495"/>
      <c r="N32" s="1495"/>
      <c r="O32" s="1495"/>
      <c r="P32" s="1496"/>
      <c r="R32" s="349" t="s">
        <v>577</v>
      </c>
      <c r="S32" s="2"/>
      <c r="T32" s="2"/>
      <c r="U32" s="2"/>
      <c r="V32" s="2"/>
      <c r="W32" s="2"/>
      <c r="X32" s="2"/>
      <c r="Y32" s="2"/>
      <c r="Z32" s="2"/>
    </row>
    <row r="33" spans="1:38" s="235" customFormat="1" ht="31.5" x14ac:dyDescent="0.25">
      <c r="A33" s="290"/>
      <c r="B33" s="397" t="s">
        <v>530</v>
      </c>
      <c r="C33" s="393" t="s">
        <v>531</v>
      </c>
      <c r="D33" s="4" t="s">
        <v>532</v>
      </c>
      <c r="E33" s="4" t="s">
        <v>533</v>
      </c>
      <c r="F33" s="4" t="s">
        <v>534</v>
      </c>
      <c r="G33" s="4" t="s">
        <v>536</v>
      </c>
      <c r="H33" s="394" t="s">
        <v>216</v>
      </c>
      <c r="J33" s="290"/>
      <c r="K33" s="397" t="s">
        <v>530</v>
      </c>
      <c r="L33" s="4" t="s">
        <v>532</v>
      </c>
      <c r="M33" s="4" t="s">
        <v>533</v>
      </c>
      <c r="N33" s="4" t="s">
        <v>534</v>
      </c>
      <c r="O33" s="4" t="s">
        <v>536</v>
      </c>
      <c r="P33" s="394" t="s">
        <v>216</v>
      </c>
      <c r="R33" s="267"/>
      <c r="S33" s="2"/>
      <c r="T33" s="2"/>
      <c r="U33" s="2"/>
      <c r="V33" s="2"/>
      <c r="W33" s="2"/>
      <c r="X33" s="2"/>
      <c r="Y33" s="2"/>
      <c r="Z33" s="2"/>
    </row>
    <row r="34" spans="1:38" s="235" customFormat="1" x14ac:dyDescent="0.25">
      <c r="A34" s="290"/>
      <c r="B34" s="398"/>
      <c r="C34" s="173"/>
      <c r="D34" s="174"/>
      <c r="E34" s="174" t="s">
        <v>538</v>
      </c>
      <c r="F34" s="174"/>
      <c r="G34" s="174"/>
      <c r="H34" s="395" t="s">
        <v>538</v>
      </c>
      <c r="J34" s="290"/>
      <c r="K34" s="398"/>
      <c r="L34" s="174"/>
      <c r="M34" s="174" t="s">
        <v>538</v>
      </c>
      <c r="N34" s="174"/>
      <c r="O34" s="174"/>
      <c r="P34" s="395" t="s">
        <v>538</v>
      </c>
      <c r="R34" s="267"/>
      <c r="S34" s="2"/>
      <c r="T34" s="2"/>
      <c r="U34" s="2"/>
      <c r="V34" s="2"/>
      <c r="W34" s="2"/>
      <c r="X34" s="2"/>
      <c r="Y34" s="2"/>
      <c r="Z34" s="2"/>
    </row>
    <row r="35" spans="1:38" s="235" customFormat="1" x14ac:dyDescent="0.25">
      <c r="A35" s="290"/>
      <c r="B35" s="399" t="s">
        <v>541</v>
      </c>
      <c r="C35" s="623">
        <v>643.09457370199993</v>
      </c>
      <c r="D35" s="633">
        <v>0.19295200046128508</v>
      </c>
      <c r="E35" s="628">
        <f>E5</f>
        <v>2218.0652724492656</v>
      </c>
      <c r="F35" s="628">
        <f>F5</f>
        <v>2914.6101869297249</v>
      </c>
      <c r="G35" s="628">
        <f>G5</f>
        <v>696.54491448045928</v>
      </c>
      <c r="H35" s="16">
        <v>15.178545742284125</v>
      </c>
      <c r="J35" s="290"/>
      <c r="K35" s="399" t="s">
        <v>541</v>
      </c>
      <c r="L35" s="633">
        <f>80%*(2/6)</f>
        <v>0.26666666666666666</v>
      </c>
      <c r="M35" s="628">
        <f t="shared" ref="M35:P50" si="1">M5</f>
        <v>1670.9039999999995</v>
      </c>
      <c r="N35" s="628">
        <f>N5</f>
        <v>1840.3999999999996</v>
      </c>
      <c r="O35" s="628">
        <f t="shared" si="1"/>
        <v>111.536</v>
      </c>
      <c r="P35" s="16">
        <f t="shared" si="1"/>
        <v>4.4746944000000006</v>
      </c>
      <c r="R35" s="267"/>
      <c r="S35" s="2"/>
      <c r="T35" s="2"/>
      <c r="U35" s="2"/>
      <c r="V35" s="2"/>
      <c r="W35" s="2"/>
      <c r="X35" s="2"/>
      <c r="Y35" s="2"/>
      <c r="Z35" s="2"/>
    </row>
    <row r="36" spans="1:38" s="235" customFormat="1" x14ac:dyDescent="0.25">
      <c r="A36" s="290"/>
      <c r="B36" s="399" t="s">
        <v>543</v>
      </c>
      <c r="C36" s="623">
        <v>131.71816569799998</v>
      </c>
      <c r="D36" s="633">
        <v>3.952028925110658E-2</v>
      </c>
      <c r="E36" s="628">
        <f t="shared" ref="E36:F55" si="2">E6</f>
        <v>1947.1264468628315</v>
      </c>
      <c r="F36" s="628">
        <f t="shared" si="2"/>
        <v>2656.9932659831611</v>
      </c>
      <c r="G36" s="628">
        <f t="shared" ref="G36:G55" si="3">G6</f>
        <v>709.86681912032952</v>
      </c>
      <c r="H36" s="16">
        <v>15.5302440247767</v>
      </c>
      <c r="J36" s="290"/>
      <c r="K36" s="399" t="s">
        <v>543</v>
      </c>
      <c r="L36" s="633">
        <f>L6</f>
        <v>0</v>
      </c>
      <c r="M36" s="628">
        <f t="shared" si="1"/>
        <v>0</v>
      </c>
      <c r="N36" s="628">
        <f t="shared" si="1"/>
        <v>0</v>
      </c>
      <c r="O36" s="628">
        <f t="shared" si="1"/>
        <v>0</v>
      </c>
      <c r="P36" s="16">
        <f t="shared" si="1"/>
        <v>0</v>
      </c>
      <c r="R36" s="267"/>
      <c r="S36" s="2"/>
      <c r="T36" s="2"/>
      <c r="U36" s="2"/>
      <c r="V36" s="2"/>
      <c r="W36" s="2"/>
      <c r="X36" s="2"/>
      <c r="Y36" s="2"/>
      <c r="Z36" s="2"/>
    </row>
    <row r="37" spans="1:38" s="235" customFormat="1" x14ac:dyDescent="0.25">
      <c r="A37" s="290"/>
      <c r="B37" s="399" t="s">
        <v>544</v>
      </c>
      <c r="C37" s="623">
        <v>538.09954126085711</v>
      </c>
      <c r="D37" s="633">
        <v>0.16144963303903445</v>
      </c>
      <c r="E37" s="628">
        <f t="shared" si="2"/>
        <v>2185.2680535755862</v>
      </c>
      <c r="F37" s="628">
        <f t="shared" si="2"/>
        <v>2933.0799172971729</v>
      </c>
      <c r="G37" s="628">
        <f t="shared" si="3"/>
        <v>747.81186372158686</v>
      </c>
      <c r="H37" s="16">
        <v>15.856153202249894</v>
      </c>
      <c r="J37" s="290"/>
      <c r="K37" s="399" t="s">
        <v>544</v>
      </c>
      <c r="L37" s="633">
        <f>L7</f>
        <v>0</v>
      </c>
      <c r="M37" s="628">
        <f t="shared" si="1"/>
        <v>0</v>
      </c>
      <c r="N37" s="628">
        <f t="shared" si="1"/>
        <v>0</v>
      </c>
      <c r="O37" s="628">
        <f t="shared" si="1"/>
        <v>0</v>
      </c>
      <c r="P37" s="16">
        <f t="shared" si="1"/>
        <v>0</v>
      </c>
      <c r="R37" s="267"/>
      <c r="S37" s="2"/>
      <c r="T37" s="2"/>
      <c r="U37" s="2"/>
      <c r="V37" s="2"/>
      <c r="W37" s="2"/>
      <c r="X37" s="2"/>
      <c r="Y37" s="2"/>
      <c r="Z37" s="2"/>
    </row>
    <row r="38" spans="1:38" s="235" customFormat="1" x14ac:dyDescent="0.25">
      <c r="A38" s="290"/>
      <c r="B38" s="399" t="s">
        <v>546</v>
      </c>
      <c r="C38" s="623">
        <v>110.21315905342857</v>
      </c>
      <c r="D38" s="633">
        <v>3.3067997128476939E-2</v>
      </c>
      <c r="E38" s="628">
        <f t="shared" si="2"/>
        <v>1897.5506993344518</v>
      </c>
      <c r="F38" s="628">
        <f t="shared" si="2"/>
        <v>2673.728545793741</v>
      </c>
      <c r="G38" s="628">
        <f t="shared" si="3"/>
        <v>776.17784645928919</v>
      </c>
      <c r="H38" s="16">
        <v>16.605015146525233</v>
      </c>
      <c r="J38" s="290"/>
      <c r="K38" s="399" t="s">
        <v>546</v>
      </c>
      <c r="L38" s="633">
        <f>L8</f>
        <v>0</v>
      </c>
      <c r="M38" s="628">
        <f t="shared" si="1"/>
        <v>0</v>
      </c>
      <c r="N38" s="628">
        <f t="shared" si="1"/>
        <v>0</v>
      </c>
      <c r="O38" s="628">
        <f t="shared" si="1"/>
        <v>0</v>
      </c>
      <c r="P38" s="16">
        <f t="shared" si="1"/>
        <v>0</v>
      </c>
      <c r="R38" s="267"/>
      <c r="S38" s="2"/>
      <c r="T38" s="2"/>
      <c r="U38" s="2"/>
      <c r="V38" s="2"/>
      <c r="W38" s="2"/>
      <c r="X38" s="2"/>
      <c r="Y38" s="2"/>
      <c r="Z38" s="2"/>
    </row>
    <row r="39" spans="1:38" s="235" customFormat="1" x14ac:dyDescent="0.25">
      <c r="A39" s="290"/>
      <c r="B39" s="399" t="s">
        <v>548</v>
      </c>
      <c r="C39" s="623">
        <v>131.24379055142856</v>
      </c>
      <c r="D39" s="633">
        <v>3.9377959277813276E-2</v>
      </c>
      <c r="E39" s="628">
        <f t="shared" si="2"/>
        <v>2180.5531931919013</v>
      </c>
      <c r="F39" s="628">
        <f t="shared" si="2"/>
        <v>2914.066959565976</v>
      </c>
      <c r="G39" s="628">
        <f t="shared" si="3"/>
        <v>733.51376637407452</v>
      </c>
      <c r="H39" s="16">
        <v>15.647643432275565</v>
      </c>
      <c r="J39" s="290"/>
      <c r="K39" s="399" t="s">
        <v>548</v>
      </c>
      <c r="L39" s="633">
        <f>L9</f>
        <v>0</v>
      </c>
      <c r="M39" s="628">
        <f t="shared" si="1"/>
        <v>0</v>
      </c>
      <c r="N39" s="628">
        <f t="shared" si="1"/>
        <v>0</v>
      </c>
      <c r="O39" s="628">
        <f t="shared" si="1"/>
        <v>0</v>
      </c>
      <c r="P39" s="16">
        <f t="shared" si="1"/>
        <v>0</v>
      </c>
      <c r="R39" s="267"/>
      <c r="S39" s="2"/>
      <c r="T39" s="2"/>
      <c r="U39" s="2"/>
      <c r="V39" s="2"/>
      <c r="W39" s="2"/>
      <c r="X39" s="2"/>
      <c r="Y39" s="2"/>
      <c r="Z39" s="2"/>
    </row>
    <row r="40" spans="1:38" s="235" customFormat="1" x14ac:dyDescent="0.25">
      <c r="A40" s="290"/>
      <c r="B40" s="399" t="s">
        <v>549</v>
      </c>
      <c r="C40" s="623">
        <v>26.881258305714283</v>
      </c>
      <c r="D40" s="633">
        <v>8.0653651532870563E-3</v>
      </c>
      <c r="E40" s="628">
        <f t="shared" si="2"/>
        <v>1897.4537675826823</v>
      </c>
      <c r="F40" s="628">
        <f t="shared" si="2"/>
        <v>2656.5010518710851</v>
      </c>
      <c r="G40" s="628">
        <f t="shared" si="3"/>
        <v>759.04728428840281</v>
      </c>
      <c r="H40" s="16">
        <v>16.321728305213831</v>
      </c>
      <c r="J40" s="290"/>
      <c r="K40" s="399" t="s">
        <v>549</v>
      </c>
      <c r="L40" s="633">
        <f>L10</f>
        <v>0</v>
      </c>
      <c r="M40" s="628">
        <f t="shared" si="1"/>
        <v>0</v>
      </c>
      <c r="N40" s="628">
        <f t="shared" si="1"/>
        <v>0</v>
      </c>
      <c r="O40" s="628">
        <f t="shared" si="1"/>
        <v>0</v>
      </c>
      <c r="P40" s="16">
        <f t="shared" si="1"/>
        <v>0</v>
      </c>
      <c r="R40" s="267"/>
      <c r="S40" s="2"/>
      <c r="T40" s="2"/>
      <c r="U40" s="2"/>
      <c r="V40" s="2"/>
      <c r="W40" s="2"/>
      <c r="X40" s="2"/>
      <c r="Y40" s="2"/>
      <c r="Z40" s="2"/>
    </row>
    <row r="41" spans="1:38" s="235" customFormat="1" x14ac:dyDescent="0.25">
      <c r="B41" s="399" t="s">
        <v>551</v>
      </c>
      <c r="C41" s="623">
        <v>48.90465428571428</v>
      </c>
      <c r="D41" s="633">
        <v>1.4673193123020721E-2</v>
      </c>
      <c r="E41" s="628">
        <f t="shared" si="2"/>
        <v>1727.3001999220198</v>
      </c>
      <c r="F41" s="628">
        <f t="shared" si="2"/>
        <v>2298.3660639246796</v>
      </c>
      <c r="G41" s="628">
        <f t="shared" si="3"/>
        <v>571.06586400265974</v>
      </c>
      <c r="H41" s="16">
        <v>8.9893172800531929</v>
      </c>
      <c r="K41" s="399" t="s">
        <v>551</v>
      </c>
      <c r="L41" s="633">
        <f>20%*(2/6)</f>
        <v>6.6666666666666666E-2</v>
      </c>
      <c r="M41" s="628">
        <f t="shared" si="1"/>
        <v>1080.1274999999998</v>
      </c>
      <c r="N41" s="628">
        <f t="shared" si="1"/>
        <v>1323.9699999999998</v>
      </c>
      <c r="O41" s="628">
        <f t="shared" si="1"/>
        <v>159.74875</v>
      </c>
      <c r="P41" s="16">
        <f t="shared" si="1"/>
        <v>4.8768500000000001</v>
      </c>
      <c r="R41" s="267"/>
      <c r="S41" s="2"/>
      <c r="T41" s="2"/>
      <c r="U41" s="2"/>
      <c r="V41" s="2"/>
      <c r="W41" s="2"/>
      <c r="X41" s="2"/>
      <c r="Y41" s="2"/>
      <c r="Z41" s="2"/>
    </row>
    <row r="42" spans="1:38" s="235" customFormat="1" x14ac:dyDescent="0.25">
      <c r="B42" s="399" t="s">
        <v>552</v>
      </c>
      <c r="C42" s="623">
        <v>175.57064285714287</v>
      </c>
      <c r="D42" s="633">
        <v>5.2677643610871905E-2</v>
      </c>
      <c r="E42" s="628">
        <f t="shared" si="2"/>
        <v>1707.0484641466644</v>
      </c>
      <c r="F42" s="628">
        <f t="shared" si="2"/>
        <v>2231.0884479391402</v>
      </c>
      <c r="G42" s="628">
        <f t="shared" si="3"/>
        <v>524.03998379247582</v>
      </c>
      <c r="H42" s="16">
        <v>11.469215572121362</v>
      </c>
      <c r="K42" s="399" t="s">
        <v>552</v>
      </c>
      <c r="L42" s="633">
        <v>0</v>
      </c>
      <c r="M42" s="628">
        <f t="shared" si="1"/>
        <v>978.2589999999999</v>
      </c>
      <c r="N42" s="628">
        <f t="shared" si="1"/>
        <v>1146.6099999999999</v>
      </c>
      <c r="O42" s="628">
        <f t="shared" si="1"/>
        <v>126.95099999999999</v>
      </c>
      <c r="P42" s="16">
        <f t="shared" si="1"/>
        <v>4.4444664000000005</v>
      </c>
      <c r="R42" s="628">
        <f>'Cropping GMs - N cost Grain £'!D78</f>
        <v>750.71973060313371</v>
      </c>
      <c r="S42" s="628">
        <f>'Cropping GMs - N cost Grain £'!E78</f>
        <v>617.57600226718716</v>
      </c>
      <c r="T42" s="628">
        <f>'Cropping GMs - N cost Grain £'!F78</f>
        <v>708.04335362593565</v>
      </c>
      <c r="U42" s="628">
        <f>'Cropping GMs - N cost Grain £'!G78</f>
        <v>559.04882600291603</v>
      </c>
      <c r="V42" s="628">
        <f>'Cropping GMs - N cost Grain £'!H78</f>
        <v>713.49821481940285</v>
      </c>
      <c r="W42" s="628">
        <f>'Cropping GMs - N cost Grain £'!I78</f>
        <v>568.16660030279968</v>
      </c>
      <c r="X42" s="628">
        <f>'Cropping GMs - N cost Grain £'!J78</f>
        <v>589.57360759021458</v>
      </c>
      <c r="Y42" s="628">
        <f>'Cropping GMs - N cost Grain £'!K78</f>
        <v>611.36031757456612</v>
      </c>
      <c r="Z42" s="628">
        <f>'Cropping GMs - N cost Grain £'!L78</f>
        <v>752.56895307672244</v>
      </c>
      <c r="AA42" s="628">
        <f>'Cropping GMs - N cost Grain £'!M78</f>
        <v>543.39199471547329</v>
      </c>
      <c r="AB42" s="628">
        <f>'Cropping GMs - N cost Grain £'!N78</f>
        <v>724.50352713738789</v>
      </c>
      <c r="AC42" s="628">
        <f>'Cropping GMs - N cost Grain £'!O78</f>
        <v>463.52660107878398</v>
      </c>
      <c r="AD42" s="628">
        <f>'Cropping GMs - N cost Grain £'!P78</f>
        <v>0</v>
      </c>
      <c r="AE42" s="628">
        <f>'Cropping GMs - N cost Grain £'!Q78</f>
        <v>620.05109138717671</v>
      </c>
      <c r="AF42" s="628">
        <f>'Cropping GMs - N cost Grain £'!R78</f>
        <v>440.99927478742194</v>
      </c>
      <c r="AG42" s="628">
        <f>'Cropping GMs - N cost Grain £'!S78</f>
        <v>458.47682163236431</v>
      </c>
      <c r="AH42" s="628">
        <f>'Cropping GMs - N cost Grain £'!T78</f>
        <v>401.65884424105991</v>
      </c>
      <c r="AI42" s="628">
        <f>'Cropping GMs - N cost Grain £'!U78</f>
        <v>391.15779424105995</v>
      </c>
      <c r="AJ42" s="628">
        <f>'Cropping GMs - N cost Grain £'!V78</f>
        <v>403.45787504896191</v>
      </c>
      <c r="AK42" s="628">
        <f>'Cropping GMs - N cost Grain £'!W78</f>
        <v>447.5150856389987</v>
      </c>
      <c r="AL42" s="628">
        <f>'Cropping GMs - N cost Grain £'!X78</f>
        <v>581.81073781291173</v>
      </c>
    </row>
    <row r="43" spans="1:38" s="235" customFormat="1" x14ac:dyDescent="0.25">
      <c r="B43" s="399" t="s">
        <v>554</v>
      </c>
      <c r="C43" s="623">
        <v>175.57064285714287</v>
      </c>
      <c r="D43" s="633">
        <v>5.2677643610871905E-2</v>
      </c>
      <c r="E43" s="628">
        <f t="shared" si="2"/>
        <v>1931.9538754111029</v>
      </c>
      <c r="F43" s="628">
        <f t="shared" si="2"/>
        <v>2387.565028712102</v>
      </c>
      <c r="G43" s="628">
        <f t="shared" si="3"/>
        <v>455.61115330099915</v>
      </c>
      <c r="H43" s="16">
        <v>10.507494447146378</v>
      </c>
      <c r="K43" s="399" t="s">
        <v>554</v>
      </c>
      <c r="L43" s="633">
        <f>L13</f>
        <v>0</v>
      </c>
      <c r="M43" s="628">
        <f t="shared" si="1"/>
        <v>0</v>
      </c>
      <c r="N43" s="628">
        <f t="shared" si="1"/>
        <v>0</v>
      </c>
      <c r="O43" s="628">
        <f t="shared" si="1"/>
        <v>0</v>
      </c>
      <c r="P43" s="16">
        <f t="shared" si="1"/>
        <v>0</v>
      </c>
      <c r="R43" s="267"/>
      <c r="S43" s="2"/>
      <c r="T43" s="2"/>
      <c r="U43" s="2"/>
      <c r="V43" s="2"/>
      <c r="W43" s="2"/>
      <c r="X43" s="2"/>
      <c r="Y43" s="2"/>
      <c r="Z43" s="2"/>
    </row>
    <row r="44" spans="1:38" s="235" customFormat="1" x14ac:dyDescent="0.25">
      <c r="B44" s="399" t="s">
        <v>555</v>
      </c>
      <c r="C44" s="623">
        <v>23.881657142857147</v>
      </c>
      <c r="D44" s="633">
        <v>7.1653745941574467E-3</v>
      </c>
      <c r="E44" s="628">
        <f t="shared" si="2"/>
        <v>1432.5054604785805</v>
      </c>
      <c r="F44" s="628">
        <f t="shared" si="2"/>
        <v>1859.2476099049395</v>
      </c>
      <c r="G44" s="628">
        <f t="shared" si="3"/>
        <v>426.74214942635911</v>
      </c>
      <c r="H44" s="16">
        <v>7.1268429885271827</v>
      </c>
      <c r="K44" s="399" t="s">
        <v>555</v>
      </c>
      <c r="L44" s="633">
        <v>0</v>
      </c>
      <c r="M44" s="628">
        <f t="shared" si="1"/>
        <v>976.32249999999988</v>
      </c>
      <c r="N44" s="628">
        <f t="shared" si="1"/>
        <v>1145.1099999999999</v>
      </c>
      <c r="O44" s="628">
        <f t="shared" si="1"/>
        <v>111.92</v>
      </c>
      <c r="P44" s="16">
        <f t="shared" si="1"/>
        <v>3.3757500000000005</v>
      </c>
      <c r="R44" s="267"/>
      <c r="S44" s="2"/>
      <c r="T44" s="2"/>
      <c r="U44" s="2"/>
      <c r="V44" s="2"/>
      <c r="W44" s="2"/>
      <c r="X44" s="2"/>
      <c r="Y44" s="2"/>
      <c r="Z44" s="2"/>
    </row>
    <row r="45" spans="1:38" s="235" customFormat="1" x14ac:dyDescent="0.25">
      <c r="B45" s="399" t="s">
        <v>557</v>
      </c>
      <c r="C45" s="623">
        <v>453.75148571428571</v>
      </c>
      <c r="D45" s="633">
        <v>0.13614211728899145</v>
      </c>
      <c r="E45" s="628">
        <f t="shared" si="2"/>
        <v>1761.9309636425478</v>
      </c>
      <c r="F45" s="628">
        <f t="shared" si="2"/>
        <v>2136.5302508574728</v>
      </c>
      <c r="G45" s="628">
        <f t="shared" si="3"/>
        <v>374.59928721492491</v>
      </c>
      <c r="H45" s="16">
        <v>6.5959857442984982</v>
      </c>
      <c r="K45" s="399" t="s">
        <v>557</v>
      </c>
      <c r="L45" s="633">
        <f t="shared" ref="L45:P56" si="4">L15</f>
        <v>0</v>
      </c>
      <c r="M45" s="628">
        <f t="shared" si="1"/>
        <v>0</v>
      </c>
      <c r="N45" s="628">
        <f t="shared" si="1"/>
        <v>0</v>
      </c>
      <c r="O45" s="628">
        <f t="shared" si="1"/>
        <v>0</v>
      </c>
      <c r="P45" s="16">
        <f t="shared" si="1"/>
        <v>0</v>
      </c>
      <c r="R45" s="267"/>
      <c r="S45" s="2"/>
      <c r="T45" s="2"/>
      <c r="U45" s="2"/>
      <c r="V45" s="2"/>
      <c r="W45" s="2"/>
      <c r="X45" s="2"/>
      <c r="Y45" s="2"/>
      <c r="Z45" s="2"/>
    </row>
    <row r="46" spans="1:38" s="235" customFormat="1" x14ac:dyDescent="0.25">
      <c r="B46" s="399" t="s">
        <v>558</v>
      </c>
      <c r="C46" s="623">
        <v>124.49</v>
      </c>
      <c r="D46" s="633">
        <v>3.735157396702922E-2</v>
      </c>
      <c r="E46" s="628">
        <f t="shared" si="2"/>
        <v>1302.5767193510069</v>
      </c>
      <c r="F46" s="628">
        <f t="shared" si="2"/>
        <v>1754.7069167698085</v>
      </c>
      <c r="G46" s="628">
        <f t="shared" si="3"/>
        <v>452.13019741880146</v>
      </c>
      <c r="H46" s="16">
        <v>9.7397572118563573</v>
      </c>
      <c r="K46" s="399" t="s">
        <v>558</v>
      </c>
      <c r="L46" s="633">
        <f t="shared" si="4"/>
        <v>0</v>
      </c>
      <c r="M46" s="628">
        <f t="shared" si="1"/>
        <v>1058.0300999999999</v>
      </c>
      <c r="N46" s="628">
        <f t="shared" si="1"/>
        <v>1238.94</v>
      </c>
      <c r="O46" s="628">
        <f t="shared" si="1"/>
        <v>123.0534</v>
      </c>
      <c r="P46" s="16">
        <f t="shared" si="1"/>
        <v>3.618198</v>
      </c>
      <c r="R46" s="267"/>
      <c r="S46" s="2"/>
      <c r="T46" s="2"/>
      <c r="U46" s="2"/>
      <c r="V46" s="2"/>
      <c r="W46" s="2"/>
      <c r="X46" s="2"/>
      <c r="Y46" s="2"/>
      <c r="Z46" s="2"/>
    </row>
    <row r="47" spans="1:38" s="235" customFormat="1" x14ac:dyDescent="0.25">
      <c r="B47" s="399" t="s">
        <v>561</v>
      </c>
      <c r="C47" s="623"/>
      <c r="D47" s="633"/>
      <c r="E47" s="628">
        <f t="shared" si="2"/>
        <v>0</v>
      </c>
      <c r="F47" s="628">
        <f t="shared" si="2"/>
        <v>0</v>
      </c>
      <c r="G47" s="628">
        <f t="shared" si="3"/>
        <v>0</v>
      </c>
      <c r="H47" s="16"/>
      <c r="K47" s="399" t="s">
        <v>561</v>
      </c>
      <c r="L47" s="633">
        <f t="shared" si="4"/>
        <v>0</v>
      </c>
      <c r="M47" s="628">
        <f t="shared" si="1"/>
        <v>960.91</v>
      </c>
      <c r="N47" s="634">
        <f t="shared" si="1"/>
        <v>0</v>
      </c>
      <c r="O47" s="634">
        <f t="shared" si="1"/>
        <v>0</v>
      </c>
      <c r="P47" s="635">
        <f t="shared" si="1"/>
        <v>0</v>
      </c>
      <c r="R47" s="267"/>
      <c r="S47" s="2"/>
      <c r="T47" s="2"/>
      <c r="U47" s="2"/>
      <c r="V47" s="2"/>
      <c r="W47" s="2"/>
      <c r="X47" s="2"/>
      <c r="Y47" s="2"/>
      <c r="Z47" s="2"/>
    </row>
    <row r="48" spans="1:38" s="235" customFormat="1" x14ac:dyDescent="0.25">
      <c r="B48" s="399" t="s">
        <v>562</v>
      </c>
      <c r="C48" s="623">
        <v>519.13571428571424</v>
      </c>
      <c r="D48" s="633">
        <v>0.15575978818434738</v>
      </c>
      <c r="E48" s="628">
        <f t="shared" si="2"/>
        <v>2001.3915763346265</v>
      </c>
      <c r="F48" s="628">
        <f t="shared" si="2"/>
        <v>2582.5061240321888</v>
      </c>
      <c r="G48" s="628">
        <f t="shared" si="3"/>
        <v>581.11454769756233</v>
      </c>
      <c r="H48" s="16">
        <v>12.131184059215649</v>
      </c>
      <c r="K48" s="399" t="s">
        <v>562</v>
      </c>
      <c r="L48" s="633">
        <f t="shared" si="4"/>
        <v>0</v>
      </c>
      <c r="M48" s="628">
        <f t="shared" si="1"/>
        <v>0</v>
      </c>
      <c r="N48" s="628">
        <f t="shared" si="1"/>
        <v>0</v>
      </c>
      <c r="O48" s="628">
        <f t="shared" si="1"/>
        <v>0</v>
      </c>
      <c r="P48" s="16">
        <f t="shared" si="1"/>
        <v>0</v>
      </c>
      <c r="R48" s="267"/>
      <c r="S48" s="2"/>
      <c r="T48" s="2"/>
      <c r="U48" s="2"/>
      <c r="V48" s="2"/>
      <c r="W48" s="2"/>
      <c r="X48" s="2"/>
      <c r="Y48" s="2"/>
      <c r="Z48" s="2"/>
    </row>
    <row r="49" spans="1:26" s="235" customFormat="1" x14ac:dyDescent="0.25">
      <c r="B49" s="399" t="s">
        <v>565</v>
      </c>
      <c r="C49" s="623">
        <v>8.9548571428571417</v>
      </c>
      <c r="D49" s="633">
        <v>2.6867861590136439E-3</v>
      </c>
      <c r="E49" s="628">
        <f t="shared" si="2"/>
        <v>1338.8705900032644</v>
      </c>
      <c r="F49" s="628">
        <f t="shared" si="2"/>
        <v>1678.6289806209229</v>
      </c>
      <c r="G49" s="628">
        <f t="shared" si="3"/>
        <v>339.75839061765856</v>
      </c>
      <c r="H49" s="16">
        <v>5.7711678123531716</v>
      </c>
      <c r="K49" s="399" t="s">
        <v>565</v>
      </c>
      <c r="L49" s="633">
        <f t="shared" si="4"/>
        <v>0</v>
      </c>
      <c r="M49" s="628">
        <f t="shared" si="1"/>
        <v>0</v>
      </c>
      <c r="N49" s="628">
        <f t="shared" si="1"/>
        <v>0</v>
      </c>
      <c r="O49" s="628">
        <f t="shared" si="1"/>
        <v>0</v>
      </c>
      <c r="P49" s="16">
        <f t="shared" si="1"/>
        <v>0</v>
      </c>
      <c r="R49" s="267"/>
      <c r="S49" s="2"/>
      <c r="T49" s="2"/>
      <c r="U49" s="2"/>
      <c r="V49" s="2"/>
      <c r="W49" s="2"/>
      <c r="X49" s="2"/>
      <c r="Y49" s="2"/>
      <c r="Z49" s="2"/>
    </row>
    <row r="50" spans="1:26" s="235" customFormat="1" x14ac:dyDescent="0.25">
      <c r="B50" s="399" t="s">
        <v>563</v>
      </c>
      <c r="C50" s="623">
        <v>47.277471428571445</v>
      </c>
      <c r="D50" s="633">
        <v>1.4184978480507648E-2</v>
      </c>
      <c r="E50" s="628">
        <f t="shared" si="2"/>
        <v>1308.0194841323641</v>
      </c>
      <c r="F50" s="628">
        <f t="shared" si="2"/>
        <v>1588.2754124999999</v>
      </c>
      <c r="G50" s="628">
        <f t="shared" si="3"/>
        <v>280.2559283676357</v>
      </c>
      <c r="H50" s="16">
        <v>7.3987565089055831</v>
      </c>
      <c r="K50" s="399" t="s">
        <v>563</v>
      </c>
      <c r="L50" s="633">
        <f t="shared" si="4"/>
        <v>4.1666666666666664E-2</v>
      </c>
      <c r="M50" s="628">
        <f t="shared" si="1"/>
        <v>1095.8899999999999</v>
      </c>
      <c r="N50" s="628">
        <f t="shared" si="1"/>
        <v>1392.125</v>
      </c>
      <c r="O50" s="628">
        <f t="shared" si="1"/>
        <v>177.89999999999998</v>
      </c>
      <c r="P50" s="16">
        <f t="shared" si="1"/>
        <v>7.8206040000000012</v>
      </c>
      <c r="R50" s="267"/>
      <c r="S50" s="2"/>
      <c r="T50" s="2"/>
      <c r="U50" s="2"/>
      <c r="V50" s="2"/>
      <c r="W50" s="2"/>
      <c r="X50" s="2"/>
      <c r="Y50" s="2"/>
      <c r="Z50" s="2"/>
    </row>
    <row r="51" spans="1:26" s="235" customFormat="1" x14ac:dyDescent="0.25">
      <c r="B51" s="399" t="s">
        <v>566</v>
      </c>
      <c r="C51" s="623">
        <v>55.157049999999991</v>
      </c>
      <c r="D51" s="633">
        <v>1.654914156059225E-2</v>
      </c>
      <c r="E51" s="628">
        <f t="shared" si="2"/>
        <v>1182.75701424106</v>
      </c>
      <c r="F51" s="628">
        <f t="shared" si="2"/>
        <v>1460.3139699999999</v>
      </c>
      <c r="G51" s="628">
        <f t="shared" si="3"/>
        <v>277.55695575894003</v>
      </c>
      <c r="H51" s="16">
        <v>5.5511391151788008</v>
      </c>
      <c r="K51" s="399" t="s">
        <v>566</v>
      </c>
      <c r="L51" s="633">
        <f t="shared" si="4"/>
        <v>4.1666666666666664E-2</v>
      </c>
      <c r="M51" s="628">
        <f t="shared" si="4"/>
        <v>277.54999999999995</v>
      </c>
      <c r="N51" s="628">
        <f t="shared" si="4"/>
        <v>606.29999999999995</v>
      </c>
      <c r="O51" s="628">
        <f t="shared" si="4"/>
        <v>185</v>
      </c>
      <c r="P51" s="16">
        <f t="shared" si="4"/>
        <v>8.6790000000000003</v>
      </c>
      <c r="R51" s="267"/>
      <c r="S51" s="2"/>
      <c r="T51" s="2"/>
      <c r="U51" s="2"/>
      <c r="V51" s="2"/>
      <c r="W51" s="2"/>
      <c r="X51" s="2"/>
      <c r="Y51" s="2"/>
      <c r="Z51" s="2"/>
    </row>
    <row r="52" spans="1:26" s="235" customFormat="1" x14ac:dyDescent="0.25">
      <c r="B52" s="399" t="s">
        <v>569</v>
      </c>
      <c r="C52" s="623">
        <v>55.157049999999991</v>
      </c>
      <c r="D52" s="633">
        <v>1.654914156059225E-2</v>
      </c>
      <c r="E52" s="628">
        <f t="shared" si="2"/>
        <v>1159.79163174106</v>
      </c>
      <c r="F52" s="628">
        <f t="shared" si="2"/>
        <v>1437.0110875</v>
      </c>
      <c r="G52" s="628">
        <f t="shared" si="3"/>
        <v>277.21945575894006</v>
      </c>
      <c r="H52" s="16">
        <v>5.5443891151788014</v>
      </c>
      <c r="K52" s="399" t="s">
        <v>569</v>
      </c>
      <c r="L52" s="633">
        <f t="shared" si="4"/>
        <v>4.1666666666666664E-2</v>
      </c>
      <c r="M52" s="628">
        <f t="shared" si="4"/>
        <v>466.75</v>
      </c>
      <c r="N52" s="628">
        <f t="shared" si="4"/>
        <v>795.5</v>
      </c>
      <c r="O52" s="628">
        <f t="shared" si="4"/>
        <v>185</v>
      </c>
      <c r="P52" s="16">
        <f t="shared" si="4"/>
        <v>6.5750000000000002</v>
      </c>
      <c r="R52" s="267"/>
      <c r="S52" s="2"/>
      <c r="T52" s="2"/>
      <c r="U52" s="2"/>
      <c r="V52" s="2"/>
      <c r="W52" s="2"/>
      <c r="X52" s="2"/>
      <c r="Y52" s="2"/>
      <c r="Z52" s="2"/>
    </row>
    <row r="53" spans="1:26" s="235" customFormat="1" x14ac:dyDescent="0.25">
      <c r="B53" s="399" t="s">
        <v>571</v>
      </c>
      <c r="C53" s="623">
        <v>41.674571428571426</v>
      </c>
      <c r="D53" s="633">
        <v>1.2503902620760931E-2</v>
      </c>
      <c r="E53" s="628">
        <f t="shared" si="2"/>
        <v>1199.8520417156285</v>
      </c>
      <c r="F53" s="628">
        <f t="shared" si="2"/>
        <v>1488.9108333333331</v>
      </c>
      <c r="G53" s="628">
        <f t="shared" si="3"/>
        <v>289.05879161770463</v>
      </c>
      <c r="H53" s="16">
        <v>5.7811758323540925</v>
      </c>
      <c r="K53" s="399" t="s">
        <v>568</v>
      </c>
      <c r="L53" s="633">
        <f t="shared" si="4"/>
        <v>4.1666666666666664E-2</v>
      </c>
      <c r="M53" s="628">
        <f t="shared" si="4"/>
        <v>413.06157997499997</v>
      </c>
      <c r="N53" s="628">
        <f t="shared" si="4"/>
        <v>795.5</v>
      </c>
      <c r="O53" s="628">
        <f t="shared" si="4"/>
        <v>221.150920025</v>
      </c>
      <c r="P53" s="16">
        <f t="shared" si="4"/>
        <v>7.6487684005000007</v>
      </c>
      <c r="R53" s="267"/>
      <c r="S53" s="2"/>
      <c r="T53" s="2"/>
      <c r="U53" s="2"/>
      <c r="V53" s="2"/>
      <c r="W53" s="2"/>
      <c r="X53" s="2"/>
      <c r="Y53" s="2"/>
      <c r="Z53" s="2"/>
    </row>
    <row r="54" spans="1:26" s="235" customFormat="1" x14ac:dyDescent="0.25">
      <c r="A54" s="290"/>
      <c r="B54" s="399" t="s">
        <v>574</v>
      </c>
      <c r="C54" s="623">
        <v>4.7142857142857144</v>
      </c>
      <c r="D54" s="633">
        <v>1.4144589248843446E-3</v>
      </c>
      <c r="E54" s="628">
        <f t="shared" si="2"/>
        <v>1252.5150856389987</v>
      </c>
      <c r="F54" s="628">
        <f t="shared" si="2"/>
        <v>1505</v>
      </c>
      <c r="G54" s="628">
        <f t="shared" si="3"/>
        <v>252.48491436100133</v>
      </c>
      <c r="H54" s="16">
        <v>4.409698287220027</v>
      </c>
      <c r="K54" s="399" t="s">
        <v>574</v>
      </c>
      <c r="L54" s="633">
        <f t="shared" si="4"/>
        <v>0</v>
      </c>
      <c r="M54" s="628">
        <f t="shared" si="4"/>
        <v>0</v>
      </c>
      <c r="N54" s="628">
        <f t="shared" si="4"/>
        <v>0</v>
      </c>
      <c r="O54" s="628">
        <f t="shared" si="4"/>
        <v>0</v>
      </c>
      <c r="P54" s="16">
        <f t="shared" si="4"/>
        <v>0</v>
      </c>
      <c r="R54" s="267"/>
      <c r="S54" s="2"/>
      <c r="T54" s="2"/>
      <c r="U54" s="2"/>
      <c r="V54" s="2"/>
      <c r="W54" s="2"/>
      <c r="X54" s="2"/>
      <c r="Y54" s="2"/>
      <c r="Z54" s="2"/>
    </row>
    <row r="55" spans="1:26" s="235" customFormat="1" x14ac:dyDescent="0.25">
      <c r="A55" s="290"/>
      <c r="B55" s="399" t="s">
        <v>575</v>
      </c>
      <c r="C55" s="623">
        <v>17.434571428571427</v>
      </c>
      <c r="D55" s="633">
        <v>5.2310120033556111E-3</v>
      </c>
      <c r="E55" s="628">
        <f t="shared" si="2"/>
        <v>1616.8107378129116</v>
      </c>
      <c r="F55" s="628">
        <f t="shared" si="2"/>
        <v>1935</v>
      </c>
      <c r="G55" s="628">
        <f t="shared" si="3"/>
        <v>318.18926218708827</v>
      </c>
      <c r="H55" s="16">
        <v>7.0485165217391303</v>
      </c>
      <c r="K55" s="399" t="s">
        <v>575</v>
      </c>
      <c r="L55" s="633">
        <f t="shared" si="4"/>
        <v>0</v>
      </c>
      <c r="M55" s="628">
        <f t="shared" si="4"/>
        <v>0</v>
      </c>
      <c r="N55" s="628">
        <f t="shared" si="4"/>
        <v>0</v>
      </c>
      <c r="O55" s="628">
        <f t="shared" si="4"/>
        <v>0</v>
      </c>
      <c r="P55" s="16">
        <f t="shared" si="4"/>
        <v>0</v>
      </c>
      <c r="R55" s="267"/>
      <c r="S55" s="2"/>
      <c r="T55" s="2"/>
      <c r="U55" s="2"/>
      <c r="V55" s="2"/>
      <c r="W55" s="2"/>
      <c r="X55" s="2"/>
      <c r="Y55" s="2"/>
      <c r="Z55" s="2"/>
    </row>
    <row r="56" spans="1:26" s="235" customFormat="1" x14ac:dyDescent="0.25">
      <c r="A56" s="290"/>
      <c r="B56" s="399" t="s">
        <v>576</v>
      </c>
      <c r="C56" s="623"/>
      <c r="D56" s="633"/>
      <c r="E56" s="628"/>
      <c r="F56" s="628"/>
      <c r="G56" s="628"/>
      <c r="H56" s="16"/>
      <c r="K56" s="399" t="s">
        <v>576</v>
      </c>
      <c r="L56" s="633">
        <v>0.5</v>
      </c>
      <c r="M56" s="628">
        <f t="shared" si="4"/>
        <v>0</v>
      </c>
      <c r="N56" s="628">
        <f t="shared" si="4"/>
        <v>0</v>
      </c>
      <c r="O56" s="628">
        <f t="shared" si="4"/>
        <v>125.66500000000001</v>
      </c>
      <c r="P56" s="16">
        <f t="shared" si="4"/>
        <v>2.5133000000000001</v>
      </c>
      <c r="R56" s="267"/>
      <c r="S56" s="2"/>
      <c r="T56" s="2"/>
      <c r="U56" s="2"/>
      <c r="V56" s="2"/>
      <c r="W56" s="2"/>
      <c r="X56" s="2"/>
      <c r="Y56" s="2"/>
      <c r="Z56" s="2"/>
    </row>
    <row r="57" spans="1:26" s="235" customFormat="1" ht="11" thickBot="1" x14ac:dyDescent="0.3">
      <c r="B57" s="400" t="s">
        <v>246</v>
      </c>
      <c r="C57" s="631">
        <v>3332.9251428571424</v>
      </c>
      <c r="D57" s="632">
        <v>1.0000000000000004</v>
      </c>
      <c r="E57" s="629">
        <f>E28</f>
        <v>1935.3762741692253</v>
      </c>
      <c r="F57" s="629">
        <v>1246.1989443760331</v>
      </c>
      <c r="G57" s="629">
        <f>G28</f>
        <v>585.00967738851853</v>
      </c>
      <c r="H57" s="630">
        <v>12.310829381613869</v>
      </c>
      <c r="K57" s="400" t="s">
        <v>246</v>
      </c>
      <c r="L57" s="632">
        <f>SUM(L35:L56)</f>
        <v>1</v>
      </c>
      <c r="M57" s="629">
        <f>SUMPRODUCT($L$35:$L$56,M35:M56)</f>
        <v>611.46838249895825</v>
      </c>
      <c r="N57" s="629">
        <f>SUMPRODUCT($L$35:$L$56,N35:N56)</f>
        <v>728.59737500000006</v>
      </c>
      <c r="O57" s="629">
        <f>SUMPRODUCT($L$35:$L$56,O35:O56)</f>
        <v>135.26913833437501</v>
      </c>
      <c r="P57" s="630">
        <f>SUMPRODUCT($L$35:$L$56,P35:P56)</f>
        <v>4.055165690020833</v>
      </c>
      <c r="R57" s="267"/>
      <c r="S57" s="2"/>
      <c r="T57" s="2"/>
      <c r="U57" s="2"/>
      <c r="V57" s="2"/>
      <c r="W57" s="2"/>
      <c r="X57" s="2"/>
      <c r="Y57" s="2"/>
      <c r="Z57" s="2"/>
    </row>
    <row r="58" spans="1:26" s="235" customFormat="1" x14ac:dyDescent="0.25">
      <c r="A58" s="290"/>
      <c r="R58" s="267"/>
      <c r="S58" s="2"/>
      <c r="T58" s="2"/>
      <c r="U58" s="2"/>
      <c r="V58" s="2"/>
      <c r="W58" s="2"/>
      <c r="X58" s="2"/>
      <c r="Y58" s="2"/>
      <c r="Z58" s="2"/>
    </row>
    <row r="59" spans="1:26" s="235" customFormat="1" x14ac:dyDescent="0.25">
      <c r="A59" s="290"/>
      <c r="R59" s="267"/>
      <c r="S59" s="2"/>
      <c r="T59" s="2"/>
      <c r="U59" s="2"/>
      <c r="V59" s="2"/>
      <c r="W59" s="2"/>
      <c r="X59" s="2"/>
      <c r="Y59" s="2"/>
      <c r="Z59" s="2"/>
    </row>
    <row r="60" spans="1:26" s="235" customFormat="1" ht="11" thickBot="1" x14ac:dyDescent="0.3">
      <c r="A60" s="290"/>
      <c r="R60" s="267"/>
      <c r="S60" s="2"/>
      <c r="T60" s="2"/>
      <c r="U60" s="2"/>
      <c r="V60" s="2"/>
      <c r="W60" s="2"/>
      <c r="X60" s="2"/>
      <c r="Y60" s="2"/>
      <c r="Z60" s="2"/>
    </row>
    <row r="61" spans="1:26" s="235" customFormat="1" ht="21" customHeight="1" x14ac:dyDescent="0.25">
      <c r="A61" s="290"/>
      <c r="K61" s="396" t="s">
        <v>528</v>
      </c>
      <c r="L61" s="1494" t="s">
        <v>74</v>
      </c>
      <c r="M61" s="1495"/>
      <c r="N61" s="1495"/>
      <c r="O61" s="1495"/>
      <c r="P61" s="1496"/>
      <c r="R61" s="349" t="s">
        <v>578</v>
      </c>
      <c r="S61" s="2"/>
      <c r="T61" s="2"/>
      <c r="U61" s="2"/>
      <c r="V61" s="2"/>
      <c r="W61" s="2"/>
      <c r="X61" s="2"/>
      <c r="Y61" s="2"/>
      <c r="Z61" s="2"/>
    </row>
    <row r="62" spans="1:26" s="235" customFormat="1" ht="31.5" x14ac:dyDescent="0.25">
      <c r="A62" s="290"/>
      <c r="K62" s="397" t="s">
        <v>530</v>
      </c>
      <c r="L62" s="917" t="s">
        <v>532</v>
      </c>
      <c r="M62" s="4" t="s">
        <v>533</v>
      </c>
      <c r="N62" s="4" t="s">
        <v>534</v>
      </c>
      <c r="O62" s="4" t="s">
        <v>536</v>
      </c>
      <c r="P62" s="394" t="s">
        <v>216</v>
      </c>
      <c r="R62" s="267"/>
      <c r="S62" s="2"/>
      <c r="T62" s="2"/>
      <c r="U62" s="2"/>
      <c r="V62" s="2"/>
      <c r="W62" s="2"/>
      <c r="X62" s="2"/>
      <c r="Y62" s="2"/>
      <c r="Z62" s="2"/>
    </row>
    <row r="63" spans="1:26" s="235" customFormat="1" x14ac:dyDescent="0.25">
      <c r="A63" s="290"/>
      <c r="K63" s="398"/>
      <c r="L63" s="918"/>
      <c r="M63" s="174" t="s">
        <v>538</v>
      </c>
      <c r="N63" s="174"/>
      <c r="O63" s="174"/>
      <c r="P63" s="395" t="s">
        <v>538</v>
      </c>
      <c r="R63" s="267"/>
      <c r="S63" s="2"/>
      <c r="T63" s="2"/>
      <c r="U63" s="2"/>
      <c r="V63" s="2"/>
      <c r="W63" s="2"/>
      <c r="X63" s="2"/>
      <c r="Y63" s="2"/>
      <c r="Z63" s="2"/>
    </row>
    <row r="64" spans="1:26" s="235" customFormat="1" x14ac:dyDescent="0.25">
      <c r="K64" s="399" t="s">
        <v>552</v>
      </c>
      <c r="L64" s="838">
        <f>1/2*50%</f>
        <v>0.25</v>
      </c>
      <c r="M64" s="628">
        <f>M42</f>
        <v>978.2589999999999</v>
      </c>
      <c r="N64" s="628">
        <f>N42</f>
        <v>1146.6099999999999</v>
      </c>
      <c r="O64" s="628">
        <f>O42</f>
        <v>126.95099999999999</v>
      </c>
      <c r="P64" s="861">
        <f>P42</f>
        <v>4.4444664000000005</v>
      </c>
      <c r="R64" s="267"/>
      <c r="S64" s="2"/>
      <c r="T64" s="2"/>
      <c r="U64" s="2"/>
      <c r="V64" s="2"/>
      <c r="W64" s="2"/>
      <c r="X64" s="2"/>
      <c r="Y64" s="2"/>
      <c r="Z64" s="2"/>
    </row>
    <row r="65" spans="2:26" s="235" customFormat="1" x14ac:dyDescent="0.25">
      <c r="K65" s="399" t="s">
        <v>555</v>
      </c>
      <c r="L65" s="838">
        <v>0.25</v>
      </c>
      <c r="M65" s="628">
        <f>M44</f>
        <v>976.32249999999988</v>
      </c>
      <c r="N65" s="628">
        <f>N44</f>
        <v>1145.1099999999999</v>
      </c>
      <c r="O65" s="628">
        <f>O44</f>
        <v>111.92</v>
      </c>
      <c r="P65" s="861">
        <f>P44</f>
        <v>3.3757500000000005</v>
      </c>
      <c r="R65" s="267"/>
      <c r="S65" s="2"/>
      <c r="T65" s="2"/>
      <c r="U65" s="2"/>
      <c r="V65" s="2"/>
      <c r="W65" s="2"/>
      <c r="X65" s="2"/>
      <c r="Y65" s="2"/>
      <c r="Z65" s="2"/>
    </row>
    <row r="66" spans="2:26" s="235" customFormat="1" x14ac:dyDescent="0.25">
      <c r="K66" s="399" t="s">
        <v>563</v>
      </c>
      <c r="L66" s="838">
        <f>1/4*50%</f>
        <v>0.125</v>
      </c>
      <c r="M66" s="628">
        <f t="shared" ref="M66:P69" si="5">M50</f>
        <v>1095.8899999999999</v>
      </c>
      <c r="N66" s="628">
        <f t="shared" si="5"/>
        <v>1392.125</v>
      </c>
      <c r="O66" s="628">
        <f t="shared" si="5"/>
        <v>177.89999999999998</v>
      </c>
      <c r="P66" s="861">
        <f t="shared" si="5"/>
        <v>7.8206040000000012</v>
      </c>
      <c r="R66" s="267"/>
      <c r="S66" s="2"/>
      <c r="T66" s="2"/>
      <c r="U66" s="2"/>
      <c r="V66" s="2"/>
      <c r="W66" s="2"/>
      <c r="X66" s="2"/>
      <c r="Y66" s="2"/>
      <c r="Z66" s="2"/>
    </row>
    <row r="67" spans="2:26" s="235" customFormat="1" x14ac:dyDescent="0.25">
      <c r="K67" s="399" t="s">
        <v>566</v>
      </c>
      <c r="L67" s="838">
        <f t="shared" ref="L67:L69" si="6">1/4*50%</f>
        <v>0.125</v>
      </c>
      <c r="M67" s="628">
        <f t="shared" si="5"/>
        <v>277.54999999999995</v>
      </c>
      <c r="N67" s="628">
        <f t="shared" si="5"/>
        <v>606.29999999999995</v>
      </c>
      <c r="O67" s="628">
        <f t="shared" si="5"/>
        <v>185</v>
      </c>
      <c r="P67" s="861">
        <f t="shared" si="5"/>
        <v>8.6790000000000003</v>
      </c>
      <c r="R67" s="267"/>
      <c r="S67" s="2"/>
      <c r="T67" s="2"/>
      <c r="U67" s="2"/>
      <c r="V67" s="2"/>
      <c r="W67" s="2"/>
      <c r="X67" s="2"/>
      <c r="Y67" s="2"/>
      <c r="Z67" s="2"/>
    </row>
    <row r="68" spans="2:26" s="235" customFormat="1" x14ac:dyDescent="0.25">
      <c r="K68" s="399" t="s">
        <v>569</v>
      </c>
      <c r="L68" s="838">
        <f t="shared" si="6"/>
        <v>0.125</v>
      </c>
      <c r="M68" s="628">
        <f t="shared" si="5"/>
        <v>466.75</v>
      </c>
      <c r="N68" s="628">
        <f t="shared" si="5"/>
        <v>795.5</v>
      </c>
      <c r="O68" s="628">
        <f t="shared" si="5"/>
        <v>185</v>
      </c>
      <c r="P68" s="861">
        <f t="shared" si="5"/>
        <v>6.5750000000000002</v>
      </c>
      <c r="R68" s="267"/>
      <c r="S68" s="2"/>
      <c r="T68" s="2"/>
      <c r="U68" s="2"/>
      <c r="V68" s="2"/>
      <c r="W68" s="2"/>
      <c r="X68" s="2"/>
      <c r="Y68" s="2"/>
      <c r="Z68" s="2"/>
    </row>
    <row r="69" spans="2:26" s="235" customFormat="1" x14ac:dyDescent="0.25">
      <c r="K69" s="399" t="s">
        <v>568</v>
      </c>
      <c r="L69" s="838">
        <f t="shared" si="6"/>
        <v>0.125</v>
      </c>
      <c r="M69" s="628">
        <f t="shared" si="5"/>
        <v>413.06157997499997</v>
      </c>
      <c r="N69" s="628">
        <f t="shared" si="5"/>
        <v>795.5</v>
      </c>
      <c r="O69" s="628">
        <f t="shared" si="5"/>
        <v>221.150920025</v>
      </c>
      <c r="P69" s="861">
        <f t="shared" si="5"/>
        <v>7.6487684005000007</v>
      </c>
      <c r="R69" s="267"/>
      <c r="S69" s="2"/>
      <c r="T69" s="2"/>
      <c r="U69" s="2"/>
      <c r="V69" s="2"/>
      <c r="W69" s="2"/>
      <c r="X69" s="2"/>
      <c r="Y69" s="2"/>
      <c r="Z69" s="2"/>
    </row>
    <row r="70" spans="2:26" s="235" customFormat="1" ht="11" thickBot="1" x14ac:dyDescent="0.3">
      <c r="K70" s="400" t="s">
        <v>246</v>
      </c>
      <c r="L70" s="919">
        <f>SUM(L64:L69)</f>
        <v>1</v>
      </c>
      <c r="M70" s="629">
        <f>SUMPRODUCT($L$64:$L$69,M64:M69)</f>
        <v>770.30182249687505</v>
      </c>
      <c r="N70" s="629">
        <f>SUMPRODUCT($L$64:$L$69,N64:N69)</f>
        <v>1021.608125</v>
      </c>
      <c r="O70" s="629">
        <f>SUMPRODUCT($L$64:$L$69,O64:O69)</f>
        <v>155.84911500312498</v>
      </c>
      <c r="P70" s="630">
        <f>SUMPRODUCT($L$64:$L$69,P64:P69)</f>
        <v>5.7954756500625013</v>
      </c>
      <c r="R70" s="267"/>
      <c r="S70" s="2"/>
      <c r="T70" s="2"/>
      <c r="U70" s="2"/>
      <c r="V70" s="2"/>
      <c r="W70" s="2"/>
      <c r="X70" s="2"/>
      <c r="Y70" s="2"/>
      <c r="Z70" s="2"/>
    </row>
    <row r="71" spans="2:26" s="235" customFormat="1" x14ac:dyDescent="0.25">
      <c r="R71" s="267"/>
      <c r="S71" s="2"/>
      <c r="T71" s="2"/>
      <c r="U71" s="2"/>
      <c r="V71" s="2"/>
      <c r="W71" s="2"/>
      <c r="X71" s="2"/>
      <c r="Y71" s="2"/>
      <c r="Z71" s="2"/>
    </row>
    <row r="72" spans="2:26" s="235" customFormat="1" x14ac:dyDescent="0.25">
      <c r="R72" s="267"/>
      <c r="S72" s="2"/>
      <c r="T72" s="2"/>
      <c r="U72" s="2"/>
      <c r="V72" s="2"/>
      <c r="W72" s="2"/>
      <c r="X72" s="2"/>
      <c r="Y72" s="2"/>
      <c r="Z72" s="2"/>
    </row>
    <row r="73" spans="2:26" s="235" customFormat="1" ht="11" thickBot="1" x14ac:dyDescent="0.3">
      <c r="Q73" s="965"/>
      <c r="R73" s="267"/>
      <c r="S73" s="2"/>
      <c r="T73" s="2"/>
      <c r="U73" s="2"/>
      <c r="V73" s="2"/>
      <c r="W73" s="2"/>
      <c r="X73" s="2"/>
      <c r="Y73" s="2"/>
      <c r="Z73" s="2"/>
    </row>
    <row r="74" spans="2:26" s="339" customFormat="1" ht="22.75" customHeight="1" thickBot="1" x14ac:dyDescent="0.4">
      <c r="B74" s="396" t="s">
        <v>580</v>
      </c>
      <c r="C74" s="1497" t="s">
        <v>581</v>
      </c>
      <c r="D74" s="1497"/>
      <c r="E74" s="1497"/>
      <c r="F74" s="1497"/>
      <c r="G74" s="1497"/>
      <c r="H74" s="1498"/>
      <c r="K74" s="396" t="s">
        <v>580</v>
      </c>
      <c r="L74" s="1499" t="s">
        <v>74</v>
      </c>
      <c r="M74" s="1497"/>
      <c r="N74" s="1497"/>
      <c r="O74" s="1497"/>
      <c r="P74" s="1497"/>
      <c r="Q74" s="966"/>
      <c r="R74" s="349"/>
      <c r="S74" s="175"/>
      <c r="T74" s="175"/>
      <c r="U74" s="175"/>
      <c r="V74" s="175"/>
      <c r="W74" s="175"/>
      <c r="X74" s="175"/>
      <c r="Y74" s="175"/>
      <c r="Z74" s="175"/>
    </row>
    <row r="75" spans="2:26" s="235" customFormat="1" x14ac:dyDescent="0.25">
      <c r="B75" s="953"/>
      <c r="C75" s="955" t="s">
        <v>531</v>
      </c>
      <c r="D75" s="955" t="s">
        <v>582</v>
      </c>
      <c r="E75" s="955" t="s">
        <v>583</v>
      </c>
      <c r="F75" s="955"/>
      <c r="G75" s="955"/>
      <c r="H75" s="956"/>
      <c r="K75" s="953"/>
      <c r="L75" s="955" t="s">
        <v>582</v>
      </c>
      <c r="M75" s="955" t="s">
        <v>583</v>
      </c>
      <c r="N75" s="955"/>
      <c r="O75" s="955"/>
      <c r="P75" s="956"/>
      <c r="Q75" s="299"/>
      <c r="R75" s="267"/>
      <c r="S75" s="2"/>
      <c r="T75" s="2"/>
      <c r="U75" s="2"/>
      <c r="V75" s="2"/>
      <c r="W75" s="2"/>
      <c r="X75" s="2"/>
      <c r="Y75" s="2"/>
    </row>
    <row r="76" spans="2:26" s="235" customFormat="1" ht="31.5" x14ac:dyDescent="0.25">
      <c r="B76" s="397"/>
      <c r="C76" s="957" t="s">
        <v>584</v>
      </c>
      <c r="D76" s="1"/>
      <c r="E76" s="4" t="s">
        <v>525</v>
      </c>
      <c r="F76" s="4" t="s">
        <v>534</v>
      </c>
      <c r="G76" s="4" t="s">
        <v>536</v>
      </c>
      <c r="H76" s="958" t="s">
        <v>216</v>
      </c>
      <c r="K76" s="397"/>
      <c r="L76" s="1"/>
      <c r="M76" s="4" t="s">
        <v>525</v>
      </c>
      <c r="N76" s="4" t="s">
        <v>534</v>
      </c>
      <c r="O76" s="4" t="s">
        <v>536</v>
      </c>
      <c r="P76" s="958" t="s">
        <v>216</v>
      </c>
      <c r="Q76" s="299"/>
      <c r="R76" s="267"/>
      <c r="S76" s="2"/>
      <c r="T76" s="2"/>
      <c r="U76" s="2"/>
      <c r="V76" s="2"/>
      <c r="W76" s="2"/>
      <c r="X76" s="2"/>
      <c r="Y76" s="2"/>
    </row>
    <row r="77" spans="2:26" s="235" customFormat="1" ht="11" thickBot="1" x14ac:dyDescent="0.3">
      <c r="B77" s="953"/>
      <c r="C77" s="959"/>
      <c r="D77" s="960"/>
      <c r="E77" s="960" t="s">
        <v>538</v>
      </c>
      <c r="F77" s="960"/>
      <c r="G77" s="960"/>
      <c r="H77" s="961" t="s">
        <v>538</v>
      </c>
      <c r="K77" s="953"/>
      <c r="L77" s="960"/>
      <c r="M77" s="960" t="s">
        <v>538</v>
      </c>
      <c r="N77" s="960"/>
      <c r="O77" s="960"/>
      <c r="P77" s="961" t="s">
        <v>538</v>
      </c>
      <c r="Q77" s="299"/>
      <c r="R77" s="267"/>
      <c r="S77" s="2"/>
      <c r="T77" s="2"/>
      <c r="U77" s="2"/>
      <c r="V77" s="2"/>
      <c r="W77" s="2"/>
      <c r="X77" s="2"/>
      <c r="Y77" s="2"/>
    </row>
    <row r="78" spans="2:26" s="235" customFormat="1" x14ac:dyDescent="0.25">
      <c r="B78" s="951"/>
      <c r="C78" s="967"/>
      <c r="D78" s="968"/>
      <c r="E78" s="968"/>
      <c r="F78" s="968"/>
      <c r="G78" s="968"/>
      <c r="H78" s="969"/>
      <c r="K78" s="951"/>
      <c r="L78" s="967"/>
      <c r="M78" s="968"/>
      <c r="N78" s="968"/>
      <c r="O78" s="968"/>
      <c r="P78" s="969"/>
      <c r="R78" s="267"/>
      <c r="S78" s="2"/>
      <c r="T78" s="2"/>
      <c r="U78" s="2"/>
      <c r="V78" s="2"/>
      <c r="W78" s="2"/>
      <c r="X78" s="2"/>
      <c r="Y78" s="2"/>
    </row>
    <row r="79" spans="2:26" s="235" customFormat="1" x14ac:dyDescent="0.25">
      <c r="B79" s="399" t="s">
        <v>541</v>
      </c>
      <c r="C79" s="970">
        <v>643.09457370199993</v>
      </c>
      <c r="D79" s="962">
        <f t="shared" ref="D79:D93" si="7">C79/$C$94</f>
        <v>0.34837633290459108</v>
      </c>
      <c r="E79" s="323">
        <f>E35</f>
        <v>2218.0652724492656</v>
      </c>
      <c r="F79" s="323">
        <f>F35</f>
        <v>2914.6101869297249</v>
      </c>
      <c r="G79" s="323">
        <f>G35</f>
        <v>696.54491448045928</v>
      </c>
      <c r="H79" s="964">
        <f>H35</f>
        <v>15.178545742284125</v>
      </c>
      <c r="K79" s="399" t="s">
        <v>541</v>
      </c>
      <c r="L79" s="992">
        <v>0</v>
      </c>
      <c r="M79" s="323">
        <f>E79</f>
        <v>2218.0652724492656</v>
      </c>
      <c r="N79" s="323">
        <f t="shared" ref="N79:P93" si="8">F79</f>
        <v>2914.6101869297249</v>
      </c>
      <c r="O79" s="323">
        <f t="shared" si="8"/>
        <v>696.54491448045928</v>
      </c>
      <c r="P79" s="964">
        <f t="shared" si="8"/>
        <v>15.178545742284125</v>
      </c>
      <c r="R79" s="267"/>
      <c r="S79" s="2"/>
      <c r="T79" s="2"/>
      <c r="U79" s="2"/>
      <c r="V79" s="2"/>
      <c r="W79" s="2"/>
      <c r="X79" s="2"/>
      <c r="Y79" s="2"/>
    </row>
    <row r="80" spans="2:26" s="235" customFormat="1" x14ac:dyDescent="0.25">
      <c r="B80" s="397" t="s">
        <v>544</v>
      </c>
      <c r="C80" s="970">
        <v>538.09954126085711</v>
      </c>
      <c r="D80" s="962">
        <f t="shared" si="7"/>
        <v>0.29149856426710685</v>
      </c>
      <c r="E80" s="323">
        <f>E37</f>
        <v>2185.2680535755862</v>
      </c>
      <c r="F80" s="323">
        <f>F37</f>
        <v>2933.0799172971729</v>
      </c>
      <c r="G80" s="323">
        <f>G37</f>
        <v>747.81186372158686</v>
      </c>
      <c r="H80" s="964">
        <f>H37</f>
        <v>15.856153202249894</v>
      </c>
      <c r="K80" s="397" t="s">
        <v>544</v>
      </c>
      <c r="L80" s="992">
        <v>0</v>
      </c>
      <c r="M80" s="323">
        <f t="shared" ref="M80:M93" si="9">E80</f>
        <v>2185.2680535755862</v>
      </c>
      <c r="N80" s="323">
        <f t="shared" si="8"/>
        <v>2933.0799172971729</v>
      </c>
      <c r="O80" s="323">
        <f t="shared" si="8"/>
        <v>747.81186372158686</v>
      </c>
      <c r="P80" s="964">
        <f t="shared" si="8"/>
        <v>15.856153202249894</v>
      </c>
      <c r="R80" s="267"/>
      <c r="S80" s="2"/>
      <c r="T80" s="2"/>
      <c r="U80" s="2"/>
      <c r="V80" s="2"/>
      <c r="W80" s="2"/>
      <c r="X80" s="2"/>
      <c r="Y80" s="2"/>
    </row>
    <row r="81" spans="2:26" s="235" customFormat="1" x14ac:dyDescent="0.25">
      <c r="B81" s="399" t="s">
        <v>554</v>
      </c>
      <c r="C81" s="970">
        <v>175.57064285714287</v>
      </c>
      <c r="D81" s="962">
        <f t="shared" si="7"/>
        <v>9.510989398056377E-2</v>
      </c>
      <c r="E81" s="323">
        <f t="shared" ref="E81:G82" si="10">E43</f>
        <v>1931.9538754111029</v>
      </c>
      <c r="F81" s="323">
        <f t="shared" si="10"/>
        <v>2387.565028712102</v>
      </c>
      <c r="G81" s="323">
        <f t="shared" si="10"/>
        <v>455.61115330099915</v>
      </c>
      <c r="H81" s="964">
        <v>10.507494447146378</v>
      </c>
      <c r="K81" s="399" t="s">
        <v>554</v>
      </c>
      <c r="L81" s="992">
        <v>0</v>
      </c>
      <c r="M81" s="323">
        <f t="shared" si="9"/>
        <v>1931.9538754111029</v>
      </c>
      <c r="N81" s="323">
        <f t="shared" si="8"/>
        <v>2387.565028712102</v>
      </c>
      <c r="O81" s="323">
        <f t="shared" si="8"/>
        <v>455.61115330099915</v>
      </c>
      <c r="P81" s="964">
        <f t="shared" si="8"/>
        <v>10.507494447146378</v>
      </c>
      <c r="R81" s="267"/>
      <c r="S81" s="2"/>
      <c r="T81" s="2"/>
      <c r="U81" s="2"/>
      <c r="V81" s="2"/>
      <c r="W81" s="2"/>
      <c r="X81" s="2"/>
      <c r="Y81" s="2"/>
    </row>
    <row r="82" spans="2:26" s="235" customFormat="1" x14ac:dyDescent="0.25">
      <c r="B82" s="399" t="s">
        <v>555</v>
      </c>
      <c r="C82" s="970">
        <v>23.881657142857147</v>
      </c>
      <c r="D82" s="962">
        <f t="shared" si="7"/>
        <v>1.2937139387166677E-2</v>
      </c>
      <c r="E82" s="323">
        <f t="shared" si="10"/>
        <v>1432.5054604785805</v>
      </c>
      <c r="F82" s="323">
        <f t="shared" si="10"/>
        <v>1859.2476099049395</v>
      </c>
      <c r="G82" s="323">
        <f t="shared" si="10"/>
        <v>426.74214942635911</v>
      </c>
      <c r="H82" s="964">
        <f>H44</f>
        <v>7.1268429885271827</v>
      </c>
      <c r="K82" s="399" t="s">
        <v>555</v>
      </c>
      <c r="L82" s="992">
        <v>0</v>
      </c>
      <c r="M82" s="323">
        <f t="shared" si="9"/>
        <v>1432.5054604785805</v>
      </c>
      <c r="N82" s="323">
        <f t="shared" si="8"/>
        <v>1859.2476099049395</v>
      </c>
      <c r="O82" s="323">
        <f t="shared" si="8"/>
        <v>426.74214942635911</v>
      </c>
      <c r="P82" s="964">
        <f t="shared" si="8"/>
        <v>7.1268429885271827</v>
      </c>
      <c r="R82" s="267"/>
      <c r="S82" s="2"/>
      <c r="T82" s="2"/>
      <c r="U82" s="2"/>
      <c r="V82" s="2"/>
      <c r="W82" s="2"/>
      <c r="X82" s="2"/>
      <c r="Y82" s="2"/>
    </row>
    <row r="83" spans="2:26" s="235" customFormat="1" x14ac:dyDescent="0.25">
      <c r="B83" s="399" t="s">
        <v>563</v>
      </c>
      <c r="C83" s="970">
        <v>47.277471428571445</v>
      </c>
      <c r="D83" s="962">
        <f t="shared" si="7"/>
        <v>2.5611088631140286E-2</v>
      </c>
      <c r="E83" s="323">
        <f t="shared" ref="E83:H85" si="11">E50</f>
        <v>1308.0194841323641</v>
      </c>
      <c r="F83" s="323">
        <f t="shared" si="11"/>
        <v>1588.2754124999999</v>
      </c>
      <c r="G83" s="323">
        <f>G50</f>
        <v>280.2559283676357</v>
      </c>
      <c r="H83" s="964">
        <f t="shared" si="11"/>
        <v>7.3987565089055831</v>
      </c>
      <c r="K83" s="399" t="s">
        <v>563</v>
      </c>
      <c r="L83" s="992">
        <v>0</v>
      </c>
      <c r="M83" s="323">
        <f t="shared" si="9"/>
        <v>1308.0194841323641</v>
      </c>
      <c r="N83" s="323">
        <f t="shared" si="8"/>
        <v>1588.2754124999999</v>
      </c>
      <c r="O83" s="323">
        <f t="shared" si="8"/>
        <v>280.2559283676357</v>
      </c>
      <c r="P83" s="964">
        <f t="shared" si="8"/>
        <v>7.3987565089055831</v>
      </c>
      <c r="R83" s="267"/>
      <c r="S83" s="2"/>
      <c r="T83" s="2"/>
      <c r="U83" s="2"/>
      <c r="V83" s="2"/>
      <c r="W83" s="2"/>
      <c r="X83" s="2"/>
      <c r="Y83" s="2"/>
    </row>
    <row r="84" spans="2:26" s="235" customFormat="1" x14ac:dyDescent="0.25">
      <c r="B84" s="399" t="s">
        <v>566</v>
      </c>
      <c r="C84" s="970">
        <v>55.157049999999991</v>
      </c>
      <c r="D84" s="962">
        <f t="shared" si="7"/>
        <v>2.9879603402996984E-2</v>
      </c>
      <c r="E84" s="323">
        <f>E51</f>
        <v>1182.75701424106</v>
      </c>
      <c r="F84" s="323">
        <f t="shared" si="11"/>
        <v>1460.3139699999999</v>
      </c>
      <c r="G84" s="323">
        <f>G51</f>
        <v>277.55695575894003</v>
      </c>
      <c r="H84" s="964">
        <f t="shared" si="11"/>
        <v>5.5511391151788008</v>
      </c>
      <c r="K84" s="399" t="s">
        <v>566</v>
      </c>
      <c r="L84" s="992">
        <v>0</v>
      </c>
      <c r="M84" s="323">
        <f t="shared" si="9"/>
        <v>1182.75701424106</v>
      </c>
      <c r="N84" s="323">
        <f t="shared" si="8"/>
        <v>1460.3139699999999</v>
      </c>
      <c r="O84" s="323">
        <f t="shared" si="8"/>
        <v>277.55695575894003</v>
      </c>
      <c r="P84" s="964">
        <f t="shared" si="8"/>
        <v>5.5511391151788008</v>
      </c>
      <c r="R84" s="267"/>
      <c r="S84" s="2"/>
      <c r="T84" s="2"/>
      <c r="U84" s="2"/>
      <c r="V84" s="2"/>
      <c r="W84" s="2"/>
      <c r="X84" s="2"/>
      <c r="Y84" s="2"/>
    </row>
    <row r="85" spans="2:26" s="235" customFormat="1" x14ac:dyDescent="0.25">
      <c r="B85" s="399" t="s">
        <v>569</v>
      </c>
      <c r="C85" s="970">
        <v>55.157049999999991</v>
      </c>
      <c r="D85" s="962">
        <f t="shared" si="7"/>
        <v>2.9879603402996984E-2</v>
      </c>
      <c r="E85" s="323">
        <f t="shared" si="11"/>
        <v>1159.79163174106</v>
      </c>
      <c r="F85" s="323">
        <f t="shared" si="11"/>
        <v>1437.0110875</v>
      </c>
      <c r="G85" s="323">
        <f t="shared" si="11"/>
        <v>277.21945575894006</v>
      </c>
      <c r="H85" s="964">
        <f t="shared" si="11"/>
        <v>5.5443891151788014</v>
      </c>
      <c r="K85" s="399" t="s">
        <v>569</v>
      </c>
      <c r="L85" s="992">
        <v>0</v>
      </c>
      <c r="M85" s="323">
        <f t="shared" si="9"/>
        <v>1159.79163174106</v>
      </c>
      <c r="N85" s="323">
        <f t="shared" si="8"/>
        <v>1437.0110875</v>
      </c>
      <c r="O85" s="323">
        <f t="shared" si="8"/>
        <v>277.21945575894006</v>
      </c>
      <c r="P85" s="964">
        <f t="shared" si="8"/>
        <v>5.5443891151788014</v>
      </c>
      <c r="R85" s="267"/>
      <c r="S85" s="2"/>
      <c r="T85" s="2"/>
      <c r="U85" s="2"/>
      <c r="V85" s="2"/>
      <c r="W85" s="2"/>
      <c r="X85" s="2"/>
      <c r="Y85" s="2"/>
    </row>
    <row r="86" spans="2:26" s="235" customFormat="1" x14ac:dyDescent="0.25">
      <c r="B86" s="952" t="s">
        <v>585</v>
      </c>
      <c r="C86" s="970">
        <v>105.23928571428571</v>
      </c>
      <c r="D86" s="962">
        <f t="shared" si="7"/>
        <v>5.7010085194141892E-2</v>
      </c>
      <c r="E86" s="323">
        <f>'Cropping GMs - N cost Grain £'!AI78</f>
        <v>2612.2502028985518</v>
      </c>
      <c r="F86" s="323">
        <f>'Cropping GMs - N cost Grain £'!AI75</f>
        <v>16931.787500000002</v>
      </c>
      <c r="G86" s="323">
        <f>'Cropping GMs - N cost Grain £'!AI70</f>
        <v>5262.9997971014491</v>
      </c>
      <c r="H86" s="964">
        <f>'Cropping GMs - N cost Grain £'!AI4</f>
        <v>136.23983464347828</v>
      </c>
      <c r="K86" s="952" t="s">
        <v>585</v>
      </c>
      <c r="L86" s="992">
        <v>0</v>
      </c>
      <c r="M86" s="323">
        <f t="shared" si="9"/>
        <v>2612.2502028985518</v>
      </c>
      <c r="N86" s="323">
        <f t="shared" si="8"/>
        <v>16931.787500000002</v>
      </c>
      <c r="O86" s="323">
        <f t="shared" si="8"/>
        <v>5262.9997971014491</v>
      </c>
      <c r="P86" s="964">
        <f t="shared" si="8"/>
        <v>136.23983464347828</v>
      </c>
      <c r="R86" s="267"/>
      <c r="S86" s="2"/>
      <c r="T86" s="2"/>
      <c r="U86" s="2"/>
      <c r="V86" s="2"/>
      <c r="W86" s="2"/>
      <c r="X86" s="2"/>
      <c r="Y86" s="2"/>
    </row>
    <row r="87" spans="2:26" s="235" customFormat="1" x14ac:dyDescent="0.25">
      <c r="B87" s="952" t="s">
        <v>586</v>
      </c>
      <c r="C87" s="970">
        <v>105.40814285714285</v>
      </c>
      <c r="D87" s="962">
        <f t="shared" si="7"/>
        <v>5.7101558259875722E-2</v>
      </c>
      <c r="E87" s="323">
        <f>'Cropping GMs - N cost Grain £'!AG78</f>
        <v>668.24357778885485</v>
      </c>
      <c r="F87" s="323">
        <f>'Cropping GMs - N cost Grain £'!AG75</f>
        <v>3472.71088814308</v>
      </c>
      <c r="G87" s="323">
        <f>'Cropping GMs - N cost Grain £'!AG70</f>
        <v>946.970788789322</v>
      </c>
      <c r="H87" s="964">
        <f>'Cropping GMs - N cost Grain £'!AG4</f>
        <v>22.3642528240381</v>
      </c>
      <c r="K87" s="952" t="s">
        <v>586</v>
      </c>
      <c r="L87" s="992">
        <v>0</v>
      </c>
      <c r="M87" s="323">
        <f t="shared" si="9"/>
        <v>668.24357778885485</v>
      </c>
      <c r="N87" s="323">
        <f t="shared" si="8"/>
        <v>3472.71088814308</v>
      </c>
      <c r="O87" s="323">
        <f t="shared" si="8"/>
        <v>946.970788789322</v>
      </c>
      <c r="P87" s="964">
        <f t="shared" si="8"/>
        <v>22.3642528240381</v>
      </c>
      <c r="R87" s="267"/>
      <c r="S87" s="2"/>
      <c r="T87" s="2"/>
      <c r="U87" s="2"/>
      <c r="V87" s="2"/>
      <c r="W87" s="2"/>
      <c r="X87" s="2"/>
      <c r="Y87" s="2"/>
    </row>
    <row r="88" spans="2:26" s="235" customFormat="1" x14ac:dyDescent="0.25">
      <c r="B88" s="952" t="s">
        <v>587</v>
      </c>
      <c r="C88" s="970">
        <v>97.091228571428573</v>
      </c>
      <c r="D88" s="962">
        <f t="shared" si="7"/>
        <v>5.2596130569419787E-2</v>
      </c>
      <c r="E88" s="323">
        <f>'Cropping GMs - N cost Grain £'!AJ78</f>
        <v>752.72000000000025</v>
      </c>
      <c r="F88" s="323">
        <f>'Cropping GMs - baseline'!AJ87</f>
        <v>0</v>
      </c>
      <c r="G88" s="323">
        <f>'Cropping GMs - N cost Grain £'!AJ70</f>
        <v>4167.28</v>
      </c>
      <c r="H88" s="964">
        <f>'Cropping GMs - N cost Grain £'!AJ4</f>
        <v>101.9568</v>
      </c>
      <c r="K88" s="952" t="s">
        <v>587</v>
      </c>
      <c r="L88" s="992">
        <v>0</v>
      </c>
      <c r="M88" s="323">
        <f>E88</f>
        <v>752.72000000000025</v>
      </c>
      <c r="N88" s="323">
        <f t="shared" si="8"/>
        <v>0</v>
      </c>
      <c r="O88" s="323">
        <f t="shared" si="8"/>
        <v>4167.28</v>
      </c>
      <c r="P88" s="964">
        <f t="shared" si="8"/>
        <v>101.9568</v>
      </c>
      <c r="R88" s="267"/>
      <c r="S88" s="2"/>
      <c r="T88" s="2"/>
      <c r="U88" s="2"/>
      <c r="V88" s="2"/>
      <c r="W88" s="2"/>
      <c r="X88" s="2"/>
      <c r="Y88" s="2"/>
    </row>
    <row r="89" spans="2:26" s="235" customFormat="1" x14ac:dyDescent="0.25">
      <c r="B89" s="952" t="s">
        <v>588</v>
      </c>
      <c r="C89" s="970">
        <v>0</v>
      </c>
      <c r="D89" s="962">
        <f t="shared" si="7"/>
        <v>0</v>
      </c>
      <c r="E89" s="323">
        <f>0</f>
        <v>0</v>
      </c>
      <c r="F89" s="323">
        <v>0</v>
      </c>
      <c r="G89" s="323">
        <f>O56</f>
        <v>125.66500000000001</v>
      </c>
      <c r="H89" s="964">
        <f>P56</f>
        <v>2.5133000000000001</v>
      </c>
      <c r="K89" s="952" t="str">
        <f>B89</f>
        <v>Agroecological herbal ley</v>
      </c>
      <c r="L89" s="992">
        <f>3/7</f>
        <v>0.42857142857142855</v>
      </c>
      <c r="M89" s="323">
        <f t="shared" si="9"/>
        <v>0</v>
      </c>
      <c r="N89" s="323">
        <f t="shared" si="8"/>
        <v>0</v>
      </c>
      <c r="O89" s="323">
        <f t="shared" si="8"/>
        <v>125.66500000000001</v>
      </c>
      <c r="P89" s="964">
        <f t="shared" si="8"/>
        <v>2.5133000000000001</v>
      </c>
      <c r="R89" s="267"/>
      <c r="S89" s="2"/>
      <c r="T89" s="2"/>
      <c r="U89" s="2"/>
      <c r="V89" s="2"/>
      <c r="W89" s="2"/>
      <c r="X89" s="2"/>
      <c r="Y89" s="2"/>
    </row>
    <row r="90" spans="2:26" s="235" customFormat="1" x14ac:dyDescent="0.25">
      <c r="B90" s="952" t="s">
        <v>589</v>
      </c>
      <c r="C90" s="970">
        <v>0</v>
      </c>
      <c r="D90" s="962">
        <f t="shared" si="7"/>
        <v>0</v>
      </c>
      <c r="E90" s="323">
        <f>'Cropping GMs - N cost Grain £'!AI129</f>
        <v>4706.5</v>
      </c>
      <c r="F90" s="323">
        <f>'Cropping GMs - N cost Grain £'!AI127</f>
        <v>8406.5</v>
      </c>
      <c r="G90" s="323">
        <f>'Cropping GMs - N cost Grain £'!AI102</f>
        <v>0</v>
      </c>
      <c r="H90" s="964">
        <f>'Cropping GMs - N cost Grain £'!AI87</f>
        <v>74</v>
      </c>
      <c r="K90" s="952" t="str">
        <f t="shared" ref="K90:K93" si="12">B90</f>
        <v>Agroecological potatoes</v>
      </c>
      <c r="L90" s="992">
        <f>1/7</f>
        <v>0.14285714285714285</v>
      </c>
      <c r="M90" s="323">
        <f t="shared" si="9"/>
        <v>4706.5</v>
      </c>
      <c r="N90" s="323">
        <f t="shared" si="8"/>
        <v>8406.5</v>
      </c>
      <c r="O90" s="323">
        <f t="shared" si="8"/>
        <v>0</v>
      </c>
      <c r="P90" s="964">
        <f t="shared" si="8"/>
        <v>74</v>
      </c>
      <c r="R90" s="267"/>
      <c r="S90" s="2"/>
      <c r="T90" s="2"/>
      <c r="U90" s="2"/>
      <c r="V90" s="2"/>
      <c r="W90" s="2"/>
      <c r="X90" s="2"/>
      <c r="Y90" s="2"/>
    </row>
    <row r="91" spans="2:26" s="235" customFormat="1" x14ac:dyDescent="0.25">
      <c r="B91" s="952" t="s">
        <v>590</v>
      </c>
      <c r="C91" s="970">
        <v>0</v>
      </c>
      <c r="D91" s="962">
        <f t="shared" si="7"/>
        <v>0</v>
      </c>
      <c r="E91" s="323">
        <f>'Cropping GMs - N cost Grain £'!AR129</f>
        <v>4490</v>
      </c>
      <c r="F91" s="323">
        <f>'Cropping GMs - N cost Grain £'!AR127</f>
        <v>10750</v>
      </c>
      <c r="G91" s="323">
        <f>'Cropping GMs - N cost Grain £'!AR102</f>
        <v>0</v>
      </c>
      <c r="H91" s="964">
        <f>'Cropping GMs - N cost Grain £'!AR87</f>
        <v>125.2</v>
      </c>
      <c r="K91" s="952" t="str">
        <f t="shared" si="12"/>
        <v>Agroecological carrots</v>
      </c>
      <c r="L91" s="992">
        <f>1/7</f>
        <v>0.14285714285714285</v>
      </c>
      <c r="M91" s="323">
        <f t="shared" si="9"/>
        <v>4490</v>
      </c>
      <c r="N91" s="323">
        <f>F91</f>
        <v>10750</v>
      </c>
      <c r="O91" s="323">
        <f t="shared" si="8"/>
        <v>0</v>
      </c>
      <c r="P91" s="964">
        <f t="shared" si="8"/>
        <v>125.2</v>
      </c>
      <c r="R91" s="267"/>
      <c r="S91" s="2"/>
      <c r="T91" s="2"/>
      <c r="U91" s="2"/>
      <c r="V91" s="2"/>
      <c r="W91" s="2"/>
      <c r="X91" s="2"/>
      <c r="Y91" s="2"/>
    </row>
    <row r="92" spans="2:26" s="235" customFormat="1" x14ac:dyDescent="0.25">
      <c r="B92" s="952" t="s">
        <v>591</v>
      </c>
      <c r="C92" s="970">
        <v>0</v>
      </c>
      <c r="D92" s="962">
        <f t="shared" si="7"/>
        <v>0</v>
      </c>
      <c r="E92" s="323">
        <f>M35</f>
        <v>1670.9039999999995</v>
      </c>
      <c r="F92" s="323">
        <f t="shared" ref="F92:H92" si="13">N35</f>
        <v>1840.3999999999996</v>
      </c>
      <c r="G92" s="323">
        <f t="shared" si="13"/>
        <v>111.536</v>
      </c>
      <c r="H92" s="964">
        <f t="shared" si="13"/>
        <v>4.4746944000000006</v>
      </c>
      <c r="K92" s="952" t="str">
        <f t="shared" si="12"/>
        <v>Agroecological wheat</v>
      </c>
      <c r="L92" s="992">
        <f>1/7</f>
        <v>0.14285714285714285</v>
      </c>
      <c r="M92" s="323">
        <f t="shared" si="9"/>
        <v>1670.9039999999995</v>
      </c>
      <c r="N92" s="323">
        <f t="shared" si="8"/>
        <v>1840.3999999999996</v>
      </c>
      <c r="O92" s="323">
        <f>G92</f>
        <v>111.536</v>
      </c>
      <c r="P92" s="964">
        <f t="shared" si="8"/>
        <v>4.4746944000000006</v>
      </c>
      <c r="R92" s="267"/>
      <c r="S92" s="2"/>
      <c r="T92" s="2"/>
      <c r="U92" s="2"/>
      <c r="V92" s="2"/>
      <c r="W92" s="2"/>
      <c r="X92" s="2"/>
      <c r="Y92" s="2"/>
    </row>
    <row r="93" spans="2:26" s="235" customFormat="1" ht="11" thickBot="1" x14ac:dyDescent="0.3">
      <c r="B93" s="952" t="s">
        <v>592</v>
      </c>
      <c r="C93" s="998">
        <v>0</v>
      </c>
      <c r="D93" s="999">
        <f t="shared" si="7"/>
        <v>0</v>
      </c>
      <c r="E93" s="1000">
        <f>M68</f>
        <v>466.75</v>
      </c>
      <c r="F93" s="1000">
        <f t="shared" ref="F93:H93" si="14">N68</f>
        <v>795.5</v>
      </c>
      <c r="G93" s="1000">
        <f>O68</f>
        <v>185</v>
      </c>
      <c r="H93" s="1001">
        <f t="shared" si="14"/>
        <v>6.5750000000000002</v>
      </c>
      <c r="K93" s="952" t="str">
        <f t="shared" si="12"/>
        <v>Agroecological beans</v>
      </c>
      <c r="L93" s="992">
        <f>1/7</f>
        <v>0.14285714285714285</v>
      </c>
      <c r="M93" s="323">
        <f t="shared" si="9"/>
        <v>466.75</v>
      </c>
      <c r="N93" s="323">
        <f t="shared" si="8"/>
        <v>795.5</v>
      </c>
      <c r="O93" s="323">
        <f t="shared" si="8"/>
        <v>185</v>
      </c>
      <c r="P93" s="964">
        <f t="shared" si="8"/>
        <v>6.5750000000000002</v>
      </c>
      <c r="R93" s="267"/>
      <c r="S93" s="2"/>
      <c r="T93" s="2"/>
      <c r="U93" s="2"/>
      <c r="V93" s="2"/>
      <c r="W93" s="2"/>
      <c r="X93" s="2"/>
      <c r="Y93" s="2"/>
    </row>
    <row r="94" spans="2:26" s="235" customFormat="1" ht="11" thickBot="1" x14ac:dyDescent="0.3">
      <c r="B94" s="954" t="s">
        <v>246</v>
      </c>
      <c r="C94" s="994">
        <f>SUM(C79:C93)</f>
        <v>1845.9766435342856</v>
      </c>
      <c r="D94" s="995">
        <f>SUM(D79:D93)</f>
        <v>1</v>
      </c>
      <c r="E94" s="996">
        <f>SUMPRODUCT($D$79:$D$88,E79:E88)</f>
        <v>1942.1711400360527</v>
      </c>
      <c r="F94" s="996">
        <f>SUMPRODUCT($D$79:$D$88,F79:F88)</f>
        <v>3412.3324327498362</v>
      </c>
      <c r="G94" s="996">
        <f>SUMPRODUCT($D$79:$D$88,G79:G88)</f>
        <v>1106.5543348327337</v>
      </c>
      <c r="H94" s="997">
        <f>SUMPRODUCT($D$79:$D$88,H79:H88)</f>
        <v>25.929091264229925</v>
      </c>
      <c r="K94" s="954" t="s">
        <v>246</v>
      </c>
      <c r="L94" s="993">
        <f>SUM(L79:L93)</f>
        <v>0.99999999999999978</v>
      </c>
      <c r="M94" s="963">
        <f>SUMPRODUCT($L$79:$L$93,M79:M93)</f>
        <v>1619.1648571428568</v>
      </c>
      <c r="N94" s="963">
        <f t="shared" ref="N94:P94" si="15">SUMPRODUCT($L$79:$L$93,N79:N93)</f>
        <v>3113.2</v>
      </c>
      <c r="O94" s="963">
        <f>SUMPRODUCT($L$79:$L$93,O79:O93)</f>
        <v>96.218714285714285</v>
      </c>
      <c r="P94" s="971">
        <f t="shared" si="15"/>
        <v>31.112799200000001</v>
      </c>
      <c r="R94" s="267"/>
      <c r="S94" s="2"/>
      <c r="T94" s="2"/>
      <c r="U94" s="2"/>
      <c r="V94" s="2"/>
      <c r="W94" s="2"/>
      <c r="X94" s="2"/>
      <c r="Y94" s="2"/>
    </row>
    <row r="95" spans="2:26" s="235" customFormat="1" x14ac:dyDescent="0.25">
      <c r="R95" s="267"/>
      <c r="S95" s="2"/>
      <c r="T95" s="2"/>
      <c r="U95" s="2"/>
      <c r="V95" s="2"/>
      <c r="W95" s="2"/>
      <c r="X95" s="2"/>
      <c r="Y95" s="2"/>
      <c r="Z95" s="2"/>
    </row>
    <row r="96" spans="2:26" s="235" customFormat="1" x14ac:dyDescent="0.25">
      <c r="R96" s="267"/>
      <c r="S96" s="2"/>
      <c r="T96" s="2"/>
      <c r="U96" s="2"/>
      <c r="V96" s="2"/>
      <c r="W96" s="2"/>
      <c r="X96" s="2"/>
      <c r="Y96" s="2"/>
      <c r="Z96" s="2"/>
    </row>
    <row r="97" spans="18:26" s="235" customFormat="1" x14ac:dyDescent="0.25">
      <c r="R97" s="267"/>
      <c r="S97" s="2"/>
      <c r="T97" s="2"/>
      <c r="U97" s="2"/>
      <c r="V97" s="2"/>
      <c r="W97" s="2"/>
      <c r="X97" s="2"/>
      <c r="Y97" s="2"/>
      <c r="Z97" s="2"/>
    </row>
    <row r="98" spans="18:26" s="235" customFormat="1" x14ac:dyDescent="0.25">
      <c r="R98" s="267"/>
      <c r="S98" s="2"/>
      <c r="T98" s="2"/>
      <c r="U98" s="2"/>
      <c r="V98" s="2"/>
      <c r="W98" s="2"/>
      <c r="X98" s="2"/>
      <c r="Y98" s="2"/>
      <c r="Z98" s="2"/>
    </row>
    <row r="99" spans="18:26" s="235" customFormat="1" x14ac:dyDescent="0.25">
      <c r="R99" s="267"/>
      <c r="S99" s="2"/>
      <c r="T99" s="2"/>
      <c r="U99" s="2"/>
      <c r="V99" s="2"/>
      <c r="W99" s="2"/>
      <c r="X99" s="2"/>
      <c r="Y99" s="2"/>
      <c r="Z99" s="2"/>
    </row>
    <row r="100" spans="18:26" s="235" customFormat="1" x14ac:dyDescent="0.25">
      <c r="R100" s="267"/>
      <c r="S100" s="2"/>
      <c r="T100" s="2"/>
      <c r="U100" s="2"/>
      <c r="V100" s="2"/>
      <c r="W100" s="2"/>
      <c r="X100" s="2"/>
      <c r="Y100" s="2"/>
      <c r="Z100" s="2"/>
    </row>
    <row r="101" spans="18:26" s="235" customFormat="1" x14ac:dyDescent="0.25">
      <c r="R101" s="267"/>
      <c r="S101" s="2"/>
      <c r="T101" s="2"/>
      <c r="U101" s="2"/>
      <c r="V101" s="2"/>
      <c r="W101" s="2"/>
      <c r="X101" s="2"/>
      <c r="Y101" s="2"/>
      <c r="Z101" s="2"/>
    </row>
    <row r="102" spans="18:26" s="235" customFormat="1" x14ac:dyDescent="0.25">
      <c r="R102" s="267"/>
      <c r="S102" s="2"/>
      <c r="T102" s="2"/>
      <c r="U102" s="2"/>
      <c r="V102" s="2"/>
      <c r="W102" s="2"/>
      <c r="X102" s="2"/>
      <c r="Y102" s="2"/>
      <c r="Z102" s="2"/>
    </row>
    <row r="103" spans="18:26" s="235" customFormat="1" x14ac:dyDescent="0.25">
      <c r="R103" s="267"/>
      <c r="S103" s="2"/>
      <c r="T103" s="2"/>
      <c r="U103" s="2"/>
      <c r="V103" s="2"/>
      <c r="W103" s="2"/>
      <c r="X103" s="2"/>
      <c r="Y103" s="2"/>
      <c r="Z103" s="2"/>
    </row>
    <row r="104" spans="18:26" s="235" customFormat="1" x14ac:dyDescent="0.25">
      <c r="R104" s="267"/>
      <c r="S104" s="2"/>
      <c r="T104" s="2"/>
      <c r="U104" s="2"/>
      <c r="V104" s="2"/>
      <c r="W104" s="2"/>
      <c r="X104" s="2"/>
      <c r="Y104" s="2"/>
      <c r="Z104" s="2"/>
    </row>
    <row r="105" spans="18:26" s="235" customFormat="1" x14ac:dyDescent="0.25">
      <c r="R105" s="267"/>
      <c r="S105" s="2"/>
      <c r="T105" s="2"/>
      <c r="U105" s="2"/>
      <c r="V105" s="2"/>
      <c r="W105" s="2"/>
      <c r="X105" s="2"/>
      <c r="Y105" s="2"/>
      <c r="Z105" s="2"/>
    </row>
    <row r="106" spans="18:26" s="235" customFormat="1" x14ac:dyDescent="0.25">
      <c r="R106" s="267"/>
      <c r="S106" s="2"/>
      <c r="T106" s="2"/>
      <c r="U106" s="2"/>
      <c r="V106" s="2"/>
      <c r="W106" s="2"/>
      <c r="X106" s="2"/>
      <c r="Y106" s="2"/>
      <c r="Z106" s="2"/>
    </row>
    <row r="107" spans="18:26" s="235" customFormat="1" x14ac:dyDescent="0.25">
      <c r="R107" s="267"/>
      <c r="S107" s="2"/>
      <c r="T107" s="2"/>
      <c r="U107" s="2"/>
      <c r="V107" s="2"/>
      <c r="W107" s="2"/>
      <c r="X107" s="2"/>
      <c r="Y107" s="2"/>
      <c r="Z107" s="2"/>
    </row>
    <row r="108" spans="18:26" s="235" customFormat="1" x14ac:dyDescent="0.25">
      <c r="R108" s="267"/>
      <c r="S108" s="2"/>
      <c r="T108" s="2"/>
      <c r="U108" s="2"/>
      <c r="V108" s="2"/>
      <c r="W108" s="2"/>
      <c r="X108" s="2"/>
      <c r="Y108" s="2"/>
      <c r="Z108" s="2"/>
    </row>
    <row r="109" spans="18:26" s="235" customFormat="1" x14ac:dyDescent="0.25">
      <c r="R109" s="267"/>
      <c r="S109" s="2"/>
      <c r="T109" s="2"/>
      <c r="U109" s="2"/>
      <c r="V109" s="2"/>
      <c r="W109" s="2"/>
      <c r="X109" s="2"/>
      <c r="Y109" s="2"/>
      <c r="Z109" s="2"/>
    </row>
    <row r="110" spans="18:26" s="235" customFormat="1" x14ac:dyDescent="0.25">
      <c r="R110" s="267"/>
      <c r="S110" s="2"/>
      <c r="T110" s="2"/>
      <c r="U110" s="2"/>
      <c r="V110" s="2"/>
      <c r="W110" s="2"/>
      <c r="X110" s="2"/>
      <c r="Y110" s="2"/>
      <c r="Z110" s="2"/>
    </row>
    <row r="111" spans="18:26" s="235" customFormat="1" x14ac:dyDescent="0.25">
      <c r="R111" s="267"/>
      <c r="S111" s="2"/>
      <c r="T111" s="2"/>
      <c r="U111" s="2"/>
      <c r="V111" s="2"/>
      <c r="W111" s="2"/>
      <c r="X111" s="2"/>
      <c r="Y111" s="2"/>
      <c r="Z111" s="2"/>
    </row>
    <row r="112" spans="18:26" s="235" customFormat="1" x14ac:dyDescent="0.25">
      <c r="R112" s="267"/>
      <c r="S112" s="2"/>
      <c r="T112" s="2"/>
      <c r="U112" s="2"/>
      <c r="V112" s="2"/>
      <c r="W112" s="2"/>
      <c r="X112" s="2"/>
      <c r="Y112" s="2"/>
      <c r="Z112" s="2"/>
    </row>
    <row r="113" spans="18:26" s="235" customFormat="1" x14ac:dyDescent="0.25">
      <c r="R113" s="267"/>
      <c r="S113" s="2"/>
      <c r="T113" s="2"/>
      <c r="U113" s="2"/>
      <c r="V113" s="2"/>
      <c r="W113" s="2"/>
      <c r="X113" s="2"/>
      <c r="Y113" s="2"/>
      <c r="Z113" s="2"/>
    </row>
    <row r="114" spans="18:26" s="235" customFormat="1" x14ac:dyDescent="0.25">
      <c r="R114" s="267"/>
      <c r="S114" s="2"/>
      <c r="T114" s="2"/>
      <c r="U114" s="2"/>
      <c r="V114" s="2"/>
      <c r="W114" s="2"/>
      <c r="X114" s="2"/>
      <c r="Y114" s="2"/>
      <c r="Z114" s="2"/>
    </row>
    <row r="115" spans="18:26" s="235" customFormat="1" x14ac:dyDescent="0.25">
      <c r="R115" s="267"/>
      <c r="S115" s="2"/>
      <c r="T115" s="2"/>
      <c r="U115" s="2"/>
      <c r="V115" s="2"/>
      <c r="W115" s="2"/>
      <c r="X115" s="2"/>
      <c r="Y115" s="2"/>
      <c r="Z115" s="2"/>
    </row>
    <row r="116" spans="18:26" s="235" customFormat="1" x14ac:dyDescent="0.25">
      <c r="R116" s="267"/>
      <c r="S116" s="2"/>
      <c r="T116" s="2"/>
      <c r="U116" s="2"/>
      <c r="V116" s="2"/>
      <c r="W116" s="2"/>
      <c r="X116" s="2"/>
      <c r="Y116" s="2"/>
      <c r="Z116" s="2"/>
    </row>
    <row r="117" spans="18:26" s="235" customFormat="1" x14ac:dyDescent="0.25">
      <c r="R117" s="267"/>
      <c r="S117" s="2"/>
      <c r="T117" s="2"/>
      <c r="U117" s="2"/>
      <c r="V117" s="2"/>
      <c r="W117" s="2"/>
      <c r="X117" s="2"/>
      <c r="Y117" s="2"/>
      <c r="Z117" s="2"/>
    </row>
    <row r="118" spans="18:26" s="235" customFormat="1" x14ac:dyDescent="0.25">
      <c r="R118" s="267"/>
      <c r="S118" s="2"/>
      <c r="T118" s="2"/>
      <c r="U118" s="2"/>
      <c r="V118" s="2"/>
      <c r="W118" s="2"/>
      <c r="X118" s="2"/>
      <c r="Y118" s="2"/>
      <c r="Z118" s="2"/>
    </row>
    <row r="119" spans="18:26" s="235" customFormat="1" x14ac:dyDescent="0.25">
      <c r="R119" s="267"/>
      <c r="S119" s="2"/>
      <c r="T119" s="2"/>
      <c r="U119" s="2"/>
      <c r="V119" s="2"/>
      <c r="W119" s="2"/>
      <c r="X119" s="2"/>
      <c r="Y119" s="2"/>
      <c r="Z119" s="2"/>
    </row>
  </sheetData>
  <mergeCells count="7">
    <mergeCell ref="C74:H74"/>
    <mergeCell ref="L74:P74"/>
    <mergeCell ref="C2:H2"/>
    <mergeCell ref="L2:P2"/>
    <mergeCell ref="C32:H32"/>
    <mergeCell ref="L32:P32"/>
    <mergeCell ref="L61:P6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2783C-A46F-4BEF-86C6-90905A8B0733}">
  <dimension ref="A1:AY146"/>
  <sheetViews>
    <sheetView workbookViewId="0"/>
  </sheetViews>
  <sheetFormatPr defaultColWidth="8.81640625" defaultRowHeight="10.5" x14ac:dyDescent="0.25"/>
  <cols>
    <col min="1" max="1" width="2.54296875" style="238" customWidth="1"/>
    <col min="2" max="2" width="24.453125" style="45" customWidth="1"/>
    <col min="3" max="26" width="8.81640625" style="45"/>
    <col min="27" max="42" width="8.81640625" style="832"/>
    <col min="43" max="43" width="8.81640625" style="45"/>
    <col min="44" max="51" width="8.81640625" style="238"/>
    <col min="52" max="16384" width="8.81640625" style="45"/>
  </cols>
  <sheetData>
    <row r="1" spans="2:43" s="238" customFormat="1" ht="11" thickBot="1" x14ac:dyDescent="0.3">
      <c r="Z1" s="835"/>
      <c r="AA1" s="836"/>
      <c r="AB1" s="836"/>
      <c r="AC1" s="836"/>
      <c r="AD1" s="836"/>
      <c r="AE1" s="836"/>
      <c r="AF1" s="836"/>
      <c r="AG1" s="836"/>
      <c r="AH1" s="836"/>
      <c r="AI1" s="836"/>
      <c r="AJ1" s="836"/>
      <c r="AK1" s="836"/>
      <c r="AL1" s="836"/>
      <c r="AM1" s="836"/>
      <c r="AN1" s="836"/>
      <c r="AO1" s="836"/>
      <c r="AP1" s="835"/>
    </row>
    <row r="2" spans="2:43" ht="42.5" thickBot="1" x14ac:dyDescent="0.3">
      <c r="B2" s="785" t="s">
        <v>596</v>
      </c>
      <c r="C2" s="786"/>
      <c r="D2" s="780" t="s">
        <v>541</v>
      </c>
      <c r="E2" s="780" t="s">
        <v>543</v>
      </c>
      <c r="F2" s="780" t="s">
        <v>544</v>
      </c>
      <c r="G2" s="780" t="s">
        <v>546</v>
      </c>
      <c r="H2" s="780" t="s">
        <v>548</v>
      </c>
      <c r="I2" s="780" t="s">
        <v>549</v>
      </c>
      <c r="J2" s="780" t="s">
        <v>551</v>
      </c>
      <c r="K2" s="780" t="s">
        <v>552</v>
      </c>
      <c r="L2" s="780" t="s">
        <v>554</v>
      </c>
      <c r="M2" s="780" t="s">
        <v>555</v>
      </c>
      <c r="N2" s="780" t="s">
        <v>557</v>
      </c>
      <c r="O2" s="780" t="s">
        <v>558</v>
      </c>
      <c r="P2" s="780" t="s">
        <v>561</v>
      </c>
      <c r="Q2" s="780" t="s">
        <v>562</v>
      </c>
      <c r="R2" s="780" t="s">
        <v>565</v>
      </c>
      <c r="S2" s="780" t="s">
        <v>563</v>
      </c>
      <c r="T2" s="780" t="s">
        <v>566</v>
      </c>
      <c r="U2" s="780" t="s">
        <v>569</v>
      </c>
      <c r="V2" s="780" t="s">
        <v>571</v>
      </c>
      <c r="W2" s="780" t="s">
        <v>574</v>
      </c>
      <c r="X2" s="780" t="s">
        <v>575</v>
      </c>
      <c r="Y2" s="780" t="s">
        <v>570</v>
      </c>
      <c r="Z2" s="783" t="s">
        <v>572</v>
      </c>
      <c r="AA2" s="780" t="s">
        <v>598</v>
      </c>
      <c r="AB2" s="780" t="s">
        <v>599</v>
      </c>
      <c r="AC2" s="780" t="s">
        <v>600</v>
      </c>
      <c r="AD2" s="780" t="s">
        <v>601</v>
      </c>
      <c r="AE2" s="780" t="s">
        <v>602</v>
      </c>
      <c r="AF2" s="780" t="s">
        <v>603</v>
      </c>
      <c r="AG2" s="780" t="s">
        <v>604</v>
      </c>
      <c r="AH2" s="780" t="s">
        <v>605</v>
      </c>
      <c r="AI2" s="780" t="s">
        <v>585</v>
      </c>
      <c r="AJ2" s="780" t="s">
        <v>606</v>
      </c>
      <c r="AK2" s="780" t="s">
        <v>607</v>
      </c>
      <c r="AL2" s="780" t="s">
        <v>608</v>
      </c>
      <c r="AM2" s="780" t="s">
        <v>609</v>
      </c>
      <c r="AN2" s="780" t="s">
        <v>610</v>
      </c>
      <c r="AO2" s="780" t="s">
        <v>611</v>
      </c>
      <c r="AP2" s="780" t="s">
        <v>612</v>
      </c>
      <c r="AQ2" s="784" t="s">
        <v>613</v>
      </c>
    </row>
    <row r="3" spans="2:43" x14ac:dyDescent="0.25">
      <c r="B3" s="411" t="s">
        <v>614</v>
      </c>
      <c r="C3" s="787" t="s">
        <v>425</v>
      </c>
      <c r="D3" s="795">
        <v>872.31973060313373</v>
      </c>
      <c r="E3" s="795">
        <v>739.17600226718719</v>
      </c>
      <c r="F3" s="795">
        <v>855.2433536259357</v>
      </c>
      <c r="G3" s="795">
        <v>706.24882600291608</v>
      </c>
      <c r="H3" s="795">
        <v>854.29821481940292</v>
      </c>
      <c r="I3" s="795">
        <v>708.96660030279975</v>
      </c>
      <c r="J3" s="795">
        <v>711.17360759021471</v>
      </c>
      <c r="K3" s="795">
        <v>700.96031757456615</v>
      </c>
      <c r="L3" s="795">
        <v>810.16895307672246</v>
      </c>
      <c r="M3" s="795">
        <v>613.79199471547327</v>
      </c>
      <c r="N3" s="795">
        <v>769.30352713738796</v>
      </c>
      <c r="O3" s="795">
        <v>546.72660107878403</v>
      </c>
      <c r="P3" s="795"/>
      <c r="Q3" s="795">
        <v>741.65109138717662</v>
      </c>
      <c r="R3" s="795">
        <v>492.19927478742193</v>
      </c>
      <c r="S3" s="795">
        <v>458.47682163236431</v>
      </c>
      <c r="T3" s="795">
        <v>401.65884424105991</v>
      </c>
      <c r="U3" s="795">
        <v>391.15779424105995</v>
      </c>
      <c r="V3" s="795">
        <v>403.45787504896191</v>
      </c>
      <c r="W3" s="795">
        <v>479.5150856389987</v>
      </c>
      <c r="X3" s="795">
        <v>633.01073781291166</v>
      </c>
      <c r="Y3" s="795">
        <v>358.2730411052155</v>
      </c>
      <c r="Z3" s="821">
        <v>545.34924637681161</v>
      </c>
      <c r="AA3" s="795">
        <v>682.59344927536222</v>
      </c>
      <c r="AB3" s="795">
        <v>774.45021645021643</v>
      </c>
      <c r="AC3" s="795">
        <v>475.74044795783925</v>
      </c>
      <c r="AD3" s="795">
        <v>594.96508563899874</v>
      </c>
      <c r="AE3" s="795">
        <v>767.50856389986825</v>
      </c>
      <c r="AF3" s="795">
        <v>796.81847932338815</v>
      </c>
      <c r="AG3" s="795">
        <v>768.08357778885488</v>
      </c>
      <c r="AH3" s="795">
        <v>4349.9999999999982</v>
      </c>
      <c r="AI3" s="795">
        <v>2714.6502028985515</v>
      </c>
      <c r="AJ3" s="795">
        <v>1058</v>
      </c>
      <c r="AK3" s="795">
        <v>10979</v>
      </c>
      <c r="AL3" s="795">
        <v>15650</v>
      </c>
      <c r="AM3" s="795">
        <v>16386</v>
      </c>
      <c r="AN3" s="795">
        <v>51877</v>
      </c>
      <c r="AO3" s="795">
        <v>174700</v>
      </c>
      <c r="AP3" s="795">
        <v>8550</v>
      </c>
      <c r="AQ3" s="662">
        <v>3539.05</v>
      </c>
    </row>
    <row r="4" spans="2:43" x14ac:dyDescent="0.25">
      <c r="B4" s="663" t="s">
        <v>615</v>
      </c>
      <c r="C4" s="787" t="s">
        <v>425</v>
      </c>
      <c r="D4" s="796">
        <v>15.178545742284125</v>
      </c>
      <c r="E4" s="796">
        <v>15.5302440247767</v>
      </c>
      <c r="F4" s="796">
        <v>15.856153202249894</v>
      </c>
      <c r="G4" s="796">
        <v>16.605015146525233</v>
      </c>
      <c r="H4" s="796">
        <v>15.647643432275565</v>
      </c>
      <c r="I4" s="796">
        <v>16.321728305213831</v>
      </c>
      <c r="J4" s="796">
        <v>8.9893172800531929</v>
      </c>
      <c r="K4" s="796">
        <v>11.469215572121362</v>
      </c>
      <c r="L4" s="796">
        <v>10.507494447146378</v>
      </c>
      <c r="M4" s="796">
        <v>7.1268429885271827</v>
      </c>
      <c r="N4" s="796">
        <v>6.5959857442984982</v>
      </c>
      <c r="O4" s="796">
        <v>9.7397572118563573</v>
      </c>
      <c r="P4" s="796"/>
      <c r="Q4" s="796">
        <v>12.131184059215649</v>
      </c>
      <c r="R4" s="796">
        <v>5.7711678123531716</v>
      </c>
      <c r="S4" s="796">
        <v>7.3987565089055831</v>
      </c>
      <c r="T4" s="796">
        <v>5.5511391151788008</v>
      </c>
      <c r="U4" s="796">
        <v>5.5443891151788014</v>
      </c>
      <c r="V4" s="796">
        <v>5.7811758323540925</v>
      </c>
      <c r="W4" s="796">
        <v>4.409698287220027</v>
      </c>
      <c r="X4" s="796">
        <v>7.0485165217391303</v>
      </c>
      <c r="Y4" s="796">
        <v>5.2048134841650082</v>
      </c>
      <c r="Z4" s="822">
        <v>5.5692550724637684</v>
      </c>
      <c r="AA4" s="796">
        <v>7.3743710144927537</v>
      </c>
      <c r="AB4" s="796">
        <v>9.2609956709956709</v>
      </c>
      <c r="AC4" s="796">
        <v>6.085191040843215</v>
      </c>
      <c r="AD4" s="796">
        <v>9.8506982872200268</v>
      </c>
      <c r="AE4" s="796">
        <v>7.849828722002635</v>
      </c>
      <c r="AF4" s="796">
        <v>12.663630413532237</v>
      </c>
      <c r="AG4" s="796">
        <v>22.3642528240381</v>
      </c>
      <c r="AH4" s="796">
        <v>209.88000000000002</v>
      </c>
      <c r="AI4" s="796">
        <v>136.23983464347828</v>
      </c>
      <c r="AJ4" s="796">
        <v>101.9568</v>
      </c>
      <c r="AK4" s="796">
        <v>238.15440000000004</v>
      </c>
      <c r="AL4" s="796">
        <v>81.84</v>
      </c>
      <c r="AM4" s="796">
        <v>2339.4096</v>
      </c>
      <c r="AN4" s="796">
        <v>557.64720000000011</v>
      </c>
      <c r="AO4" s="796">
        <v>3147.6192000000001</v>
      </c>
      <c r="AP4" s="796">
        <v>134.64000000000001</v>
      </c>
      <c r="AQ4" s="664">
        <v>94.669079999999994</v>
      </c>
    </row>
    <row r="5" spans="2:43" x14ac:dyDescent="0.25">
      <c r="B5" s="665" t="s">
        <v>616</v>
      </c>
      <c r="C5" s="788" t="s">
        <v>495</v>
      </c>
      <c r="D5" s="744">
        <v>150</v>
      </c>
      <c r="E5" s="744">
        <v>150</v>
      </c>
      <c r="F5" s="744">
        <v>164</v>
      </c>
      <c r="G5" s="744">
        <v>164</v>
      </c>
      <c r="H5" s="744">
        <v>153</v>
      </c>
      <c r="I5" s="744">
        <v>153</v>
      </c>
      <c r="J5" s="744">
        <v>164</v>
      </c>
      <c r="K5" s="744">
        <v>131</v>
      </c>
      <c r="L5" s="744">
        <v>152</v>
      </c>
      <c r="M5" s="744">
        <v>131</v>
      </c>
      <c r="N5" s="744">
        <v>157</v>
      </c>
      <c r="O5" s="744">
        <v>131</v>
      </c>
      <c r="P5" s="744"/>
      <c r="Q5" s="744">
        <v>350</v>
      </c>
      <c r="R5" s="744">
        <v>350</v>
      </c>
      <c r="S5" s="744">
        <v>185</v>
      </c>
      <c r="T5" s="744">
        <v>188</v>
      </c>
      <c r="U5" s="744">
        <v>185</v>
      </c>
      <c r="V5" s="744">
        <v>185</v>
      </c>
      <c r="W5" s="744">
        <v>400</v>
      </c>
      <c r="X5" s="744">
        <v>400</v>
      </c>
      <c r="Y5" s="744">
        <v>131</v>
      </c>
      <c r="Z5" s="761">
        <v>145</v>
      </c>
      <c r="AA5" s="744">
        <v>160</v>
      </c>
      <c r="AB5" s="744">
        <v>165</v>
      </c>
      <c r="AC5" s="744">
        <v>260</v>
      </c>
      <c r="AD5" s="744">
        <v>145</v>
      </c>
      <c r="AE5" s="744">
        <v>2900</v>
      </c>
      <c r="AF5" s="744">
        <v>1100</v>
      </c>
      <c r="AG5" s="797">
        <v>21.66</v>
      </c>
      <c r="AH5" s="744">
        <v>8.1999999999999993</v>
      </c>
      <c r="AI5" s="744">
        <v>170</v>
      </c>
      <c r="AJ5" s="744">
        <v>410</v>
      </c>
      <c r="AK5" s="744">
        <v>800</v>
      </c>
      <c r="AL5" s="744">
        <v>2500</v>
      </c>
      <c r="AM5" s="744">
        <v>3500</v>
      </c>
      <c r="AN5" s="744">
        <v>73000</v>
      </c>
      <c r="AO5" s="744">
        <v>293928</v>
      </c>
      <c r="AP5" s="744">
        <v>325</v>
      </c>
      <c r="AQ5" s="666">
        <v>750</v>
      </c>
    </row>
    <row r="6" spans="2:43" x14ac:dyDescent="0.25">
      <c r="B6" s="667" t="s">
        <v>617</v>
      </c>
      <c r="C6" s="789" t="s">
        <v>495</v>
      </c>
      <c r="D6" s="797"/>
      <c r="E6" s="797"/>
      <c r="F6" s="814">
        <v>0.09</v>
      </c>
      <c r="G6" s="797"/>
      <c r="H6" s="814">
        <v>1.7000000000000001E-2</v>
      </c>
      <c r="I6" s="815">
        <v>1.7000000000000001E-2</v>
      </c>
      <c r="J6" s="797"/>
      <c r="K6" s="816">
        <v>0.87</v>
      </c>
      <c r="L6" s="816">
        <v>0.16</v>
      </c>
      <c r="M6" s="797"/>
      <c r="N6" s="797"/>
      <c r="O6" s="816">
        <v>1</v>
      </c>
      <c r="P6" s="816"/>
      <c r="Q6" s="816">
        <v>0.44</v>
      </c>
      <c r="R6" s="811"/>
      <c r="S6" s="818">
        <v>35</v>
      </c>
      <c r="T6" s="814">
        <v>0.25</v>
      </c>
      <c r="U6" s="797"/>
      <c r="V6" s="797"/>
      <c r="W6" s="820">
        <v>1.1299999999999999</v>
      </c>
      <c r="X6" s="797"/>
      <c r="Y6" s="797"/>
      <c r="Z6" s="823">
        <v>-5</v>
      </c>
      <c r="AA6" s="797">
        <v>10</v>
      </c>
      <c r="AB6" s="816">
        <v>0.1</v>
      </c>
      <c r="AC6" s="816">
        <v>0.75</v>
      </c>
      <c r="AD6" s="797"/>
      <c r="AE6" s="746"/>
      <c r="AF6" s="746"/>
      <c r="AG6" s="816"/>
      <c r="AH6" s="811" t="s">
        <v>618</v>
      </c>
      <c r="AI6" s="816"/>
      <c r="AJ6" s="816"/>
      <c r="AK6" s="816"/>
      <c r="AL6" s="816"/>
      <c r="AM6" s="816"/>
      <c r="AN6" s="816"/>
      <c r="AO6" s="746"/>
      <c r="AP6" s="811"/>
      <c r="AQ6" s="19"/>
    </row>
    <row r="7" spans="2:43" x14ac:dyDescent="0.25">
      <c r="B7" s="668" t="s">
        <v>619</v>
      </c>
      <c r="C7" s="790"/>
      <c r="D7" s="752"/>
      <c r="E7" s="811"/>
      <c r="F7" s="811"/>
      <c r="G7" s="811"/>
      <c r="H7" s="811"/>
      <c r="I7" s="811"/>
      <c r="J7" s="811"/>
      <c r="K7" s="811"/>
      <c r="L7" s="811"/>
      <c r="M7" s="811"/>
      <c r="N7" s="811"/>
      <c r="O7" s="811"/>
      <c r="P7" s="811"/>
      <c r="Q7" s="811"/>
      <c r="R7" s="811"/>
      <c r="S7" s="811"/>
      <c r="T7" s="811"/>
      <c r="U7" s="811"/>
      <c r="V7" s="811"/>
      <c r="W7" s="811"/>
      <c r="X7" s="811"/>
      <c r="Y7" s="811"/>
      <c r="Z7" s="29"/>
      <c r="AA7" s="811"/>
      <c r="AB7" s="811"/>
      <c r="AC7" s="811"/>
      <c r="AD7" s="811"/>
      <c r="AE7" s="746"/>
      <c r="AF7" s="746"/>
      <c r="AG7" s="811"/>
      <c r="AH7" s="746"/>
      <c r="AI7" s="811"/>
      <c r="AJ7" s="811"/>
      <c r="AK7" s="811"/>
      <c r="AL7" s="811"/>
      <c r="AM7" s="811"/>
      <c r="AN7" s="811"/>
      <c r="AO7" s="746"/>
      <c r="AP7" s="811"/>
      <c r="AQ7" s="19"/>
    </row>
    <row r="8" spans="2:43" x14ac:dyDescent="0.25">
      <c r="B8" s="668" t="s">
        <v>620</v>
      </c>
      <c r="C8" s="791" t="s">
        <v>539</v>
      </c>
      <c r="D8" s="798">
        <v>8.5063509672239537</v>
      </c>
      <c r="E8" s="812">
        <v>7.7075388092501118</v>
      </c>
      <c r="F8" s="812">
        <v>7.8325805935824544</v>
      </c>
      <c r="G8" s="812">
        <v>7.0970406857451538</v>
      </c>
      <c r="H8" s="812">
        <v>8.337908373813578</v>
      </c>
      <c r="I8" s="812">
        <v>7.5549142783738725</v>
      </c>
      <c r="J8" s="812">
        <v>6.0324845828833809</v>
      </c>
      <c r="K8" s="812">
        <v>7.2730710028018475</v>
      </c>
      <c r="L8" s="812">
        <v>6.7470533314323795</v>
      </c>
      <c r="M8" s="812">
        <v>5.9018484285636061</v>
      </c>
      <c r="N8" s="812">
        <v>5.7459287538363872</v>
      </c>
      <c r="O8" s="812">
        <v>5.5695328129586672</v>
      </c>
      <c r="P8" s="812"/>
      <c r="Q8" s="812">
        <v>3.4319018259563974</v>
      </c>
      <c r="R8" s="812">
        <v>2.2307361868716584</v>
      </c>
      <c r="S8" s="812">
        <v>3.99315</v>
      </c>
      <c r="T8" s="812">
        <v>3.6128499999999999</v>
      </c>
      <c r="U8" s="812">
        <v>3.6128499999999999</v>
      </c>
      <c r="V8" s="812">
        <v>3.7433333333333327</v>
      </c>
      <c r="W8" s="812">
        <v>1.75</v>
      </c>
      <c r="X8" s="812">
        <v>2.25</v>
      </c>
      <c r="Y8" s="812">
        <v>4.7214787428508851</v>
      </c>
      <c r="Z8" s="29">
        <v>4.5</v>
      </c>
      <c r="AA8" s="811">
        <v>5.5</v>
      </c>
      <c r="AB8" s="811">
        <v>7.5</v>
      </c>
      <c r="AC8" s="812">
        <v>3</v>
      </c>
      <c r="AD8" s="811">
        <v>7.5</v>
      </c>
      <c r="AE8" s="811">
        <v>0.4</v>
      </c>
      <c r="AF8" s="811">
        <v>1.3</v>
      </c>
      <c r="AG8" s="812">
        <v>74.571300396037714</v>
      </c>
      <c r="AH8" s="811">
        <v>1500</v>
      </c>
      <c r="AI8" s="812">
        <v>46.325000000000003</v>
      </c>
      <c r="AJ8" s="812">
        <v>12</v>
      </c>
      <c r="AK8" s="809">
        <v>25</v>
      </c>
      <c r="AL8" s="809">
        <v>7.5</v>
      </c>
      <c r="AM8" s="809">
        <v>30</v>
      </c>
      <c r="AN8" s="809">
        <v>1</v>
      </c>
      <c r="AO8" s="809">
        <v>1</v>
      </c>
      <c r="AP8" s="811">
        <v>42</v>
      </c>
      <c r="AQ8" s="19">
        <v>9.5</v>
      </c>
    </row>
    <row r="9" spans="2:43" x14ac:dyDescent="0.25">
      <c r="B9" s="667" t="s">
        <v>621</v>
      </c>
      <c r="C9" s="791" t="s">
        <v>539</v>
      </c>
      <c r="D9" s="799">
        <v>0.15</v>
      </c>
      <c r="E9" s="799">
        <v>0.15</v>
      </c>
      <c r="F9" s="799">
        <v>0.15</v>
      </c>
      <c r="G9" s="799">
        <v>0.15</v>
      </c>
      <c r="H9" s="799">
        <v>0.15</v>
      </c>
      <c r="I9" s="799">
        <v>0.15</v>
      </c>
      <c r="J9" s="799">
        <v>0.15</v>
      </c>
      <c r="K9" s="799">
        <v>0.2</v>
      </c>
      <c r="L9" s="799">
        <v>0.2</v>
      </c>
      <c r="M9" s="799">
        <v>0.2</v>
      </c>
      <c r="N9" s="799">
        <v>0.2</v>
      </c>
      <c r="O9" s="799">
        <v>0.2</v>
      </c>
      <c r="P9" s="799"/>
      <c r="Q9" s="799">
        <v>0.05</v>
      </c>
      <c r="R9" s="799">
        <v>0.05</v>
      </c>
      <c r="S9" s="799">
        <v>0.05</v>
      </c>
      <c r="T9" s="799">
        <v>0.05</v>
      </c>
      <c r="U9" s="799">
        <v>0.05</v>
      </c>
      <c r="V9" s="799">
        <v>0.05</v>
      </c>
      <c r="W9" s="799">
        <v>0.05</v>
      </c>
      <c r="X9" s="799">
        <v>0.05</v>
      </c>
      <c r="Y9" s="799">
        <v>0.2</v>
      </c>
      <c r="Z9" s="824">
        <v>0.15</v>
      </c>
      <c r="AA9" s="799">
        <v>0.15</v>
      </c>
      <c r="AB9" s="799">
        <v>0.15</v>
      </c>
      <c r="AC9" s="799">
        <v>0.05</v>
      </c>
      <c r="AD9" s="799">
        <v>0.05</v>
      </c>
      <c r="AE9" s="799">
        <v>0.05</v>
      </c>
      <c r="AF9" s="799">
        <v>0.15</v>
      </c>
      <c r="AG9" s="799">
        <v>0.1</v>
      </c>
      <c r="AH9" s="799">
        <v>0.1</v>
      </c>
      <c r="AI9" s="799">
        <v>0.1</v>
      </c>
      <c r="AJ9" s="799">
        <v>0.15</v>
      </c>
      <c r="AK9" s="799">
        <v>0.15</v>
      </c>
      <c r="AL9" s="799">
        <v>0.15</v>
      </c>
      <c r="AM9" s="799">
        <v>0.15</v>
      </c>
      <c r="AN9" s="799">
        <v>0.2</v>
      </c>
      <c r="AO9" s="799">
        <v>0.2</v>
      </c>
      <c r="AP9" s="811"/>
      <c r="AQ9" s="19"/>
    </row>
    <row r="10" spans="2:43" x14ac:dyDescent="0.25">
      <c r="B10" s="667" t="s">
        <v>622</v>
      </c>
      <c r="C10" s="791" t="s">
        <v>539</v>
      </c>
      <c r="D10" s="799">
        <v>0.04</v>
      </c>
      <c r="E10" s="799">
        <v>0.04</v>
      </c>
      <c r="F10" s="799">
        <v>0.04</v>
      </c>
      <c r="G10" s="799">
        <v>0.04</v>
      </c>
      <c r="H10" s="799">
        <v>0.04</v>
      </c>
      <c r="I10" s="799">
        <v>0.04</v>
      </c>
      <c r="J10" s="799">
        <v>0.04</v>
      </c>
      <c r="K10" s="799">
        <v>7.0000000000000007E-2</v>
      </c>
      <c r="L10" s="799">
        <v>7.0000000000000007E-2</v>
      </c>
      <c r="M10" s="799">
        <v>7.0000000000000007E-2</v>
      </c>
      <c r="N10" s="799">
        <v>7.0000000000000007E-2</v>
      </c>
      <c r="O10" s="799">
        <v>7.0000000000000007E-2</v>
      </c>
      <c r="P10" s="799"/>
      <c r="Q10" s="799">
        <v>0.05</v>
      </c>
      <c r="R10" s="799">
        <v>0.05</v>
      </c>
      <c r="S10" s="799">
        <v>0.05</v>
      </c>
      <c r="T10" s="799">
        <v>0.05</v>
      </c>
      <c r="U10" s="799">
        <v>0.05</v>
      </c>
      <c r="V10" s="799">
        <v>0.05</v>
      </c>
      <c r="W10" s="799">
        <v>0.05</v>
      </c>
      <c r="X10" s="799">
        <v>0.05</v>
      </c>
      <c r="Y10" s="799">
        <v>7.0000000000000007E-2</v>
      </c>
      <c r="Z10" s="824">
        <v>0.04</v>
      </c>
      <c r="AA10" s="799">
        <v>0.04</v>
      </c>
      <c r="AB10" s="799">
        <v>7.0000000000000007E-2</v>
      </c>
      <c r="AC10" s="799">
        <v>0.05</v>
      </c>
      <c r="AD10" s="799">
        <v>0.05</v>
      </c>
      <c r="AE10" s="799">
        <v>0.05</v>
      </c>
      <c r="AF10" s="799">
        <v>0.04</v>
      </c>
      <c r="AG10" s="799">
        <v>0.1</v>
      </c>
      <c r="AH10" s="799">
        <v>0.1</v>
      </c>
      <c r="AI10" s="799">
        <v>0.1</v>
      </c>
      <c r="AJ10" s="799">
        <v>0.15</v>
      </c>
      <c r="AK10" s="799">
        <v>0.15</v>
      </c>
      <c r="AL10" s="799">
        <v>0.15</v>
      </c>
      <c r="AM10" s="799">
        <v>0.15</v>
      </c>
      <c r="AN10" s="799">
        <v>0.2</v>
      </c>
      <c r="AO10" s="799">
        <v>0.2</v>
      </c>
      <c r="AP10" s="811"/>
      <c r="AQ10" s="19"/>
    </row>
    <row r="11" spans="2:43" x14ac:dyDescent="0.25">
      <c r="B11" s="667" t="s">
        <v>623</v>
      </c>
      <c r="C11" s="791" t="s">
        <v>539</v>
      </c>
      <c r="D11" s="800">
        <v>0.105</v>
      </c>
      <c r="E11" s="800">
        <v>0.105</v>
      </c>
      <c r="F11" s="800">
        <v>0.105</v>
      </c>
      <c r="G11" s="800">
        <v>0.105</v>
      </c>
      <c r="H11" s="800">
        <v>0.105</v>
      </c>
      <c r="I11" s="800">
        <v>0.105</v>
      </c>
      <c r="J11" s="800">
        <v>0.105</v>
      </c>
      <c r="K11" s="800">
        <v>0.105</v>
      </c>
      <c r="L11" s="800">
        <v>0.105</v>
      </c>
      <c r="M11" s="800">
        <v>0.105</v>
      </c>
      <c r="N11" s="800">
        <v>0.105</v>
      </c>
      <c r="O11" s="800">
        <v>0.105</v>
      </c>
      <c r="P11" s="800"/>
      <c r="Q11" s="800">
        <v>0.105</v>
      </c>
      <c r="R11" s="800">
        <v>0.105</v>
      </c>
      <c r="S11" s="800">
        <v>0.105</v>
      </c>
      <c r="T11" s="800">
        <v>0.105</v>
      </c>
      <c r="U11" s="800">
        <v>0.105</v>
      </c>
      <c r="V11" s="800">
        <v>0.105</v>
      </c>
      <c r="W11" s="800">
        <v>0.105</v>
      </c>
      <c r="X11" s="800">
        <v>0.105</v>
      </c>
      <c r="Y11" s="800">
        <v>0.105</v>
      </c>
      <c r="Z11" s="825">
        <v>0.105</v>
      </c>
      <c r="AA11" s="800">
        <v>0.105</v>
      </c>
      <c r="AB11" s="800">
        <v>0.105</v>
      </c>
      <c r="AC11" s="800">
        <v>0.105</v>
      </c>
      <c r="AD11" s="800">
        <v>0.105</v>
      </c>
      <c r="AE11" s="800">
        <v>0.105</v>
      </c>
      <c r="AF11" s="800">
        <v>0.105</v>
      </c>
      <c r="AG11" s="800">
        <v>0.26</v>
      </c>
      <c r="AH11" s="800">
        <v>0.105</v>
      </c>
      <c r="AI11" s="800">
        <v>0.26</v>
      </c>
      <c r="AJ11" s="800"/>
      <c r="AK11" s="800"/>
      <c r="AL11" s="800"/>
      <c r="AM11" s="800"/>
      <c r="AN11" s="800"/>
      <c r="AO11" s="800"/>
      <c r="AP11" s="811"/>
      <c r="AQ11" s="19"/>
    </row>
    <row r="12" spans="2:43" x14ac:dyDescent="0.25">
      <c r="B12" s="667" t="s">
        <v>411</v>
      </c>
      <c r="C12" s="791" t="s">
        <v>539</v>
      </c>
      <c r="D12" s="799">
        <v>0.3</v>
      </c>
      <c r="E12" s="799">
        <v>0.3</v>
      </c>
      <c r="F12" s="799">
        <v>0.3</v>
      </c>
      <c r="G12" s="799">
        <v>0.3</v>
      </c>
      <c r="H12" s="799">
        <v>0.3</v>
      </c>
      <c r="I12" s="799">
        <v>0.3</v>
      </c>
      <c r="J12" s="799">
        <v>0.3</v>
      </c>
      <c r="K12" s="799">
        <v>0.3</v>
      </c>
      <c r="L12" s="799">
        <v>0.3</v>
      </c>
      <c r="M12" s="799">
        <v>0.3</v>
      </c>
      <c r="N12" s="799">
        <v>0.3</v>
      </c>
      <c r="O12" s="799">
        <v>0.3</v>
      </c>
      <c r="P12" s="799"/>
      <c r="Q12" s="799">
        <v>0.15</v>
      </c>
      <c r="R12" s="799">
        <v>0.2</v>
      </c>
      <c r="S12" s="799">
        <v>0.15</v>
      </c>
      <c r="T12" s="799">
        <v>0.15</v>
      </c>
      <c r="U12" s="799">
        <v>0.15</v>
      </c>
      <c r="V12" s="799">
        <v>0.15</v>
      </c>
      <c r="W12" s="799">
        <v>0.15</v>
      </c>
      <c r="X12" s="799">
        <v>0.15</v>
      </c>
      <c r="Y12" s="800"/>
      <c r="Z12" s="825"/>
      <c r="AA12" s="800"/>
      <c r="AB12" s="800"/>
      <c r="AC12" s="800"/>
      <c r="AD12" s="800"/>
      <c r="AE12" s="800"/>
      <c r="AF12" s="800"/>
      <c r="AG12" s="800"/>
      <c r="AH12" s="800"/>
      <c r="AI12" s="800"/>
      <c r="AJ12" s="800"/>
      <c r="AK12" s="800"/>
      <c r="AL12" s="800"/>
      <c r="AM12" s="800"/>
      <c r="AN12" s="800"/>
      <c r="AO12" s="800"/>
      <c r="AP12" s="811"/>
      <c r="AQ12" s="19"/>
    </row>
    <row r="13" spans="2:43" x14ac:dyDescent="0.25">
      <c r="B13" s="667" t="s">
        <v>415</v>
      </c>
      <c r="C13" s="791" t="s">
        <v>539</v>
      </c>
      <c r="D13" s="799">
        <v>0.2</v>
      </c>
      <c r="E13" s="799">
        <v>0.2</v>
      </c>
      <c r="F13" s="799">
        <v>0.2</v>
      </c>
      <c r="G13" s="799">
        <v>0.2</v>
      </c>
      <c r="H13" s="799">
        <v>0.2</v>
      </c>
      <c r="I13" s="799">
        <v>0.2</v>
      </c>
      <c r="J13" s="799">
        <v>0.2</v>
      </c>
      <c r="K13" s="799">
        <v>0.2</v>
      </c>
      <c r="L13" s="799">
        <v>0.2</v>
      </c>
      <c r="M13" s="799">
        <v>0.2</v>
      </c>
      <c r="N13" s="799">
        <v>0.2</v>
      </c>
      <c r="O13" s="799">
        <v>0.2</v>
      </c>
      <c r="P13" s="799"/>
      <c r="Q13" s="799">
        <v>0.1</v>
      </c>
      <c r="R13" s="799">
        <v>0.1</v>
      </c>
      <c r="S13" s="799">
        <v>0.1</v>
      </c>
      <c r="T13" s="799">
        <v>0.1</v>
      </c>
      <c r="U13" s="799">
        <v>0.1</v>
      </c>
      <c r="V13" s="799">
        <v>0.1</v>
      </c>
      <c r="W13" s="799">
        <v>0.1</v>
      </c>
      <c r="X13" s="799">
        <v>0.1</v>
      </c>
      <c r="Y13" s="800"/>
      <c r="Z13" s="825"/>
      <c r="AA13" s="800"/>
      <c r="AB13" s="800"/>
      <c r="AC13" s="800"/>
      <c r="AD13" s="800"/>
      <c r="AE13" s="800"/>
      <c r="AF13" s="800"/>
      <c r="AG13" s="800"/>
      <c r="AH13" s="800"/>
      <c r="AI13" s="800"/>
      <c r="AJ13" s="800"/>
      <c r="AK13" s="800"/>
      <c r="AL13" s="800"/>
      <c r="AM13" s="800"/>
      <c r="AN13" s="800"/>
      <c r="AO13" s="800"/>
      <c r="AP13" s="811"/>
      <c r="AQ13" s="19"/>
    </row>
    <row r="14" spans="2:43" x14ac:dyDescent="0.25">
      <c r="B14" s="670" t="s">
        <v>412</v>
      </c>
      <c r="C14" s="791" t="s">
        <v>539</v>
      </c>
      <c r="D14" s="801">
        <v>7.25</v>
      </c>
      <c r="E14" s="801">
        <v>6.5</v>
      </c>
      <c r="F14" s="801">
        <v>6.75</v>
      </c>
      <c r="G14" s="801">
        <v>6</v>
      </c>
      <c r="H14" s="801">
        <v>7</v>
      </c>
      <c r="I14" s="801">
        <v>6.5</v>
      </c>
      <c r="J14" s="801">
        <v>5.25</v>
      </c>
      <c r="K14" s="801">
        <v>5.75</v>
      </c>
      <c r="L14" s="801">
        <v>5.5</v>
      </c>
      <c r="M14" s="801">
        <v>4.75</v>
      </c>
      <c r="N14" s="801">
        <v>4.5</v>
      </c>
      <c r="O14" s="801">
        <v>4.5</v>
      </c>
      <c r="P14" s="801"/>
      <c r="Q14" s="801">
        <v>3.25</v>
      </c>
      <c r="R14" s="801">
        <v>2</v>
      </c>
      <c r="S14" s="801">
        <v>3.75</v>
      </c>
      <c r="T14" s="801">
        <v>3.5</v>
      </c>
      <c r="U14" s="801">
        <v>3.5</v>
      </c>
      <c r="V14" s="801">
        <v>3.5</v>
      </c>
      <c r="W14" s="801">
        <v>1.75</v>
      </c>
      <c r="X14" s="801">
        <v>2.25</v>
      </c>
      <c r="Y14" s="801">
        <v>3.75</v>
      </c>
      <c r="Z14" s="826">
        <v>3.75</v>
      </c>
      <c r="AA14" s="801">
        <v>4.75</v>
      </c>
      <c r="AB14" s="801">
        <v>6.5</v>
      </c>
      <c r="AC14" s="801">
        <v>2.75</v>
      </c>
      <c r="AD14" s="801">
        <v>7.25</v>
      </c>
      <c r="AE14" s="801">
        <v>0.5</v>
      </c>
      <c r="AF14" s="801">
        <v>1</v>
      </c>
      <c r="AG14" s="801">
        <v>67</v>
      </c>
      <c r="AH14" s="833">
        <v>1350</v>
      </c>
      <c r="AI14" s="801">
        <v>41.75</v>
      </c>
      <c r="AJ14" s="801">
        <v>10.25</v>
      </c>
      <c r="AK14" s="801">
        <v>21.25</v>
      </c>
      <c r="AL14" s="801">
        <v>6.375</v>
      </c>
      <c r="AM14" s="801">
        <v>25.5</v>
      </c>
      <c r="AN14" s="801">
        <v>0.8</v>
      </c>
      <c r="AO14" s="801">
        <v>0.8</v>
      </c>
      <c r="AP14" s="834"/>
      <c r="AQ14" s="671"/>
    </row>
    <row r="15" spans="2:43" x14ac:dyDescent="0.25">
      <c r="B15" s="670" t="s">
        <v>414</v>
      </c>
      <c r="C15" s="791" t="s">
        <v>539</v>
      </c>
      <c r="D15" s="801">
        <v>8.75</v>
      </c>
      <c r="E15" s="801">
        <v>8</v>
      </c>
      <c r="F15" s="801">
        <v>8.25</v>
      </c>
      <c r="G15" s="801">
        <v>7.5</v>
      </c>
      <c r="H15" s="801">
        <v>8.75</v>
      </c>
      <c r="I15" s="801">
        <v>7.75</v>
      </c>
      <c r="J15" s="801">
        <v>6.25</v>
      </c>
      <c r="K15" s="801">
        <v>7.75</v>
      </c>
      <c r="L15" s="801">
        <v>7.25</v>
      </c>
      <c r="M15" s="801">
        <v>6.25</v>
      </c>
      <c r="N15" s="801">
        <v>6.25</v>
      </c>
      <c r="O15" s="801">
        <v>6</v>
      </c>
      <c r="P15" s="801"/>
      <c r="Q15" s="801">
        <v>3.5</v>
      </c>
      <c r="R15" s="801">
        <v>2.25</v>
      </c>
      <c r="S15" s="801">
        <v>4.25</v>
      </c>
      <c r="T15" s="801">
        <v>3.75</v>
      </c>
      <c r="U15" s="801">
        <v>3.75</v>
      </c>
      <c r="V15" s="801">
        <v>4</v>
      </c>
      <c r="W15" s="801">
        <v>1.75</v>
      </c>
      <c r="X15" s="801">
        <v>2.25</v>
      </c>
      <c r="Y15" s="801">
        <v>5</v>
      </c>
      <c r="Z15" s="826">
        <v>4.75</v>
      </c>
      <c r="AA15" s="801">
        <v>5.75</v>
      </c>
      <c r="AB15" s="801">
        <v>8</v>
      </c>
      <c r="AC15" s="801">
        <v>3.25</v>
      </c>
      <c r="AD15" s="801">
        <v>8</v>
      </c>
      <c r="AE15" s="801">
        <v>0.5</v>
      </c>
      <c r="AF15" s="801">
        <v>1.25</v>
      </c>
      <c r="AG15" s="801">
        <v>82</v>
      </c>
      <c r="AH15" s="833">
        <v>1650</v>
      </c>
      <c r="AI15" s="801">
        <v>51</v>
      </c>
      <c r="AJ15" s="801">
        <v>13.75</v>
      </c>
      <c r="AK15" s="801">
        <v>28.749999999999996</v>
      </c>
      <c r="AL15" s="801">
        <v>8.625</v>
      </c>
      <c r="AM15" s="801">
        <v>34.5</v>
      </c>
      <c r="AN15" s="801">
        <v>1.2000000000000002</v>
      </c>
      <c r="AO15" s="801">
        <v>1.2000000000000002</v>
      </c>
      <c r="AP15" s="834"/>
      <c r="AQ15" s="671"/>
    </row>
    <row r="16" spans="2:43" x14ac:dyDescent="0.25">
      <c r="B16" s="670" t="s">
        <v>624</v>
      </c>
      <c r="C16" s="791" t="s">
        <v>539</v>
      </c>
      <c r="D16" s="801">
        <v>6</v>
      </c>
      <c r="E16" s="801">
        <v>5.5</v>
      </c>
      <c r="F16" s="801">
        <v>5.5</v>
      </c>
      <c r="G16" s="801">
        <v>5</v>
      </c>
      <c r="H16" s="801">
        <v>5.75</v>
      </c>
      <c r="I16" s="801">
        <v>5.25</v>
      </c>
      <c r="J16" s="801">
        <v>4.25</v>
      </c>
      <c r="K16" s="801">
        <v>5</v>
      </c>
      <c r="L16" s="801">
        <v>4.75</v>
      </c>
      <c r="M16" s="801">
        <v>4.25</v>
      </c>
      <c r="N16" s="801">
        <v>4</v>
      </c>
      <c r="O16" s="801">
        <v>4</v>
      </c>
      <c r="P16" s="801"/>
      <c r="Q16" s="801">
        <v>3</v>
      </c>
      <c r="R16" s="801">
        <v>1.75</v>
      </c>
      <c r="S16" s="801">
        <v>3.5</v>
      </c>
      <c r="T16" s="801">
        <v>3</v>
      </c>
      <c r="U16" s="801">
        <v>3</v>
      </c>
      <c r="V16" s="801">
        <v>3.25</v>
      </c>
      <c r="W16" s="801">
        <v>1.5</v>
      </c>
      <c r="X16" s="801">
        <v>2</v>
      </c>
      <c r="Y16" s="801"/>
      <c r="Z16" s="826"/>
      <c r="AA16" s="801"/>
      <c r="AB16" s="801"/>
      <c r="AC16" s="801"/>
      <c r="AD16" s="801"/>
      <c r="AE16" s="801"/>
      <c r="AF16" s="801"/>
      <c r="AG16" s="801"/>
      <c r="AH16" s="833"/>
      <c r="AI16" s="801"/>
      <c r="AJ16" s="801"/>
      <c r="AK16" s="801"/>
      <c r="AL16" s="801"/>
      <c r="AM16" s="801"/>
      <c r="AN16" s="801"/>
      <c r="AO16" s="801"/>
      <c r="AP16" s="834"/>
      <c r="AQ16" s="671"/>
    </row>
    <row r="17" spans="2:43" x14ac:dyDescent="0.25">
      <c r="B17" s="670" t="s">
        <v>415</v>
      </c>
      <c r="C17" s="791" t="s">
        <v>539</v>
      </c>
      <c r="D17" s="801">
        <v>10.25</v>
      </c>
      <c r="E17" s="801">
        <v>9.25</v>
      </c>
      <c r="F17" s="801">
        <v>9.5</v>
      </c>
      <c r="G17" s="801">
        <v>8.5</v>
      </c>
      <c r="H17" s="801">
        <v>10</v>
      </c>
      <c r="I17" s="801">
        <v>9</v>
      </c>
      <c r="J17" s="801">
        <v>7.25</v>
      </c>
      <c r="K17" s="801">
        <v>8.75</v>
      </c>
      <c r="L17" s="801">
        <v>8</v>
      </c>
      <c r="M17" s="801">
        <v>7</v>
      </c>
      <c r="N17" s="801">
        <v>7</v>
      </c>
      <c r="O17" s="801">
        <v>6.75</v>
      </c>
      <c r="P17" s="801"/>
      <c r="Q17" s="801">
        <v>3.75</v>
      </c>
      <c r="R17" s="801">
        <v>2.5</v>
      </c>
      <c r="S17" s="801">
        <v>4.5</v>
      </c>
      <c r="T17" s="801">
        <v>4</v>
      </c>
      <c r="U17" s="801">
        <v>4</v>
      </c>
      <c r="V17" s="801">
        <v>4</v>
      </c>
      <c r="W17" s="801">
        <v>2</v>
      </c>
      <c r="X17" s="801">
        <v>2.5</v>
      </c>
      <c r="Y17" s="801"/>
      <c r="Z17" s="826"/>
      <c r="AA17" s="801"/>
      <c r="AB17" s="801"/>
      <c r="AC17" s="801"/>
      <c r="AD17" s="801"/>
      <c r="AE17" s="801"/>
      <c r="AF17" s="801"/>
      <c r="AG17" s="801"/>
      <c r="AH17" s="833"/>
      <c r="AI17" s="801"/>
      <c r="AJ17" s="801"/>
      <c r="AK17" s="801"/>
      <c r="AL17" s="801"/>
      <c r="AM17" s="801"/>
      <c r="AN17" s="801"/>
      <c r="AO17" s="801"/>
      <c r="AP17" s="834"/>
      <c r="AQ17" s="671"/>
    </row>
    <row r="18" spans="2:43" x14ac:dyDescent="0.25">
      <c r="B18" s="667"/>
      <c r="C18" s="789"/>
      <c r="D18" s="798"/>
      <c r="E18" s="812"/>
      <c r="F18" s="812"/>
      <c r="G18" s="812"/>
      <c r="H18" s="812"/>
      <c r="I18" s="812"/>
      <c r="J18" s="812"/>
      <c r="K18" s="812"/>
      <c r="L18" s="812"/>
      <c r="M18" s="812"/>
      <c r="N18" s="812"/>
      <c r="O18" s="812"/>
      <c r="P18" s="812"/>
      <c r="Q18" s="812"/>
      <c r="R18" s="812"/>
      <c r="S18" s="812"/>
      <c r="T18" s="812"/>
      <c r="U18" s="812"/>
      <c r="V18" s="812"/>
      <c r="W18" s="812"/>
      <c r="X18" s="812"/>
      <c r="Y18" s="756"/>
      <c r="Z18" s="29"/>
      <c r="AA18" s="811"/>
      <c r="AB18" s="811"/>
      <c r="AC18" s="811"/>
      <c r="AD18" s="812"/>
      <c r="AE18" s="746"/>
      <c r="AF18" s="746"/>
      <c r="AG18" s="812"/>
      <c r="AH18" s="746"/>
      <c r="AI18" s="812"/>
      <c r="AJ18" s="812"/>
      <c r="AK18" s="811"/>
      <c r="AL18" s="746"/>
      <c r="AM18" s="811"/>
      <c r="AN18" s="746"/>
      <c r="AO18" s="746"/>
      <c r="AP18" s="811"/>
      <c r="AQ18" s="19"/>
    </row>
    <row r="19" spans="2:43" x14ac:dyDescent="0.25">
      <c r="B19" s="667" t="s">
        <v>625</v>
      </c>
      <c r="C19" s="791" t="s">
        <v>539</v>
      </c>
      <c r="D19" s="802">
        <v>4.3</v>
      </c>
      <c r="E19" s="802">
        <v>4.3</v>
      </c>
      <c r="F19" s="802">
        <v>4.3</v>
      </c>
      <c r="G19" s="802">
        <v>4.3</v>
      </c>
      <c r="H19" s="802">
        <v>4.3</v>
      </c>
      <c r="I19" s="802">
        <v>4.3</v>
      </c>
      <c r="J19" s="802">
        <v>4.3</v>
      </c>
      <c r="K19" s="802">
        <v>3.6</v>
      </c>
      <c r="L19" s="802">
        <v>3.6</v>
      </c>
      <c r="M19" s="802">
        <v>3.6</v>
      </c>
      <c r="N19" s="802">
        <v>3.6</v>
      </c>
      <c r="O19" s="802">
        <v>3.4</v>
      </c>
      <c r="P19" s="802"/>
      <c r="Q19" s="812">
        <v>0</v>
      </c>
      <c r="R19" s="812">
        <v>0</v>
      </c>
      <c r="S19" s="812">
        <v>0</v>
      </c>
      <c r="T19" s="812">
        <v>0</v>
      </c>
      <c r="U19" s="812">
        <v>0</v>
      </c>
      <c r="V19" s="812">
        <v>0</v>
      </c>
      <c r="W19" s="812">
        <v>0</v>
      </c>
      <c r="X19" s="812">
        <v>0</v>
      </c>
      <c r="Y19" s="812">
        <v>2.7</v>
      </c>
      <c r="Z19" s="24">
        <v>4.3</v>
      </c>
      <c r="AA19" s="812">
        <v>4.3</v>
      </c>
      <c r="AB19" s="812"/>
      <c r="AC19" s="812"/>
      <c r="AD19" s="812"/>
      <c r="AE19" s="746"/>
      <c r="AF19" s="746"/>
      <c r="AG19" s="812"/>
      <c r="AH19" s="746"/>
      <c r="AI19" s="812"/>
      <c r="AJ19" s="812"/>
      <c r="AK19" s="811"/>
      <c r="AL19" s="746"/>
      <c r="AM19" s="811"/>
      <c r="AN19" s="746"/>
      <c r="AO19" s="746"/>
      <c r="AP19" s="811"/>
      <c r="AQ19" s="19"/>
    </row>
    <row r="20" spans="2:43" x14ac:dyDescent="0.25">
      <c r="B20" s="670" t="s">
        <v>626</v>
      </c>
      <c r="C20" s="791" t="s">
        <v>495</v>
      </c>
      <c r="D20" s="802">
        <v>48</v>
      </c>
      <c r="E20" s="802">
        <v>48</v>
      </c>
      <c r="F20" s="802">
        <v>48</v>
      </c>
      <c r="G20" s="802">
        <v>48</v>
      </c>
      <c r="H20" s="802">
        <v>48</v>
      </c>
      <c r="I20" s="802">
        <v>48</v>
      </c>
      <c r="J20" s="802">
        <v>48</v>
      </c>
      <c r="K20" s="802">
        <v>57</v>
      </c>
      <c r="L20" s="802">
        <v>57</v>
      </c>
      <c r="M20" s="802">
        <v>57</v>
      </c>
      <c r="N20" s="802">
        <v>57</v>
      </c>
      <c r="O20" s="802">
        <v>57</v>
      </c>
      <c r="P20" s="802"/>
      <c r="Q20" s="812">
        <v>0</v>
      </c>
      <c r="R20" s="812">
        <v>0</v>
      </c>
      <c r="S20" s="812">
        <v>0</v>
      </c>
      <c r="T20" s="812">
        <v>0</v>
      </c>
      <c r="U20" s="812">
        <v>0</v>
      </c>
      <c r="V20" s="812">
        <v>0</v>
      </c>
      <c r="W20" s="812">
        <v>0</v>
      </c>
      <c r="X20" s="812">
        <v>0</v>
      </c>
      <c r="Y20" s="812">
        <v>68.399999999999991</v>
      </c>
      <c r="Z20" s="24">
        <v>48</v>
      </c>
      <c r="AA20" s="812">
        <v>48</v>
      </c>
      <c r="AB20" s="812"/>
      <c r="AC20" s="812"/>
      <c r="AD20" s="812"/>
      <c r="AE20" s="746"/>
      <c r="AF20" s="746"/>
      <c r="AG20" s="812"/>
      <c r="AH20" s="746"/>
      <c r="AI20" s="812"/>
      <c r="AJ20" s="812"/>
      <c r="AK20" s="811"/>
      <c r="AL20" s="746"/>
      <c r="AM20" s="811"/>
      <c r="AN20" s="746"/>
      <c r="AO20" s="746"/>
      <c r="AP20" s="811"/>
      <c r="AQ20" s="19"/>
    </row>
    <row r="21" spans="2:43" x14ac:dyDescent="0.25">
      <c r="B21" s="667" t="s">
        <v>627</v>
      </c>
      <c r="C21" s="789" t="s">
        <v>449</v>
      </c>
      <c r="D21" s="803">
        <v>0.83</v>
      </c>
      <c r="E21" s="803">
        <v>0.83</v>
      </c>
      <c r="F21" s="803">
        <v>0.83</v>
      </c>
      <c r="G21" s="803">
        <v>0.83</v>
      </c>
      <c r="H21" s="803">
        <v>0.83</v>
      </c>
      <c r="I21" s="803">
        <v>0.83</v>
      </c>
      <c r="J21" s="803">
        <v>0.83</v>
      </c>
      <c r="K21" s="803">
        <v>0.89</v>
      </c>
      <c r="L21" s="803">
        <v>0.89</v>
      </c>
      <c r="M21" s="803">
        <v>0.96</v>
      </c>
      <c r="N21" s="803">
        <v>0.96</v>
      </c>
      <c r="O21" s="803">
        <v>0.96</v>
      </c>
      <c r="P21" s="803"/>
      <c r="Q21" s="803">
        <v>0</v>
      </c>
      <c r="R21" s="803">
        <v>0</v>
      </c>
      <c r="S21" s="803">
        <v>0</v>
      </c>
      <c r="T21" s="803">
        <v>0</v>
      </c>
      <c r="U21" s="803">
        <v>0</v>
      </c>
      <c r="V21" s="803">
        <v>0</v>
      </c>
      <c r="W21" s="803">
        <v>0</v>
      </c>
      <c r="X21" s="803">
        <v>0</v>
      </c>
      <c r="Y21" s="803">
        <v>0</v>
      </c>
      <c r="Z21" s="827">
        <v>0.83</v>
      </c>
      <c r="AA21" s="803">
        <v>0.83</v>
      </c>
      <c r="AB21" s="812"/>
      <c r="AC21" s="812"/>
      <c r="AD21" s="812"/>
      <c r="AE21" s="746"/>
      <c r="AF21" s="746"/>
      <c r="AG21" s="803"/>
      <c r="AH21" s="746"/>
      <c r="AI21" s="803"/>
      <c r="AJ21" s="803"/>
      <c r="AK21" s="811"/>
      <c r="AL21" s="746"/>
      <c r="AM21" s="811"/>
      <c r="AN21" s="746"/>
      <c r="AO21" s="746"/>
      <c r="AP21" s="811"/>
      <c r="AQ21" s="19"/>
    </row>
    <row r="22" spans="2:43" x14ac:dyDescent="0.25">
      <c r="B22" s="673" t="s">
        <v>628</v>
      </c>
      <c r="C22" s="792" t="s">
        <v>425</v>
      </c>
      <c r="D22" s="804">
        <v>1258.8119999999999</v>
      </c>
      <c r="E22" s="804">
        <v>1146.3119999999999</v>
      </c>
      <c r="F22" s="804">
        <v>1278.3119999999999</v>
      </c>
      <c r="G22" s="804">
        <v>1155.3119999999999</v>
      </c>
      <c r="H22" s="804">
        <v>1242.3119999999999</v>
      </c>
      <c r="I22" s="804">
        <v>1165.8119999999999</v>
      </c>
      <c r="J22" s="804">
        <v>1032.3119999999999</v>
      </c>
      <c r="K22" s="804">
        <v>935.87800000000004</v>
      </c>
      <c r="L22" s="804">
        <v>1018.628</v>
      </c>
      <c r="M22" s="804">
        <v>819.24199999999996</v>
      </c>
      <c r="N22" s="804">
        <v>903.49199999999996</v>
      </c>
      <c r="O22" s="804">
        <v>775.548</v>
      </c>
      <c r="P22" s="804"/>
      <c r="Q22" s="804">
        <v>1137.5</v>
      </c>
      <c r="R22" s="804">
        <v>700</v>
      </c>
      <c r="S22" s="804">
        <v>693.75</v>
      </c>
      <c r="T22" s="804">
        <v>658</v>
      </c>
      <c r="U22" s="804">
        <v>647.5</v>
      </c>
      <c r="V22" s="804">
        <v>647.5</v>
      </c>
      <c r="W22" s="804">
        <v>700</v>
      </c>
      <c r="X22" s="804">
        <v>900</v>
      </c>
      <c r="Y22" s="804">
        <v>491.25</v>
      </c>
      <c r="Z22" s="88">
        <v>715.06200000000001</v>
      </c>
      <c r="AA22" s="804">
        <v>931.31200000000001</v>
      </c>
      <c r="AB22" s="804">
        <v>1072.5</v>
      </c>
      <c r="AC22" s="804">
        <v>715</v>
      </c>
      <c r="AD22" s="804">
        <v>1051.25</v>
      </c>
      <c r="AE22" s="804">
        <v>1450</v>
      </c>
      <c r="AF22" s="804">
        <v>1100</v>
      </c>
      <c r="AG22" s="804">
        <v>1451.22</v>
      </c>
      <c r="AH22" s="804">
        <v>11069.999999999998</v>
      </c>
      <c r="AI22" s="804">
        <v>7097.5</v>
      </c>
      <c r="AJ22" s="804">
        <v>4202.5</v>
      </c>
      <c r="AK22" s="804">
        <v>17000</v>
      </c>
      <c r="AL22" s="804">
        <v>15937.5</v>
      </c>
      <c r="AM22" s="804">
        <v>89250</v>
      </c>
      <c r="AN22" s="804">
        <v>58400</v>
      </c>
      <c r="AO22" s="804">
        <v>235142.40000000002</v>
      </c>
      <c r="AP22" s="834"/>
      <c r="AQ22" s="671"/>
    </row>
    <row r="23" spans="2:43" x14ac:dyDescent="0.25">
      <c r="B23" s="674" t="s">
        <v>629</v>
      </c>
      <c r="C23" s="793" t="s">
        <v>425</v>
      </c>
      <c r="D23" s="805">
        <v>1483.8119999999999</v>
      </c>
      <c r="E23" s="805">
        <v>1371.3119999999999</v>
      </c>
      <c r="F23" s="805">
        <v>1524.3119999999999</v>
      </c>
      <c r="G23" s="805">
        <v>1401.3119999999999</v>
      </c>
      <c r="H23" s="805">
        <v>1510.0619999999999</v>
      </c>
      <c r="I23" s="805">
        <v>1357.0619999999999</v>
      </c>
      <c r="J23" s="805">
        <v>1196.3119999999999</v>
      </c>
      <c r="K23" s="805">
        <v>1197.8779999999999</v>
      </c>
      <c r="L23" s="805">
        <v>1284.6279999999999</v>
      </c>
      <c r="M23" s="805">
        <v>1015.742</v>
      </c>
      <c r="N23" s="805">
        <v>1178.242</v>
      </c>
      <c r="O23" s="805">
        <v>972.048</v>
      </c>
      <c r="P23" s="805"/>
      <c r="Q23" s="805">
        <v>1225</v>
      </c>
      <c r="R23" s="805">
        <v>787.5</v>
      </c>
      <c r="S23" s="805">
        <v>786.25</v>
      </c>
      <c r="T23" s="805">
        <v>705</v>
      </c>
      <c r="U23" s="805">
        <v>693.75</v>
      </c>
      <c r="V23" s="805">
        <v>740</v>
      </c>
      <c r="W23" s="805">
        <v>700</v>
      </c>
      <c r="X23" s="805">
        <v>900</v>
      </c>
      <c r="Y23" s="805">
        <v>655</v>
      </c>
      <c r="Z23" s="80">
        <v>860.06200000000001</v>
      </c>
      <c r="AA23" s="805">
        <v>1091.3119999999999</v>
      </c>
      <c r="AB23" s="805">
        <v>1320</v>
      </c>
      <c r="AC23" s="805">
        <v>845</v>
      </c>
      <c r="AD23" s="805">
        <v>1160</v>
      </c>
      <c r="AE23" s="805">
        <v>1450</v>
      </c>
      <c r="AF23" s="805">
        <v>1375</v>
      </c>
      <c r="AG23" s="805">
        <v>1776.1200000000001</v>
      </c>
      <c r="AH23" s="805">
        <v>13529.999999999998</v>
      </c>
      <c r="AI23" s="805">
        <v>8670</v>
      </c>
      <c r="AJ23" s="805">
        <v>5637.5</v>
      </c>
      <c r="AK23" s="805">
        <v>22999.999999999996</v>
      </c>
      <c r="AL23" s="805">
        <v>21562.5</v>
      </c>
      <c r="AM23" s="805">
        <v>120750</v>
      </c>
      <c r="AN23" s="805">
        <v>87600.000000000015</v>
      </c>
      <c r="AO23" s="805">
        <v>352713.60000000003</v>
      </c>
      <c r="AP23" s="834"/>
      <c r="AQ23" s="671"/>
    </row>
    <row r="24" spans="2:43" x14ac:dyDescent="0.25">
      <c r="B24" s="670" t="s">
        <v>624</v>
      </c>
      <c r="C24" s="793" t="s">
        <v>425</v>
      </c>
      <c r="D24" s="806">
        <v>1071.3119999999999</v>
      </c>
      <c r="E24" s="806">
        <v>996.31200000000001</v>
      </c>
      <c r="F24" s="806">
        <v>1073.3119999999999</v>
      </c>
      <c r="G24" s="806">
        <v>991.31200000000001</v>
      </c>
      <c r="H24" s="806">
        <v>1051.0619999999999</v>
      </c>
      <c r="I24" s="806">
        <v>974.56200000000001</v>
      </c>
      <c r="J24" s="806">
        <v>868.31200000000001</v>
      </c>
      <c r="K24" s="806">
        <v>837.62800000000004</v>
      </c>
      <c r="L24" s="806">
        <v>904.62800000000004</v>
      </c>
      <c r="M24" s="806">
        <v>753.74199999999996</v>
      </c>
      <c r="N24" s="806">
        <v>824.99199999999996</v>
      </c>
      <c r="O24" s="806">
        <v>710.048</v>
      </c>
      <c r="P24" s="806"/>
      <c r="Q24" s="806">
        <v>1050</v>
      </c>
      <c r="R24" s="806">
        <v>612.5</v>
      </c>
      <c r="S24" s="806">
        <v>647.5</v>
      </c>
      <c r="T24" s="806">
        <v>564</v>
      </c>
      <c r="U24" s="806">
        <v>555</v>
      </c>
      <c r="V24" s="806">
        <v>601.25</v>
      </c>
      <c r="W24" s="806">
        <v>600</v>
      </c>
      <c r="X24" s="806">
        <v>800</v>
      </c>
      <c r="Y24" s="805"/>
      <c r="Z24" s="80"/>
      <c r="AA24" s="805"/>
      <c r="AB24" s="805"/>
      <c r="AC24" s="805"/>
      <c r="AD24" s="805"/>
      <c r="AE24" s="805"/>
      <c r="AF24" s="805"/>
      <c r="AG24" s="805"/>
      <c r="AH24" s="805"/>
      <c r="AI24" s="805"/>
      <c r="AJ24" s="805"/>
      <c r="AK24" s="805"/>
      <c r="AL24" s="805"/>
      <c r="AM24" s="805"/>
      <c r="AN24" s="805"/>
      <c r="AO24" s="805"/>
      <c r="AP24" s="834"/>
      <c r="AQ24" s="671"/>
    </row>
    <row r="25" spans="2:43" x14ac:dyDescent="0.25">
      <c r="B25" s="670" t="s">
        <v>415</v>
      </c>
      <c r="C25" s="793" t="s">
        <v>425</v>
      </c>
      <c r="D25" s="806">
        <v>1708.8119999999999</v>
      </c>
      <c r="E25" s="806">
        <v>1558.8119999999999</v>
      </c>
      <c r="F25" s="806">
        <v>1729.3119999999999</v>
      </c>
      <c r="G25" s="806">
        <v>1565.3119999999999</v>
      </c>
      <c r="H25" s="806">
        <v>1701.3119999999999</v>
      </c>
      <c r="I25" s="806">
        <v>1548.3119999999999</v>
      </c>
      <c r="J25" s="806">
        <v>1360.3119999999999</v>
      </c>
      <c r="K25" s="806">
        <v>1328.8779999999999</v>
      </c>
      <c r="L25" s="806">
        <v>1398.6279999999999</v>
      </c>
      <c r="M25" s="806">
        <v>1113.992</v>
      </c>
      <c r="N25" s="806">
        <v>1295.992</v>
      </c>
      <c r="O25" s="806">
        <v>1070.298</v>
      </c>
      <c r="P25" s="806"/>
      <c r="Q25" s="806">
        <v>1312.5</v>
      </c>
      <c r="R25" s="806">
        <v>875</v>
      </c>
      <c r="S25" s="806">
        <v>832.5</v>
      </c>
      <c r="T25" s="806">
        <v>752</v>
      </c>
      <c r="U25" s="806">
        <v>740</v>
      </c>
      <c r="V25" s="806">
        <v>740</v>
      </c>
      <c r="W25" s="806">
        <v>800</v>
      </c>
      <c r="X25" s="806">
        <v>1000</v>
      </c>
      <c r="Y25" s="805"/>
      <c r="Z25" s="80"/>
      <c r="AA25" s="805"/>
      <c r="AB25" s="805"/>
      <c r="AC25" s="805"/>
      <c r="AD25" s="805"/>
      <c r="AE25" s="805"/>
      <c r="AF25" s="805"/>
      <c r="AG25" s="805"/>
      <c r="AH25" s="805"/>
      <c r="AI25" s="805"/>
      <c r="AJ25" s="805"/>
      <c r="AK25" s="805"/>
      <c r="AL25" s="805"/>
      <c r="AM25" s="805"/>
      <c r="AN25" s="805"/>
      <c r="AO25" s="805"/>
      <c r="AP25" s="834"/>
      <c r="AQ25" s="671"/>
    </row>
    <row r="26" spans="2:43" x14ac:dyDescent="0.25">
      <c r="B26" s="675" t="s">
        <v>630</v>
      </c>
      <c r="C26" s="793" t="s">
        <v>425</v>
      </c>
      <c r="D26" s="439">
        <v>1447.264645083593</v>
      </c>
      <c r="E26" s="439">
        <v>1327.4428213875167</v>
      </c>
      <c r="F26" s="439">
        <v>1455.8552173475225</v>
      </c>
      <c r="G26" s="439">
        <v>1335.2266724622052</v>
      </c>
      <c r="H26" s="439">
        <v>1447.0119811934774</v>
      </c>
      <c r="I26" s="439">
        <v>1327.2138845912025</v>
      </c>
      <c r="J26" s="439">
        <v>1160.6394715928743</v>
      </c>
      <c r="K26" s="439">
        <v>1135.4003013670419</v>
      </c>
      <c r="L26" s="439">
        <v>1208.1801063777216</v>
      </c>
      <c r="M26" s="439">
        <v>970.13414414183239</v>
      </c>
      <c r="N26" s="439">
        <v>1099.1028143523129</v>
      </c>
      <c r="O26" s="439">
        <v>915.65679849758544</v>
      </c>
      <c r="P26" s="439"/>
      <c r="Q26" s="439">
        <v>1201.165639084739</v>
      </c>
      <c r="R26" s="439">
        <v>780.7576654050805</v>
      </c>
      <c r="S26" s="439">
        <v>738.73275000000001</v>
      </c>
      <c r="T26" s="439">
        <v>679.21579999999994</v>
      </c>
      <c r="U26" s="439">
        <v>668.37725</v>
      </c>
      <c r="V26" s="439">
        <v>692.51666666666654</v>
      </c>
      <c r="W26" s="439">
        <v>700</v>
      </c>
      <c r="X26" s="439">
        <v>900</v>
      </c>
      <c r="Y26" s="439">
        <v>618.51371531346592</v>
      </c>
      <c r="Z26" s="77">
        <v>823.81200000000001</v>
      </c>
      <c r="AA26" s="439">
        <v>1051.3119999999999</v>
      </c>
      <c r="AB26" s="439">
        <v>1237.5</v>
      </c>
      <c r="AC26" s="439">
        <v>780</v>
      </c>
      <c r="AD26" s="439">
        <v>1087.5</v>
      </c>
      <c r="AE26" s="439">
        <v>1160</v>
      </c>
      <c r="AF26" s="439">
        <v>1430</v>
      </c>
      <c r="AG26" s="439">
        <v>1615.2143665781769</v>
      </c>
      <c r="AH26" s="439">
        <v>12299.999999999998</v>
      </c>
      <c r="AI26" s="439">
        <v>7875.2500000000009</v>
      </c>
      <c r="AJ26" s="439">
        <v>4920</v>
      </c>
      <c r="AK26" s="439">
        <v>20000</v>
      </c>
      <c r="AL26" s="439">
        <v>18750</v>
      </c>
      <c r="AM26" s="439">
        <v>105000</v>
      </c>
      <c r="AN26" s="439">
        <v>73000</v>
      </c>
      <c r="AO26" s="439">
        <v>293928</v>
      </c>
      <c r="AP26" s="439">
        <v>13650</v>
      </c>
      <c r="AQ26" s="78">
        <v>7125</v>
      </c>
    </row>
    <row r="27" spans="2:43" x14ac:dyDescent="0.25">
      <c r="B27" s="667"/>
      <c r="C27" s="789"/>
      <c r="D27" s="752">
        <v>1447.264645083593</v>
      </c>
      <c r="E27" s="752">
        <v>1327.4428213875167</v>
      </c>
      <c r="F27" s="752">
        <v>1455.8552173475225</v>
      </c>
      <c r="G27" s="752">
        <v>1335.2266724622052</v>
      </c>
      <c r="H27" s="811"/>
      <c r="I27" s="811"/>
      <c r="J27" s="811"/>
      <c r="K27" s="811"/>
      <c r="L27" s="811"/>
      <c r="M27" s="811"/>
      <c r="N27" s="811"/>
      <c r="O27" s="811"/>
      <c r="P27" s="811"/>
      <c r="Q27" s="811"/>
      <c r="R27" s="811"/>
      <c r="S27" s="811"/>
      <c r="T27" s="811"/>
      <c r="U27" s="811"/>
      <c r="V27" s="811"/>
      <c r="W27" s="811"/>
      <c r="X27" s="811"/>
      <c r="Y27" s="811"/>
      <c r="Z27" s="29"/>
      <c r="AA27" s="811"/>
      <c r="AB27" s="811"/>
      <c r="AC27" s="811"/>
      <c r="AD27" s="811"/>
      <c r="AE27" s="746"/>
      <c r="AF27" s="746"/>
      <c r="AG27" s="811"/>
      <c r="AH27" s="746"/>
      <c r="AI27" s="811"/>
      <c r="AJ27" s="811"/>
      <c r="AK27" s="811"/>
      <c r="AL27" s="746"/>
      <c r="AM27" s="811"/>
      <c r="AN27" s="746"/>
      <c r="AO27" s="746"/>
      <c r="AP27" s="811"/>
      <c r="AQ27" s="19"/>
    </row>
    <row r="28" spans="2:43" x14ac:dyDescent="0.25">
      <c r="B28" s="668" t="s">
        <v>631</v>
      </c>
      <c r="C28" s="791"/>
      <c r="D28" s="752"/>
      <c r="E28" s="811"/>
      <c r="F28" s="811"/>
      <c r="G28" s="811"/>
      <c r="H28" s="811"/>
      <c r="I28" s="811"/>
      <c r="J28" s="811"/>
      <c r="K28" s="811"/>
      <c r="L28" s="811"/>
      <c r="M28" s="811"/>
      <c r="N28" s="811"/>
      <c r="O28" s="811"/>
      <c r="P28" s="811"/>
      <c r="Q28" s="811"/>
      <c r="R28" s="811"/>
      <c r="S28" s="811"/>
      <c r="T28" s="811"/>
      <c r="U28" s="811"/>
      <c r="V28" s="811"/>
      <c r="W28" s="811"/>
      <c r="X28" s="811"/>
      <c r="Y28" s="811"/>
      <c r="Z28" s="29"/>
      <c r="AA28" s="811"/>
      <c r="AB28" s="811"/>
      <c r="AC28" s="811"/>
      <c r="AD28" s="811"/>
      <c r="AE28" s="746"/>
      <c r="AF28" s="746"/>
      <c r="AG28" s="811"/>
      <c r="AH28" s="746"/>
      <c r="AI28" s="811"/>
      <c r="AJ28" s="811"/>
      <c r="AK28" s="811"/>
      <c r="AL28" s="746"/>
      <c r="AM28" s="811"/>
      <c r="AN28" s="746"/>
      <c r="AO28" s="746"/>
      <c r="AP28" s="811"/>
      <c r="AQ28" s="19"/>
    </row>
    <row r="29" spans="2:43" x14ac:dyDescent="0.25">
      <c r="B29" s="667"/>
      <c r="C29" s="791"/>
      <c r="D29" s="752"/>
      <c r="E29" s="811"/>
      <c r="F29" s="811"/>
      <c r="G29" s="811"/>
      <c r="H29" s="811"/>
      <c r="I29" s="811"/>
      <c r="J29" s="811"/>
      <c r="K29" s="811"/>
      <c r="L29" s="811"/>
      <c r="M29" s="811"/>
      <c r="N29" s="811"/>
      <c r="O29" s="811"/>
      <c r="P29" s="811"/>
      <c r="Q29" s="811"/>
      <c r="R29" s="811"/>
      <c r="S29" s="811"/>
      <c r="T29" s="811"/>
      <c r="U29" s="811"/>
      <c r="V29" s="811"/>
      <c r="W29" s="811"/>
      <c r="X29" s="811"/>
      <c r="Y29" s="811"/>
      <c r="Z29" s="29"/>
      <c r="AA29" s="811"/>
      <c r="AB29" s="811"/>
      <c r="AC29" s="811"/>
      <c r="AD29" s="811"/>
      <c r="AE29" s="746"/>
      <c r="AF29" s="746"/>
      <c r="AG29" s="811"/>
      <c r="AH29" s="746"/>
      <c r="AI29" s="811"/>
      <c r="AJ29" s="811"/>
      <c r="AK29" s="811"/>
      <c r="AL29" s="746"/>
      <c r="AM29" s="811"/>
      <c r="AN29" s="746"/>
      <c r="AO29" s="746"/>
      <c r="AP29" s="811"/>
      <c r="AQ29" s="19"/>
    </row>
    <row r="30" spans="2:43" x14ac:dyDescent="0.25">
      <c r="B30" s="668" t="s">
        <v>632</v>
      </c>
      <c r="C30" s="791"/>
      <c r="D30" s="752"/>
      <c r="E30" s="811"/>
      <c r="F30" s="811"/>
      <c r="G30" s="811"/>
      <c r="H30" s="811"/>
      <c r="I30" s="811"/>
      <c r="J30" s="811"/>
      <c r="K30" s="811"/>
      <c r="L30" s="811"/>
      <c r="M30" s="811"/>
      <c r="N30" s="811"/>
      <c r="O30" s="811"/>
      <c r="P30" s="811"/>
      <c r="Q30" s="811"/>
      <c r="R30" s="811"/>
      <c r="S30" s="811"/>
      <c r="T30" s="811"/>
      <c r="U30" s="811"/>
      <c r="V30" s="811"/>
      <c r="W30" s="811"/>
      <c r="X30" s="811"/>
      <c r="Y30" s="811"/>
      <c r="Z30" s="29"/>
      <c r="AA30" s="811"/>
      <c r="AB30" s="811"/>
      <c r="AC30" s="811"/>
      <c r="AD30" s="811"/>
      <c r="AE30" s="746"/>
      <c r="AF30" s="746"/>
      <c r="AG30" s="811"/>
      <c r="AH30" s="746"/>
      <c r="AI30" s="811"/>
      <c r="AJ30" s="811"/>
      <c r="AK30" s="811"/>
      <c r="AL30" s="746"/>
      <c r="AM30" s="811"/>
      <c r="AN30" s="746"/>
      <c r="AO30" s="746"/>
      <c r="AP30" s="811"/>
      <c r="AQ30" s="19"/>
    </row>
    <row r="31" spans="2:43" x14ac:dyDescent="0.25">
      <c r="B31" s="670" t="s">
        <v>633</v>
      </c>
      <c r="C31" s="791" t="s">
        <v>495</v>
      </c>
      <c r="D31" s="807">
        <v>75</v>
      </c>
      <c r="E31" s="807">
        <v>275</v>
      </c>
      <c r="F31" s="807">
        <v>75</v>
      </c>
      <c r="G31" s="807">
        <v>275</v>
      </c>
      <c r="H31" s="807">
        <v>75</v>
      </c>
      <c r="I31" s="807">
        <v>275</v>
      </c>
      <c r="J31" s="807">
        <v>75</v>
      </c>
      <c r="K31" s="807">
        <v>75</v>
      </c>
      <c r="L31" s="807">
        <v>75</v>
      </c>
      <c r="M31" s="807">
        <v>75</v>
      </c>
      <c r="N31" s="807">
        <v>75</v>
      </c>
      <c r="O31" s="807">
        <v>75</v>
      </c>
      <c r="P31" s="807"/>
      <c r="Q31" s="807">
        <v>750</v>
      </c>
      <c r="R31" s="817">
        <v>750</v>
      </c>
      <c r="S31" s="819">
        <v>22</v>
      </c>
      <c r="T31" s="819">
        <v>22</v>
      </c>
      <c r="U31" s="819">
        <v>22</v>
      </c>
      <c r="V31" s="819">
        <v>22</v>
      </c>
      <c r="W31" s="807"/>
      <c r="X31" s="807"/>
      <c r="Y31" s="756">
        <v>75</v>
      </c>
      <c r="Z31" s="20">
        <v>75</v>
      </c>
      <c r="AA31" s="807">
        <v>75</v>
      </c>
      <c r="AB31" s="807"/>
      <c r="AC31" s="807"/>
      <c r="AD31" s="807"/>
      <c r="AE31" s="807"/>
      <c r="AF31" s="807">
        <v>169</v>
      </c>
      <c r="AG31" s="819"/>
      <c r="AH31" s="746"/>
      <c r="AI31" s="819"/>
      <c r="AJ31" s="819"/>
      <c r="AK31" s="811"/>
      <c r="AL31" s="746"/>
      <c r="AM31" s="811"/>
      <c r="AN31" s="746"/>
      <c r="AO31" s="746"/>
      <c r="AP31" s="811"/>
      <c r="AQ31" s="19"/>
    </row>
    <row r="32" spans="2:43" x14ac:dyDescent="0.25">
      <c r="B32" s="670" t="s">
        <v>634</v>
      </c>
      <c r="C32" s="791" t="s">
        <v>495</v>
      </c>
      <c r="D32" s="807">
        <v>14.7</v>
      </c>
      <c r="E32" s="807">
        <v>14.7</v>
      </c>
      <c r="F32" s="807">
        <v>14.7</v>
      </c>
      <c r="G32" s="807">
        <v>14.7</v>
      </c>
      <c r="H32" s="807">
        <v>14.7</v>
      </c>
      <c r="I32" s="807">
        <v>14.7</v>
      </c>
      <c r="J32" s="807">
        <v>14.7</v>
      </c>
      <c r="K32" s="807">
        <v>16.399999999999999</v>
      </c>
      <c r="L32" s="807">
        <v>16.399999999999999</v>
      </c>
      <c r="M32" s="807">
        <v>16.399999999999999</v>
      </c>
      <c r="N32" s="807">
        <v>16.399999999999999</v>
      </c>
      <c r="O32" s="807">
        <v>19.8</v>
      </c>
      <c r="P32" s="807"/>
      <c r="Q32" s="807">
        <v>121</v>
      </c>
      <c r="R32" s="807">
        <v>229</v>
      </c>
      <c r="S32" s="807">
        <v>18.3</v>
      </c>
      <c r="T32" s="807">
        <v>18.3</v>
      </c>
      <c r="U32" s="807">
        <v>18.3</v>
      </c>
      <c r="V32" s="807">
        <v>17.5</v>
      </c>
      <c r="W32" s="807"/>
      <c r="X32" s="807"/>
      <c r="Y32" s="807">
        <v>16.399999999999999</v>
      </c>
      <c r="Z32" s="828">
        <v>14.7</v>
      </c>
      <c r="AA32" s="756">
        <v>14.7</v>
      </c>
      <c r="AB32" s="746"/>
      <c r="AC32" s="746"/>
      <c r="AD32" s="746"/>
      <c r="AE32" s="746"/>
      <c r="AF32" s="746"/>
      <c r="AG32" s="807"/>
      <c r="AH32" s="746"/>
      <c r="AI32" s="807"/>
      <c r="AJ32" s="807"/>
      <c r="AK32" s="811"/>
      <c r="AL32" s="746">
        <v>6250</v>
      </c>
      <c r="AM32" s="811"/>
      <c r="AN32" s="746"/>
      <c r="AO32" s="746"/>
      <c r="AP32" s="811"/>
      <c r="AQ32" s="19"/>
    </row>
    <row r="33" spans="2:43" x14ac:dyDescent="0.25">
      <c r="B33" s="670" t="s">
        <v>635</v>
      </c>
      <c r="C33" s="791" t="s">
        <v>495</v>
      </c>
      <c r="D33" s="807">
        <v>52</v>
      </c>
      <c r="E33" s="807">
        <v>52</v>
      </c>
      <c r="F33" s="807">
        <v>52</v>
      </c>
      <c r="G33" s="807">
        <v>52</v>
      </c>
      <c r="H33" s="807">
        <v>52</v>
      </c>
      <c r="I33" s="807">
        <v>52</v>
      </c>
      <c r="J33" s="807">
        <v>52</v>
      </c>
      <c r="K33" s="807">
        <v>49</v>
      </c>
      <c r="L33" s="807">
        <v>49</v>
      </c>
      <c r="M33" s="807">
        <v>53</v>
      </c>
      <c r="N33" s="807">
        <v>53</v>
      </c>
      <c r="O33" s="807">
        <v>42</v>
      </c>
      <c r="P33" s="807"/>
      <c r="Q33" s="807">
        <v>2393</v>
      </c>
      <c r="R33" s="807">
        <v>2393</v>
      </c>
      <c r="S33" s="807">
        <v>60</v>
      </c>
      <c r="T33" s="807">
        <v>60</v>
      </c>
      <c r="U33" s="807">
        <v>60</v>
      </c>
      <c r="V33" s="807">
        <v>41</v>
      </c>
      <c r="W33" s="807"/>
      <c r="X33" s="807"/>
      <c r="Y33" s="807">
        <v>53</v>
      </c>
      <c r="Z33" s="828">
        <v>47</v>
      </c>
      <c r="AA33" s="807">
        <v>47</v>
      </c>
      <c r="AB33" s="807"/>
      <c r="AC33" s="807"/>
      <c r="AD33" s="807"/>
      <c r="AE33" s="807"/>
      <c r="AF33" s="807"/>
      <c r="AG33" s="807"/>
      <c r="AH33" s="746"/>
      <c r="AI33" s="807"/>
      <c r="AJ33" s="807"/>
      <c r="AK33" s="811"/>
      <c r="AL33" s="746"/>
      <c r="AM33" s="811"/>
      <c r="AN33" s="746"/>
      <c r="AO33" s="746"/>
      <c r="AP33" s="811"/>
      <c r="AQ33" s="19"/>
    </row>
    <row r="34" spans="2:43" x14ac:dyDescent="0.25">
      <c r="B34" s="668"/>
      <c r="C34" s="791"/>
      <c r="D34" s="752"/>
      <c r="E34" s="811"/>
      <c r="F34" s="811"/>
      <c r="G34" s="811"/>
      <c r="H34" s="811"/>
      <c r="I34" s="811"/>
      <c r="J34" s="811"/>
      <c r="K34" s="811"/>
      <c r="L34" s="811"/>
      <c r="M34" s="811"/>
      <c r="N34" s="811"/>
      <c r="O34" s="811"/>
      <c r="P34" s="811"/>
      <c r="Q34" s="811"/>
      <c r="R34" s="811"/>
      <c r="S34" s="811"/>
      <c r="T34" s="811"/>
      <c r="U34" s="811"/>
      <c r="V34" s="811"/>
      <c r="W34" s="811"/>
      <c r="X34" s="811"/>
      <c r="Y34" s="811"/>
      <c r="Z34" s="29"/>
      <c r="AA34" s="811"/>
      <c r="AB34" s="811"/>
      <c r="AC34" s="811"/>
      <c r="AD34" s="811"/>
      <c r="AE34" s="746"/>
      <c r="AF34" s="746"/>
      <c r="AG34" s="811"/>
      <c r="AH34" s="746"/>
      <c r="AI34" s="811"/>
      <c r="AJ34" s="811"/>
      <c r="AK34" s="811"/>
      <c r="AL34" s="746"/>
      <c r="AM34" s="811"/>
      <c r="AN34" s="746"/>
      <c r="AO34" s="746"/>
      <c r="AP34" s="811"/>
      <c r="AQ34" s="19"/>
    </row>
    <row r="35" spans="2:43" x14ac:dyDescent="0.25">
      <c r="B35" s="668" t="s">
        <v>636</v>
      </c>
      <c r="C35" s="791"/>
      <c r="D35" s="752"/>
      <c r="E35" s="811"/>
      <c r="F35" s="811"/>
      <c r="G35" s="811"/>
      <c r="H35" s="811"/>
      <c r="I35" s="811"/>
      <c r="J35" s="811"/>
      <c r="K35" s="811"/>
      <c r="L35" s="811"/>
      <c r="M35" s="811"/>
      <c r="N35" s="811"/>
      <c r="O35" s="811"/>
      <c r="P35" s="811"/>
      <c r="Q35" s="811"/>
      <c r="R35" s="811"/>
      <c r="S35" s="811"/>
      <c r="T35" s="811"/>
      <c r="U35" s="811"/>
      <c r="V35" s="811"/>
      <c r="W35" s="811"/>
      <c r="X35" s="811"/>
      <c r="Y35" s="811"/>
      <c r="Z35" s="29"/>
      <c r="AA35" s="811"/>
      <c r="AB35" s="811"/>
      <c r="AC35" s="811"/>
      <c r="AD35" s="807" t="s">
        <v>637</v>
      </c>
      <c r="AE35" s="746"/>
      <c r="AF35" s="746"/>
      <c r="AG35" s="811"/>
      <c r="AH35" s="746"/>
      <c r="AI35" s="811"/>
      <c r="AJ35" s="811"/>
      <c r="AK35" s="811"/>
      <c r="AL35" s="746"/>
      <c r="AM35" s="811"/>
      <c r="AN35" s="746"/>
      <c r="AO35" s="746"/>
      <c r="AP35" s="811"/>
      <c r="AQ35" s="19"/>
    </row>
    <row r="36" spans="2:43" x14ac:dyDescent="0.25">
      <c r="B36" s="667" t="s">
        <v>638</v>
      </c>
      <c r="C36" s="791" t="s">
        <v>639</v>
      </c>
      <c r="D36" s="752">
        <v>175</v>
      </c>
      <c r="E36" s="752">
        <v>192.50000000000003</v>
      </c>
      <c r="F36" s="752">
        <v>175</v>
      </c>
      <c r="G36" s="752">
        <v>192.50000000000003</v>
      </c>
      <c r="H36" s="752">
        <v>175</v>
      </c>
      <c r="I36" s="752">
        <v>192.50000000000003</v>
      </c>
      <c r="J36" s="752">
        <v>200</v>
      </c>
      <c r="K36" s="752">
        <v>175</v>
      </c>
      <c r="L36" s="752">
        <v>175</v>
      </c>
      <c r="M36" s="752">
        <v>175</v>
      </c>
      <c r="N36" s="752">
        <v>175</v>
      </c>
      <c r="O36" s="752">
        <v>175</v>
      </c>
      <c r="P36" s="752"/>
      <c r="Q36" s="808">
        <v>5.5</v>
      </c>
      <c r="R36" s="808">
        <v>5.5</v>
      </c>
      <c r="S36" s="752">
        <v>250</v>
      </c>
      <c r="T36" s="752">
        <v>250</v>
      </c>
      <c r="U36" s="752">
        <v>250</v>
      </c>
      <c r="V36" s="752">
        <v>200</v>
      </c>
      <c r="W36" s="752">
        <v>45</v>
      </c>
      <c r="X36" s="752">
        <v>52.5</v>
      </c>
      <c r="Y36" s="752">
        <v>175</v>
      </c>
      <c r="Z36" s="773">
        <v>160</v>
      </c>
      <c r="AA36" s="752">
        <v>135</v>
      </c>
      <c r="AB36" s="807">
        <v>190</v>
      </c>
      <c r="AC36" s="752">
        <v>190</v>
      </c>
      <c r="AD36" s="811">
        <v>137</v>
      </c>
      <c r="AE36" s="752">
        <v>17</v>
      </c>
      <c r="AF36" s="752">
        <v>4.5</v>
      </c>
      <c r="AG36" s="752">
        <v>1.1499999999999999</v>
      </c>
      <c r="AH36" s="746"/>
      <c r="AI36" s="752">
        <v>2900</v>
      </c>
      <c r="AJ36" s="752">
        <v>1100</v>
      </c>
      <c r="AK36" s="752">
        <v>80</v>
      </c>
      <c r="AL36" s="746"/>
      <c r="AM36" s="811">
        <v>16400</v>
      </c>
      <c r="AN36" s="811">
        <v>12830</v>
      </c>
      <c r="AO36" s="811">
        <v>74188</v>
      </c>
      <c r="AP36" s="811">
        <v>4.2</v>
      </c>
      <c r="AQ36" s="19">
        <v>45</v>
      </c>
    </row>
    <row r="37" spans="2:43" x14ac:dyDescent="0.25">
      <c r="B37" s="667" t="s">
        <v>640</v>
      </c>
      <c r="C37" s="791" t="s">
        <v>495</v>
      </c>
      <c r="D37" s="752">
        <v>420</v>
      </c>
      <c r="E37" s="752">
        <v>620</v>
      </c>
      <c r="F37" s="752">
        <v>440</v>
      </c>
      <c r="G37" s="752">
        <v>640</v>
      </c>
      <c r="H37" s="752">
        <v>420</v>
      </c>
      <c r="I37" s="752">
        <v>620</v>
      </c>
      <c r="J37" s="752">
        <v>450</v>
      </c>
      <c r="K37" s="752">
        <v>400</v>
      </c>
      <c r="L37" s="752">
        <v>420</v>
      </c>
      <c r="M37" s="752">
        <v>430</v>
      </c>
      <c r="N37" s="752">
        <v>430</v>
      </c>
      <c r="O37" s="752">
        <v>430</v>
      </c>
      <c r="P37" s="752"/>
      <c r="Q37" s="752">
        <v>9800</v>
      </c>
      <c r="R37" s="752">
        <v>9800</v>
      </c>
      <c r="S37" s="752">
        <v>490</v>
      </c>
      <c r="T37" s="752">
        <v>500</v>
      </c>
      <c r="U37" s="752">
        <v>500</v>
      </c>
      <c r="V37" s="752">
        <v>510</v>
      </c>
      <c r="W37" s="752">
        <v>2000</v>
      </c>
      <c r="X37" s="752">
        <v>1800</v>
      </c>
      <c r="Y37" s="752">
        <v>430</v>
      </c>
      <c r="Z37" s="773">
        <v>425</v>
      </c>
      <c r="AA37" s="752">
        <v>650</v>
      </c>
      <c r="AB37" s="752"/>
      <c r="AC37" s="752">
        <v>800</v>
      </c>
      <c r="AD37" s="811"/>
      <c r="AE37" s="752">
        <v>10000</v>
      </c>
      <c r="AF37" s="752">
        <v>12000</v>
      </c>
      <c r="AG37" s="752">
        <v>180</v>
      </c>
      <c r="AH37" s="746"/>
      <c r="AI37" s="752">
        <v>370</v>
      </c>
      <c r="AJ37" s="752"/>
      <c r="AK37" s="811"/>
      <c r="AL37" s="746"/>
      <c r="AM37" s="811"/>
      <c r="AN37" s="746"/>
      <c r="AO37" s="746"/>
      <c r="AP37" s="811">
        <v>200</v>
      </c>
      <c r="AQ37" s="19">
        <v>17.510000000000002</v>
      </c>
    </row>
    <row r="38" spans="2:43" x14ac:dyDescent="0.25">
      <c r="B38" s="676" t="s">
        <v>641</v>
      </c>
      <c r="C38" s="791" t="s">
        <v>449</v>
      </c>
      <c r="D38" s="777">
        <v>0.35</v>
      </c>
      <c r="E38" s="777">
        <v>0.35</v>
      </c>
      <c r="F38" s="777">
        <v>0.3</v>
      </c>
      <c r="G38" s="777">
        <v>0.3</v>
      </c>
      <c r="H38" s="777">
        <v>0.35</v>
      </c>
      <c r="I38" s="777">
        <v>0.35</v>
      </c>
      <c r="J38" s="777">
        <v>0.2</v>
      </c>
      <c r="K38" s="777">
        <v>0.25</v>
      </c>
      <c r="L38" s="777">
        <v>0.25</v>
      </c>
      <c r="M38" s="777">
        <v>0.35</v>
      </c>
      <c r="N38" s="777">
        <v>0.35</v>
      </c>
      <c r="O38" s="777">
        <v>0.3</v>
      </c>
      <c r="P38" s="777"/>
      <c r="Q38" s="777">
        <v>0.35</v>
      </c>
      <c r="R38" s="777">
        <v>0.2</v>
      </c>
      <c r="S38" s="777">
        <v>0.5</v>
      </c>
      <c r="T38" s="777">
        <v>0.45</v>
      </c>
      <c r="U38" s="777">
        <v>0.45</v>
      </c>
      <c r="V38" s="777">
        <v>0.3</v>
      </c>
      <c r="W38" s="777">
        <v>0</v>
      </c>
      <c r="X38" s="777">
        <v>0</v>
      </c>
      <c r="Y38" s="777">
        <v>0.35</v>
      </c>
      <c r="Z38" s="829">
        <v>0.4</v>
      </c>
      <c r="AA38" s="777">
        <v>0</v>
      </c>
      <c r="AB38" s="777"/>
      <c r="AC38" s="777">
        <v>0</v>
      </c>
      <c r="AD38" s="811"/>
      <c r="AE38" s="777">
        <v>0</v>
      </c>
      <c r="AF38" s="777">
        <v>0</v>
      </c>
      <c r="AG38" s="777">
        <v>0</v>
      </c>
      <c r="AH38" s="746"/>
      <c r="AI38" s="777">
        <v>0.4</v>
      </c>
      <c r="AJ38" s="777"/>
      <c r="AK38" s="811"/>
      <c r="AL38" s="746"/>
      <c r="AM38" s="811"/>
      <c r="AN38" s="746"/>
      <c r="AO38" s="746"/>
      <c r="AP38" s="811"/>
      <c r="AQ38" s="19"/>
    </row>
    <row r="39" spans="2:43" x14ac:dyDescent="0.25">
      <c r="B39" s="667" t="s">
        <v>642</v>
      </c>
      <c r="C39" s="791" t="s">
        <v>495</v>
      </c>
      <c r="D39" s="752">
        <v>291.7</v>
      </c>
      <c r="E39" s="752">
        <v>160</v>
      </c>
      <c r="F39" s="752">
        <v>174</v>
      </c>
      <c r="G39" s="752">
        <v>174</v>
      </c>
      <c r="H39" s="752">
        <v>163</v>
      </c>
      <c r="I39" s="752">
        <v>163</v>
      </c>
      <c r="J39" s="752">
        <v>174</v>
      </c>
      <c r="K39" s="752">
        <v>141</v>
      </c>
      <c r="L39" s="752">
        <v>162</v>
      </c>
      <c r="M39" s="752">
        <v>141</v>
      </c>
      <c r="N39" s="752">
        <v>167</v>
      </c>
      <c r="O39" s="752">
        <v>141</v>
      </c>
      <c r="P39" s="752"/>
      <c r="Q39" s="752">
        <v>360</v>
      </c>
      <c r="R39" s="752">
        <v>360</v>
      </c>
      <c r="S39" s="752">
        <v>195</v>
      </c>
      <c r="T39" s="752">
        <v>198</v>
      </c>
      <c r="U39" s="752">
        <v>195</v>
      </c>
      <c r="V39" s="752">
        <v>195</v>
      </c>
      <c r="W39" s="752">
        <v>410</v>
      </c>
      <c r="X39" s="752">
        <v>410</v>
      </c>
      <c r="Y39" s="752">
        <v>141</v>
      </c>
      <c r="Z39" s="773">
        <v>310</v>
      </c>
      <c r="AA39" s="752">
        <v>250</v>
      </c>
      <c r="AB39" s="752"/>
      <c r="AC39" s="811">
        <v>0</v>
      </c>
      <c r="AD39" s="752">
        <v>155</v>
      </c>
      <c r="AE39" s="811">
        <v>10</v>
      </c>
      <c r="AF39" s="746"/>
      <c r="AG39" s="752"/>
      <c r="AH39" s="746"/>
      <c r="AI39" s="752">
        <v>280</v>
      </c>
      <c r="AJ39" s="752"/>
      <c r="AK39" s="811"/>
      <c r="AL39" s="746"/>
      <c r="AM39" s="811"/>
      <c r="AN39" s="746"/>
      <c r="AO39" s="746"/>
      <c r="AP39" s="811"/>
      <c r="AQ39" s="19"/>
    </row>
    <row r="40" spans="2:43" x14ac:dyDescent="0.25">
      <c r="B40" s="668" t="s">
        <v>643</v>
      </c>
      <c r="C40" s="791"/>
      <c r="D40" s="752"/>
      <c r="E40" s="811"/>
      <c r="F40" s="811"/>
      <c r="G40" s="811"/>
      <c r="H40" s="811"/>
      <c r="I40" s="811"/>
      <c r="J40" s="811"/>
      <c r="K40" s="811"/>
      <c r="L40" s="811"/>
      <c r="M40" s="811"/>
      <c r="N40" s="811"/>
      <c r="O40" s="811"/>
      <c r="P40" s="811"/>
      <c r="Q40" s="811"/>
      <c r="R40" s="811"/>
      <c r="S40" s="811"/>
      <c r="T40" s="811"/>
      <c r="U40" s="811"/>
      <c r="V40" s="811"/>
      <c r="W40" s="811"/>
      <c r="X40" s="811"/>
      <c r="Y40" s="811"/>
      <c r="Z40" s="29"/>
      <c r="AA40" s="811"/>
      <c r="AB40" s="811"/>
      <c r="AC40" s="811"/>
      <c r="AD40" s="811"/>
      <c r="AE40" s="746"/>
      <c r="AF40" s="746"/>
      <c r="AG40" s="811"/>
      <c r="AH40" s="746"/>
      <c r="AI40" s="811"/>
      <c r="AJ40" s="811"/>
      <c r="AK40" s="811"/>
      <c r="AL40" s="746"/>
      <c r="AM40" s="811"/>
      <c r="AN40" s="746"/>
      <c r="AO40" s="746"/>
      <c r="AP40" s="811"/>
      <c r="AQ40" s="19"/>
    </row>
    <row r="41" spans="2:43" x14ac:dyDescent="0.25">
      <c r="B41" s="667" t="s">
        <v>644</v>
      </c>
      <c r="C41" s="791" t="s">
        <v>645</v>
      </c>
      <c r="D41" s="752">
        <v>190</v>
      </c>
      <c r="E41" s="752">
        <v>190</v>
      </c>
      <c r="F41" s="756">
        <v>230</v>
      </c>
      <c r="G41" s="756">
        <v>230</v>
      </c>
      <c r="H41" s="756">
        <v>220</v>
      </c>
      <c r="I41" s="756">
        <v>220</v>
      </c>
      <c r="J41" s="811">
        <v>190</v>
      </c>
      <c r="K41" s="811">
        <v>140</v>
      </c>
      <c r="L41" s="811">
        <v>90</v>
      </c>
      <c r="M41" s="811">
        <v>110</v>
      </c>
      <c r="N41" s="811">
        <v>70</v>
      </c>
      <c r="O41" s="811">
        <v>130</v>
      </c>
      <c r="P41" s="811"/>
      <c r="Q41" s="811">
        <v>190</v>
      </c>
      <c r="R41" s="811">
        <v>80</v>
      </c>
      <c r="S41" s="811">
        <v>0</v>
      </c>
      <c r="T41" s="811">
        <v>0</v>
      </c>
      <c r="U41" s="811">
        <v>0</v>
      </c>
      <c r="V41" s="811">
        <v>0</v>
      </c>
      <c r="W41" s="811">
        <v>50</v>
      </c>
      <c r="X41" s="811">
        <v>80</v>
      </c>
      <c r="Y41" s="811">
        <v>110</v>
      </c>
      <c r="Z41" s="29">
        <v>130</v>
      </c>
      <c r="AA41" s="811">
        <v>140</v>
      </c>
      <c r="AB41" s="811">
        <v>70</v>
      </c>
      <c r="AC41" s="811">
        <v>25</v>
      </c>
      <c r="AD41" s="811">
        <v>110</v>
      </c>
      <c r="AE41" s="811">
        <v>80</v>
      </c>
      <c r="AF41" s="811">
        <v>160</v>
      </c>
      <c r="AG41" s="811">
        <v>156</v>
      </c>
      <c r="AH41" s="746"/>
      <c r="AI41" s="811">
        <v>160</v>
      </c>
      <c r="AJ41" s="811">
        <v>477</v>
      </c>
      <c r="AK41" s="811">
        <v>130</v>
      </c>
      <c r="AL41" s="746"/>
      <c r="AM41" s="811"/>
      <c r="AN41" s="811">
        <v>2210</v>
      </c>
      <c r="AO41" s="811">
        <v>9335</v>
      </c>
      <c r="AP41" s="811">
        <v>291</v>
      </c>
      <c r="AQ41" s="19">
        <v>325</v>
      </c>
    </row>
    <row r="42" spans="2:43" x14ac:dyDescent="0.25">
      <c r="B42" s="667" t="s">
        <v>646</v>
      </c>
      <c r="C42" s="791" t="s">
        <v>647</v>
      </c>
      <c r="D42" s="808">
        <v>7</v>
      </c>
      <c r="E42" s="808">
        <v>7</v>
      </c>
      <c r="F42" s="808">
        <v>7</v>
      </c>
      <c r="G42" s="808">
        <v>7</v>
      </c>
      <c r="H42" s="808">
        <v>7</v>
      </c>
      <c r="I42" s="808">
        <v>7</v>
      </c>
      <c r="J42" s="808">
        <v>8.5</v>
      </c>
      <c r="K42" s="808">
        <v>8.5</v>
      </c>
      <c r="L42" s="808">
        <v>8.5</v>
      </c>
      <c r="M42" s="808">
        <v>8.5</v>
      </c>
      <c r="N42" s="808">
        <v>8.5</v>
      </c>
      <c r="O42" s="808">
        <v>9</v>
      </c>
      <c r="P42" s="808"/>
      <c r="Q42" s="808">
        <v>14</v>
      </c>
      <c r="R42" s="808">
        <v>14</v>
      </c>
      <c r="S42" s="811">
        <v>11</v>
      </c>
      <c r="T42" s="811">
        <v>11</v>
      </c>
      <c r="U42" s="811">
        <v>11</v>
      </c>
      <c r="V42" s="811">
        <v>9</v>
      </c>
      <c r="W42" s="809">
        <v>14</v>
      </c>
      <c r="X42" s="809">
        <v>14</v>
      </c>
      <c r="Y42" s="808">
        <v>8.5</v>
      </c>
      <c r="Z42" s="830">
        <v>7.8</v>
      </c>
      <c r="AA42" s="808">
        <v>7.8</v>
      </c>
      <c r="AB42" s="808"/>
      <c r="AC42" s="808">
        <v>15</v>
      </c>
      <c r="AD42" s="808">
        <v>14</v>
      </c>
      <c r="AE42" s="808">
        <v>87.5</v>
      </c>
      <c r="AF42" s="808"/>
      <c r="AG42" s="811">
        <v>0.8</v>
      </c>
      <c r="AH42" s="746"/>
      <c r="AI42" s="811">
        <v>1</v>
      </c>
      <c r="AJ42" s="811"/>
      <c r="AK42" s="811"/>
      <c r="AL42" s="746"/>
      <c r="AM42" s="811"/>
      <c r="AN42" s="746"/>
      <c r="AO42" s="746"/>
      <c r="AP42" s="811"/>
      <c r="AQ42" s="19"/>
    </row>
    <row r="43" spans="2:43" x14ac:dyDescent="0.25">
      <c r="B43" s="667" t="s">
        <v>648</v>
      </c>
      <c r="C43" s="791" t="s">
        <v>647</v>
      </c>
      <c r="D43" s="808">
        <v>10.5</v>
      </c>
      <c r="E43" s="808">
        <v>10.5</v>
      </c>
      <c r="F43" s="808">
        <v>10.5</v>
      </c>
      <c r="G43" s="808">
        <v>10.5</v>
      </c>
      <c r="H43" s="808">
        <v>10.5</v>
      </c>
      <c r="I43" s="808">
        <v>10.5</v>
      </c>
      <c r="J43" s="808">
        <v>12</v>
      </c>
      <c r="K43" s="808">
        <v>10.5</v>
      </c>
      <c r="L43" s="808">
        <v>10.5</v>
      </c>
      <c r="M43" s="808">
        <v>12</v>
      </c>
      <c r="N43" s="808">
        <v>12</v>
      </c>
      <c r="O43" s="808">
        <v>16.5</v>
      </c>
      <c r="P43" s="808"/>
      <c r="Q43" s="808">
        <v>11</v>
      </c>
      <c r="R43" s="808">
        <v>11</v>
      </c>
      <c r="S43" s="811">
        <v>12</v>
      </c>
      <c r="T43" s="811">
        <v>12</v>
      </c>
      <c r="U43" s="811">
        <v>12</v>
      </c>
      <c r="V43" s="811">
        <v>10</v>
      </c>
      <c r="W43" s="809">
        <v>11</v>
      </c>
      <c r="X43" s="809">
        <v>11</v>
      </c>
      <c r="Y43" s="808">
        <v>12</v>
      </c>
      <c r="Z43" s="830">
        <v>5.6</v>
      </c>
      <c r="AA43" s="808">
        <v>5.6</v>
      </c>
      <c r="AB43" s="808"/>
      <c r="AC43" s="808">
        <v>15</v>
      </c>
      <c r="AD43" s="808">
        <v>11</v>
      </c>
      <c r="AE43" s="808">
        <v>87.5</v>
      </c>
      <c r="AF43" s="808"/>
      <c r="AG43" s="811">
        <v>1.7</v>
      </c>
      <c r="AH43" s="746"/>
      <c r="AI43" s="811">
        <v>5.8</v>
      </c>
      <c r="AJ43" s="811"/>
      <c r="AK43" s="811"/>
      <c r="AL43" s="746"/>
      <c r="AM43" s="811"/>
      <c r="AN43" s="746"/>
      <c r="AO43" s="746"/>
      <c r="AP43" s="811"/>
      <c r="AQ43" s="19"/>
    </row>
    <row r="44" spans="2:43" x14ac:dyDescent="0.25">
      <c r="B44" s="667" t="s">
        <v>646</v>
      </c>
      <c r="C44" s="791" t="s">
        <v>639</v>
      </c>
      <c r="D44" s="752">
        <v>89.644456770567672</v>
      </c>
      <c r="E44" s="752">
        <v>84.052771664750779</v>
      </c>
      <c r="F44" s="752">
        <v>84.92806415507718</v>
      </c>
      <c r="G44" s="752">
        <v>79.779284800216075</v>
      </c>
      <c r="H44" s="752">
        <v>88.465358616695042</v>
      </c>
      <c r="I44" s="752">
        <v>82.98439994861711</v>
      </c>
      <c r="J44" s="752">
        <v>51.276118954508739</v>
      </c>
      <c r="K44" s="752">
        <v>61.821103523815701</v>
      </c>
      <c r="L44" s="752">
        <v>57.349953317175228</v>
      </c>
      <c r="M44" s="752">
        <v>50.165711642790654</v>
      </c>
      <c r="N44" s="752">
        <v>48.840394407609288</v>
      </c>
      <c r="O44" s="752">
        <v>50.125795316628007</v>
      </c>
      <c r="P44" s="752"/>
      <c r="Q44" s="752">
        <v>48.046625563389561</v>
      </c>
      <c r="R44" s="752">
        <v>31.230306616203219</v>
      </c>
      <c r="S44" s="752">
        <v>43.92465</v>
      </c>
      <c r="T44" s="752">
        <v>39.741349999999997</v>
      </c>
      <c r="U44" s="752">
        <v>39.741349999999997</v>
      </c>
      <c r="V44" s="752">
        <v>33.69</v>
      </c>
      <c r="W44" s="752">
        <v>24.5</v>
      </c>
      <c r="X44" s="752">
        <v>31.5</v>
      </c>
      <c r="Y44" s="752">
        <v>40.132569314232526</v>
      </c>
      <c r="Z44" s="773">
        <v>35.1</v>
      </c>
      <c r="AA44" s="752">
        <v>42.9</v>
      </c>
      <c r="AB44" s="752">
        <v>0</v>
      </c>
      <c r="AC44" s="752">
        <v>45</v>
      </c>
      <c r="AD44" s="752">
        <v>105</v>
      </c>
      <c r="AE44" s="752">
        <v>35</v>
      </c>
      <c r="AF44" s="752">
        <v>60</v>
      </c>
      <c r="AG44" s="752">
        <v>59.657040316830177</v>
      </c>
      <c r="AH44" s="746"/>
      <c r="AI44" s="752">
        <v>46.325000000000003</v>
      </c>
      <c r="AJ44" s="752"/>
      <c r="AK44" s="811"/>
      <c r="AL44" s="746"/>
      <c r="AM44" s="811"/>
      <c r="AN44" s="746"/>
      <c r="AO44" s="746"/>
      <c r="AP44" s="811"/>
      <c r="AQ44" s="19"/>
    </row>
    <row r="45" spans="2:43" x14ac:dyDescent="0.25">
      <c r="B45" s="667" t="s">
        <v>648</v>
      </c>
      <c r="C45" s="791" t="s">
        <v>639</v>
      </c>
      <c r="D45" s="752">
        <v>126.79118515585151</v>
      </c>
      <c r="E45" s="752">
        <v>118.40365749712616</v>
      </c>
      <c r="F45" s="752">
        <v>119.71659623261576</v>
      </c>
      <c r="G45" s="752">
        <v>111.99342720032412</v>
      </c>
      <c r="H45" s="752">
        <v>125.02253792504256</v>
      </c>
      <c r="I45" s="752">
        <v>116.80109992292566</v>
      </c>
      <c r="J45" s="752">
        <v>115.21781499460056</v>
      </c>
      <c r="K45" s="752">
        <v>76.367245529419392</v>
      </c>
      <c r="L45" s="752">
        <v>70.844059980039987</v>
      </c>
      <c r="M45" s="752">
        <v>70.82218114276327</v>
      </c>
      <c r="N45" s="752">
        <v>68.951145046036643</v>
      </c>
      <c r="O45" s="752">
        <v>91.89729141381801</v>
      </c>
      <c r="P45" s="752"/>
      <c r="Q45" s="752">
        <v>37.75092008552037</v>
      </c>
      <c r="R45" s="752">
        <v>24.538098055588243</v>
      </c>
      <c r="S45" s="752">
        <v>47.9178</v>
      </c>
      <c r="T45" s="752">
        <v>43.354199999999999</v>
      </c>
      <c r="U45" s="752">
        <v>43.354199999999999</v>
      </c>
      <c r="V45" s="752">
        <v>37.43333333333333</v>
      </c>
      <c r="W45" s="752">
        <v>19.25</v>
      </c>
      <c r="X45" s="752">
        <v>24.75</v>
      </c>
      <c r="Y45" s="752">
        <v>56.657744914210625</v>
      </c>
      <c r="Z45" s="773">
        <v>25.2</v>
      </c>
      <c r="AA45" s="752">
        <v>30.799999999999997</v>
      </c>
      <c r="AB45" s="752">
        <v>0</v>
      </c>
      <c r="AC45" s="752">
        <v>45</v>
      </c>
      <c r="AD45" s="752">
        <v>82.5</v>
      </c>
      <c r="AE45" s="752">
        <v>35</v>
      </c>
      <c r="AF45" s="752">
        <v>75</v>
      </c>
      <c r="AG45" s="752">
        <v>126.77121067326411</v>
      </c>
      <c r="AH45" s="746"/>
      <c r="AI45" s="752">
        <v>268.685</v>
      </c>
      <c r="AJ45" s="752"/>
      <c r="AK45" s="811"/>
      <c r="AL45" s="746"/>
      <c r="AM45" s="811"/>
      <c r="AN45" s="746"/>
      <c r="AO45" s="746"/>
      <c r="AP45" s="811"/>
      <c r="AQ45" s="19"/>
    </row>
    <row r="46" spans="2:43" x14ac:dyDescent="0.25">
      <c r="B46" s="667" t="s">
        <v>649</v>
      </c>
      <c r="C46" s="791" t="s">
        <v>538</v>
      </c>
      <c r="D46" s="809">
        <v>2.2003352891869237</v>
      </c>
      <c r="E46" s="809">
        <v>2.2003352891869237</v>
      </c>
      <c r="F46" s="809">
        <v>2.2003352891869237</v>
      </c>
      <c r="G46" s="809">
        <v>2.2003352891869237</v>
      </c>
      <c r="H46" s="809">
        <v>2.2003352891869237</v>
      </c>
      <c r="I46" s="809">
        <v>2.2003352891869237</v>
      </c>
      <c r="J46" s="809">
        <v>2.8846153846153846</v>
      </c>
      <c r="K46" s="809">
        <v>2.2925764192139741</v>
      </c>
      <c r="L46" s="809">
        <v>2.2925764192139741</v>
      </c>
      <c r="M46" s="809">
        <v>1.8672199170124482</v>
      </c>
      <c r="N46" s="809">
        <v>1.8672199170124482</v>
      </c>
      <c r="O46" s="809">
        <v>1.1848341232227488</v>
      </c>
      <c r="P46" s="809"/>
      <c r="Q46" s="809">
        <v>1.9072164948453609</v>
      </c>
      <c r="R46" s="809">
        <v>-7.9174664107485609E-2</v>
      </c>
      <c r="S46" s="809">
        <v>0.59171597633136097</v>
      </c>
      <c r="T46" s="809">
        <v>0.59171597633136097</v>
      </c>
      <c r="U46" s="809">
        <v>0.59171597633136097</v>
      </c>
      <c r="V46" s="809">
        <v>0.67567567567567566</v>
      </c>
      <c r="W46" s="809">
        <v>1.1363636363636365</v>
      </c>
      <c r="X46" s="809">
        <v>1.1363636363636365</v>
      </c>
      <c r="Y46" s="809">
        <v>1.8672199170124482</v>
      </c>
      <c r="Z46" s="35">
        <v>0</v>
      </c>
      <c r="AA46" s="809">
        <v>0</v>
      </c>
      <c r="AB46" s="809">
        <v>4.383116883116883</v>
      </c>
      <c r="AC46" s="809">
        <v>1.1363636363636365</v>
      </c>
      <c r="AD46" s="809">
        <v>1.1363636363636365</v>
      </c>
      <c r="AE46" s="809">
        <v>1.1363636363636365</v>
      </c>
      <c r="AF46" s="809">
        <v>1.9061583577712611</v>
      </c>
      <c r="AG46" s="809">
        <v>7.0000000000000009</v>
      </c>
      <c r="AH46" s="746"/>
      <c r="AI46" s="809">
        <v>0</v>
      </c>
      <c r="AJ46" s="809"/>
      <c r="AK46" s="811"/>
      <c r="AL46" s="746"/>
      <c r="AM46" s="811"/>
      <c r="AN46" s="746"/>
      <c r="AO46" s="746"/>
      <c r="AP46" s="811"/>
      <c r="AQ46" s="19"/>
    </row>
    <row r="47" spans="2:43" x14ac:dyDescent="0.25">
      <c r="B47" s="668" t="s">
        <v>650</v>
      </c>
      <c r="C47" s="791"/>
      <c r="D47" s="752"/>
      <c r="E47" s="811"/>
      <c r="F47" s="811"/>
      <c r="G47" s="811"/>
      <c r="H47" s="811"/>
      <c r="I47" s="811"/>
      <c r="J47" s="811"/>
      <c r="K47" s="811"/>
      <c r="L47" s="811"/>
      <c r="M47" s="811"/>
      <c r="N47" s="811"/>
      <c r="O47" s="811"/>
      <c r="P47" s="811"/>
      <c r="Q47" s="811"/>
      <c r="R47" s="811"/>
      <c r="S47" s="811"/>
      <c r="T47" s="811"/>
      <c r="U47" s="811"/>
      <c r="V47" s="811"/>
      <c r="W47" s="811"/>
      <c r="X47" s="811"/>
      <c r="Y47" s="811"/>
      <c r="Z47" s="29"/>
      <c r="AA47" s="811"/>
      <c r="AB47" s="811"/>
      <c r="AC47" s="811"/>
      <c r="AD47" s="811"/>
      <c r="AE47" s="746"/>
      <c r="AF47" s="746"/>
      <c r="AG47" s="811"/>
      <c r="AH47" s="746"/>
      <c r="AI47" s="811"/>
      <c r="AJ47" s="811"/>
      <c r="AK47" s="811"/>
      <c r="AL47" s="746"/>
      <c r="AM47" s="811"/>
      <c r="AN47" s="746"/>
      <c r="AO47" s="746"/>
      <c r="AP47" s="811"/>
      <c r="AQ47" s="19"/>
    </row>
    <row r="48" spans="2:43" x14ac:dyDescent="0.25">
      <c r="B48" s="670" t="s">
        <v>651</v>
      </c>
      <c r="C48" s="791" t="s">
        <v>538</v>
      </c>
      <c r="D48" s="752">
        <v>103</v>
      </c>
      <c r="E48" s="807">
        <v>103</v>
      </c>
      <c r="F48" s="807">
        <v>103</v>
      </c>
      <c r="G48" s="807">
        <v>103</v>
      </c>
      <c r="H48" s="807">
        <v>103</v>
      </c>
      <c r="I48" s="807">
        <v>103</v>
      </c>
      <c r="J48" s="807">
        <v>65</v>
      </c>
      <c r="K48" s="807">
        <v>81</v>
      </c>
      <c r="L48" s="807">
        <v>81</v>
      </c>
      <c r="M48" s="807">
        <v>65</v>
      </c>
      <c r="N48" s="807">
        <v>65</v>
      </c>
      <c r="O48" s="807">
        <v>59</v>
      </c>
      <c r="P48" s="807"/>
      <c r="Q48" s="807">
        <v>113</v>
      </c>
      <c r="R48" s="807">
        <v>54</v>
      </c>
      <c r="S48" s="807">
        <v>65</v>
      </c>
      <c r="T48" s="807">
        <v>65</v>
      </c>
      <c r="U48" s="807">
        <v>65</v>
      </c>
      <c r="V48" s="807">
        <v>81</v>
      </c>
      <c r="W48" s="807">
        <v>23.44736842105263</v>
      </c>
      <c r="X48" s="807">
        <v>38.63247863247863</v>
      </c>
      <c r="Y48" s="807">
        <v>32.5</v>
      </c>
      <c r="Z48" s="29"/>
      <c r="AA48" s="811"/>
      <c r="AB48" s="811"/>
      <c r="AC48" s="811"/>
      <c r="AD48" s="811"/>
      <c r="AE48" s="746"/>
      <c r="AF48" s="811"/>
      <c r="AG48" s="807">
        <v>173</v>
      </c>
      <c r="AH48" s="746"/>
      <c r="AI48" s="807">
        <v>32</v>
      </c>
      <c r="AJ48" s="807"/>
      <c r="AK48" s="811"/>
      <c r="AL48" s="746"/>
      <c r="AM48" s="811"/>
      <c r="AN48" s="746"/>
      <c r="AO48" s="746"/>
      <c r="AP48" s="811"/>
      <c r="AQ48" s="19"/>
    </row>
    <row r="49" spans="2:43" x14ac:dyDescent="0.25">
      <c r="B49" s="670" t="s">
        <v>652</v>
      </c>
      <c r="C49" s="791" t="s">
        <v>538</v>
      </c>
      <c r="D49" s="807">
        <v>121</v>
      </c>
      <c r="E49" s="807">
        <v>121</v>
      </c>
      <c r="F49" s="807">
        <v>127</v>
      </c>
      <c r="G49" s="807">
        <v>127</v>
      </c>
      <c r="H49" s="807">
        <v>127</v>
      </c>
      <c r="I49" s="807">
        <v>127</v>
      </c>
      <c r="J49" s="807">
        <v>55</v>
      </c>
      <c r="K49" s="807">
        <v>83</v>
      </c>
      <c r="L49" s="807">
        <v>83</v>
      </c>
      <c r="M49" s="807">
        <v>55</v>
      </c>
      <c r="N49" s="807">
        <v>55</v>
      </c>
      <c r="O49" s="807">
        <v>46</v>
      </c>
      <c r="P49" s="807"/>
      <c r="Q49" s="807">
        <v>80</v>
      </c>
      <c r="R49" s="807">
        <v>57</v>
      </c>
      <c r="S49" s="807">
        <v>50</v>
      </c>
      <c r="T49" s="807">
        <v>44</v>
      </c>
      <c r="U49" s="807">
        <v>44</v>
      </c>
      <c r="V49" s="807">
        <v>55</v>
      </c>
      <c r="W49" s="807">
        <v>24.75</v>
      </c>
      <c r="X49" s="807">
        <v>27.350427350427353</v>
      </c>
      <c r="Y49" s="807">
        <v>27.5</v>
      </c>
      <c r="Z49" s="29"/>
      <c r="AA49" s="811"/>
      <c r="AB49" s="811"/>
      <c r="AC49" s="811"/>
      <c r="AD49" s="811"/>
      <c r="AE49" s="746"/>
      <c r="AF49" s="811"/>
      <c r="AG49" s="807">
        <v>50</v>
      </c>
      <c r="AH49" s="746"/>
      <c r="AI49" s="807">
        <v>198</v>
      </c>
      <c r="AJ49" s="807"/>
      <c r="AK49" s="811"/>
      <c r="AL49" s="746"/>
      <c r="AM49" s="811"/>
      <c r="AN49" s="746"/>
      <c r="AO49" s="746"/>
      <c r="AP49" s="811"/>
      <c r="AQ49" s="19"/>
    </row>
    <row r="50" spans="2:43" x14ac:dyDescent="0.25">
      <c r="B50" s="670" t="s">
        <v>653</v>
      </c>
      <c r="C50" s="791" t="s">
        <v>538</v>
      </c>
      <c r="D50" s="807">
        <v>8</v>
      </c>
      <c r="E50" s="807">
        <v>8</v>
      </c>
      <c r="F50" s="807">
        <v>8</v>
      </c>
      <c r="G50" s="807">
        <v>8</v>
      </c>
      <c r="H50" s="807">
        <v>8</v>
      </c>
      <c r="I50" s="807">
        <v>8</v>
      </c>
      <c r="J50" s="807">
        <v>8</v>
      </c>
      <c r="K50" s="807">
        <v>8</v>
      </c>
      <c r="L50" s="807">
        <v>8</v>
      </c>
      <c r="M50" s="807">
        <v>8</v>
      </c>
      <c r="N50" s="807">
        <v>8</v>
      </c>
      <c r="O50" s="807">
        <v>8</v>
      </c>
      <c r="P50" s="807"/>
      <c r="Q50" s="807">
        <v>8</v>
      </c>
      <c r="R50" s="807">
        <v>8</v>
      </c>
      <c r="S50" s="807">
        <v>8</v>
      </c>
      <c r="T50" s="807">
        <v>11</v>
      </c>
      <c r="U50" s="807">
        <v>11</v>
      </c>
      <c r="V50" s="807">
        <v>11</v>
      </c>
      <c r="W50" s="807">
        <v>3.4736842105263155</v>
      </c>
      <c r="X50" s="807">
        <v>2.7350427350427351</v>
      </c>
      <c r="Y50" s="807">
        <v>2.7350427350427351</v>
      </c>
      <c r="Z50" s="29"/>
      <c r="AA50" s="811"/>
      <c r="AB50" s="811"/>
      <c r="AC50" s="811"/>
      <c r="AD50" s="811"/>
      <c r="AE50" s="746"/>
      <c r="AF50" s="811"/>
      <c r="AG50" s="807">
        <v>11</v>
      </c>
      <c r="AH50" s="746"/>
      <c r="AI50" s="807">
        <v>50</v>
      </c>
      <c r="AJ50" s="807"/>
      <c r="AK50" s="811"/>
      <c r="AL50" s="746"/>
      <c r="AM50" s="811"/>
      <c r="AN50" s="746"/>
      <c r="AO50" s="746"/>
      <c r="AP50" s="811"/>
      <c r="AQ50" s="19"/>
    </row>
    <row r="51" spans="2:43" x14ac:dyDescent="0.25">
      <c r="B51" s="670" t="s">
        <v>654</v>
      </c>
      <c r="C51" s="791" t="s">
        <v>538</v>
      </c>
      <c r="D51" s="807">
        <v>18</v>
      </c>
      <c r="E51" s="807">
        <v>18</v>
      </c>
      <c r="F51" s="807">
        <v>18</v>
      </c>
      <c r="G51" s="807">
        <v>18</v>
      </c>
      <c r="H51" s="807">
        <v>18</v>
      </c>
      <c r="I51" s="807">
        <v>18</v>
      </c>
      <c r="J51" s="807">
        <v>18</v>
      </c>
      <c r="K51" s="807">
        <v>18</v>
      </c>
      <c r="L51" s="807">
        <v>18</v>
      </c>
      <c r="M51" s="807">
        <v>18</v>
      </c>
      <c r="N51" s="807">
        <v>18</v>
      </c>
      <c r="O51" s="807">
        <v>18</v>
      </c>
      <c r="P51" s="807"/>
      <c r="Q51" s="807">
        <v>18</v>
      </c>
      <c r="R51" s="807">
        <v>18</v>
      </c>
      <c r="S51" s="807">
        <v>0</v>
      </c>
      <c r="T51" s="807">
        <v>0</v>
      </c>
      <c r="U51" s="807">
        <v>0</v>
      </c>
      <c r="V51" s="807">
        <v>0</v>
      </c>
      <c r="W51" s="807">
        <v>7.8157894736842097</v>
      </c>
      <c r="X51" s="807">
        <v>6.1538461538461542</v>
      </c>
      <c r="Y51" s="807">
        <v>6.1538461538461542</v>
      </c>
      <c r="Z51" s="29"/>
      <c r="AA51" s="811"/>
      <c r="AB51" s="811"/>
      <c r="AC51" s="811"/>
      <c r="AD51" s="811"/>
      <c r="AE51" s="746"/>
      <c r="AF51" s="811"/>
      <c r="AG51" s="807">
        <v>0</v>
      </c>
      <c r="AH51" s="746"/>
      <c r="AI51" s="807">
        <v>0</v>
      </c>
      <c r="AJ51" s="807"/>
      <c r="AK51" s="811"/>
      <c r="AL51" s="746"/>
      <c r="AM51" s="811"/>
      <c r="AN51" s="746"/>
      <c r="AO51" s="746"/>
      <c r="AP51" s="811"/>
      <c r="AQ51" s="19"/>
    </row>
    <row r="52" spans="2:43" x14ac:dyDescent="0.25">
      <c r="B52" s="670" t="s">
        <v>655</v>
      </c>
      <c r="C52" s="791" t="s">
        <v>538</v>
      </c>
      <c r="D52" s="807">
        <v>6</v>
      </c>
      <c r="E52" s="807">
        <v>6</v>
      </c>
      <c r="F52" s="807">
        <v>9</v>
      </c>
      <c r="G52" s="807">
        <v>9</v>
      </c>
      <c r="H52" s="807">
        <v>9</v>
      </c>
      <c r="I52" s="807">
        <v>9</v>
      </c>
      <c r="J52" s="807">
        <v>6</v>
      </c>
      <c r="K52" s="807">
        <v>6</v>
      </c>
      <c r="L52" s="807">
        <v>6</v>
      </c>
      <c r="M52" s="807">
        <v>6</v>
      </c>
      <c r="N52" s="807">
        <v>6</v>
      </c>
      <c r="O52" s="807">
        <v>6</v>
      </c>
      <c r="P52" s="807"/>
      <c r="Q52" s="807">
        <v>15</v>
      </c>
      <c r="R52" s="807">
        <v>15</v>
      </c>
      <c r="S52" s="807">
        <v>10</v>
      </c>
      <c r="T52" s="807">
        <v>10</v>
      </c>
      <c r="U52" s="807">
        <v>10</v>
      </c>
      <c r="V52" s="807">
        <v>10</v>
      </c>
      <c r="W52" s="807">
        <v>6.5131578947368425</v>
      </c>
      <c r="X52" s="807">
        <v>5.1282051282051277</v>
      </c>
      <c r="Y52" s="807">
        <v>5.1282051282051277</v>
      </c>
      <c r="Z52" s="29">
        <v>85</v>
      </c>
      <c r="AA52" s="811">
        <v>137</v>
      </c>
      <c r="AB52" s="811">
        <v>54</v>
      </c>
      <c r="AC52" s="811">
        <v>80</v>
      </c>
      <c r="AD52" s="811">
        <v>20</v>
      </c>
      <c r="AE52" s="811">
        <v>50</v>
      </c>
      <c r="AF52" s="811">
        <v>180</v>
      </c>
      <c r="AG52" s="807">
        <v>17</v>
      </c>
      <c r="AH52" s="746"/>
      <c r="AI52" s="807">
        <v>503</v>
      </c>
      <c r="AJ52" s="807">
        <v>245</v>
      </c>
      <c r="AK52" s="811">
        <v>880</v>
      </c>
      <c r="AL52" s="746"/>
      <c r="AM52" s="811">
        <v>1964</v>
      </c>
      <c r="AN52" s="811">
        <v>698</v>
      </c>
      <c r="AO52" s="811">
        <v>1443</v>
      </c>
      <c r="AP52" s="811">
        <v>850</v>
      </c>
      <c r="AQ52" s="19">
        <v>300</v>
      </c>
    </row>
    <row r="53" spans="2:43" x14ac:dyDescent="0.25">
      <c r="B53" s="667" t="s">
        <v>656</v>
      </c>
      <c r="C53" s="791" t="s">
        <v>538</v>
      </c>
      <c r="D53" s="752">
        <v>25</v>
      </c>
      <c r="E53" s="756">
        <v>22</v>
      </c>
      <c r="F53" s="756">
        <v>23</v>
      </c>
      <c r="G53" s="756">
        <v>24</v>
      </c>
      <c r="H53" s="756">
        <v>23</v>
      </c>
      <c r="I53" s="756">
        <v>24</v>
      </c>
      <c r="J53" s="756">
        <v>15</v>
      </c>
      <c r="K53" s="756">
        <v>20</v>
      </c>
      <c r="L53" s="756">
        <v>18</v>
      </c>
      <c r="M53" s="756">
        <v>16</v>
      </c>
      <c r="N53" s="756">
        <v>16</v>
      </c>
      <c r="O53" s="756">
        <v>20</v>
      </c>
      <c r="P53" s="756"/>
      <c r="Q53" s="756">
        <v>20</v>
      </c>
      <c r="R53" s="756">
        <v>13</v>
      </c>
      <c r="S53" s="756">
        <v>18</v>
      </c>
      <c r="T53" s="756">
        <v>17</v>
      </c>
      <c r="U53" s="756">
        <v>17</v>
      </c>
      <c r="V53" s="756">
        <v>15</v>
      </c>
      <c r="W53" s="756">
        <v>9</v>
      </c>
      <c r="X53" s="756">
        <v>11</v>
      </c>
      <c r="Y53" s="756">
        <v>9</v>
      </c>
      <c r="Z53" s="20">
        <v>17</v>
      </c>
      <c r="AA53" s="756">
        <v>15</v>
      </c>
      <c r="AB53" s="756">
        <v>168</v>
      </c>
      <c r="AC53" s="756">
        <v>12</v>
      </c>
      <c r="AD53" s="756"/>
      <c r="AE53" s="811"/>
      <c r="AF53" s="811"/>
      <c r="AG53" s="756">
        <v>0</v>
      </c>
      <c r="AH53" s="811">
        <v>7950</v>
      </c>
      <c r="AI53" s="756">
        <v>537.37</v>
      </c>
      <c r="AJ53" s="756">
        <v>305</v>
      </c>
      <c r="AK53" s="811">
        <v>3059</v>
      </c>
      <c r="AL53" s="746">
        <v>1500</v>
      </c>
      <c r="AM53" s="811">
        <v>35000</v>
      </c>
      <c r="AN53" s="746"/>
      <c r="AO53" s="746"/>
      <c r="AP53" s="811">
        <v>3119</v>
      </c>
      <c r="AQ53" s="19">
        <v>1093</v>
      </c>
    </row>
    <row r="54" spans="2:43" x14ac:dyDescent="0.25">
      <c r="B54" s="667" t="s">
        <v>657</v>
      </c>
      <c r="C54" s="791" t="s">
        <v>538</v>
      </c>
      <c r="D54" s="752"/>
      <c r="E54" s="756"/>
      <c r="F54" s="756"/>
      <c r="G54" s="756"/>
      <c r="H54" s="756"/>
      <c r="I54" s="756"/>
      <c r="J54" s="756"/>
      <c r="K54" s="756"/>
      <c r="L54" s="756"/>
      <c r="M54" s="756"/>
      <c r="N54" s="756"/>
      <c r="O54" s="756"/>
      <c r="P54" s="756"/>
      <c r="Q54" s="756"/>
      <c r="R54" s="756"/>
      <c r="S54" s="756"/>
      <c r="T54" s="756"/>
      <c r="U54" s="756"/>
      <c r="V54" s="756"/>
      <c r="W54" s="756"/>
      <c r="X54" s="756"/>
      <c r="Y54" s="756"/>
      <c r="Z54" s="20"/>
      <c r="AA54" s="756"/>
      <c r="AB54" s="756"/>
      <c r="AC54" s="756"/>
      <c r="AD54" s="756"/>
      <c r="AE54" s="746"/>
      <c r="AF54" s="746"/>
      <c r="AG54" s="756">
        <v>0</v>
      </c>
      <c r="AH54" s="746"/>
      <c r="AI54" s="756">
        <v>1042.3125</v>
      </c>
      <c r="AJ54" s="756">
        <v>1735</v>
      </c>
      <c r="AK54" s="811">
        <v>222</v>
      </c>
      <c r="AL54" s="746"/>
      <c r="AM54" s="811">
        <v>35250</v>
      </c>
      <c r="AN54" s="746"/>
      <c r="AO54" s="746"/>
      <c r="AP54" s="811"/>
      <c r="AQ54" s="19">
        <v>1080</v>
      </c>
    </row>
    <row r="55" spans="2:43" x14ac:dyDescent="0.25">
      <c r="B55" s="667" t="s">
        <v>658</v>
      </c>
      <c r="C55" s="791" t="s">
        <v>538</v>
      </c>
      <c r="D55" s="752"/>
      <c r="E55" s="756"/>
      <c r="F55" s="756"/>
      <c r="G55" s="756"/>
      <c r="H55" s="756"/>
      <c r="I55" s="756"/>
      <c r="J55" s="756"/>
      <c r="K55" s="756"/>
      <c r="L55" s="756"/>
      <c r="M55" s="756"/>
      <c r="N55" s="756"/>
      <c r="O55" s="756"/>
      <c r="P55" s="756"/>
      <c r="Q55" s="756"/>
      <c r="R55" s="756"/>
      <c r="S55" s="756"/>
      <c r="T55" s="756"/>
      <c r="U55" s="756"/>
      <c r="V55" s="756"/>
      <c r="W55" s="756"/>
      <c r="X55" s="756"/>
      <c r="Y55" s="756"/>
      <c r="Z55" s="20"/>
      <c r="AA55" s="756"/>
      <c r="AB55" s="756"/>
      <c r="AC55" s="756"/>
      <c r="AD55" s="756">
        <v>171</v>
      </c>
      <c r="AE55" s="811">
        <v>85</v>
      </c>
      <c r="AF55" s="811">
        <v>228</v>
      </c>
      <c r="AG55" s="756">
        <v>195</v>
      </c>
      <c r="AH55" s="746"/>
      <c r="AI55" s="756">
        <v>1590</v>
      </c>
      <c r="AJ55" s="756"/>
      <c r="AK55" s="811">
        <v>4650</v>
      </c>
      <c r="AL55" s="746">
        <v>1600</v>
      </c>
      <c r="AM55" s="811"/>
      <c r="AN55" s="811">
        <v>5385</v>
      </c>
      <c r="AO55" s="811">
        <v>34262</v>
      </c>
      <c r="AP55" s="811"/>
      <c r="AQ55" s="19"/>
    </row>
    <row r="56" spans="2:43" x14ac:dyDescent="0.25">
      <c r="B56" s="668" t="s">
        <v>659</v>
      </c>
      <c r="C56" s="791"/>
      <c r="D56" s="752"/>
      <c r="E56" s="811"/>
      <c r="F56" s="811"/>
      <c r="G56" s="811"/>
      <c r="H56" s="811"/>
      <c r="I56" s="811"/>
      <c r="J56" s="811"/>
      <c r="K56" s="811"/>
      <c r="L56" s="811"/>
      <c r="M56" s="811"/>
      <c r="N56" s="811"/>
      <c r="O56" s="811"/>
      <c r="P56" s="811"/>
      <c r="Q56" s="811"/>
      <c r="R56" s="811"/>
      <c r="S56" s="811"/>
      <c r="T56" s="811"/>
      <c r="U56" s="811"/>
      <c r="V56" s="811"/>
      <c r="W56" s="811"/>
      <c r="X56" s="811"/>
      <c r="Y56" s="811"/>
      <c r="Z56" s="29"/>
      <c r="AA56" s="811"/>
      <c r="AB56" s="811"/>
      <c r="AC56" s="811"/>
      <c r="AD56" s="811"/>
      <c r="AE56" s="746"/>
      <c r="AF56" s="746"/>
      <c r="AG56" s="811"/>
      <c r="AH56" s="746"/>
      <c r="AI56" s="811"/>
      <c r="AJ56" s="811"/>
      <c r="AK56" s="811"/>
      <c r="AL56" s="746"/>
      <c r="AM56" s="811"/>
      <c r="AN56" s="746"/>
      <c r="AO56" s="746"/>
      <c r="AP56" s="811"/>
      <c r="AQ56" s="19"/>
    </row>
    <row r="57" spans="2:43" x14ac:dyDescent="0.25">
      <c r="B57" s="667" t="s">
        <v>636</v>
      </c>
      <c r="C57" s="791" t="s">
        <v>538</v>
      </c>
      <c r="D57" s="756">
        <v>65.641625000000005</v>
      </c>
      <c r="E57" s="756">
        <v>88.357500000000016</v>
      </c>
      <c r="F57" s="756">
        <v>63.034999999999997</v>
      </c>
      <c r="G57" s="756">
        <v>96.288500000000013</v>
      </c>
      <c r="H57" s="756">
        <v>57.758749999999999</v>
      </c>
      <c r="I57" s="756">
        <v>88.559625000000011</v>
      </c>
      <c r="J57" s="756">
        <v>78.959999999999994</v>
      </c>
      <c r="K57" s="756">
        <v>58.668750000000003</v>
      </c>
      <c r="L57" s="756">
        <v>62.212499999999999</v>
      </c>
      <c r="M57" s="756">
        <v>57.548750000000005</v>
      </c>
      <c r="N57" s="756">
        <v>59.141249999999999</v>
      </c>
      <c r="O57" s="756">
        <v>60.077500000000001</v>
      </c>
      <c r="P57" s="756"/>
      <c r="Q57" s="756">
        <v>35.728000000000002</v>
      </c>
      <c r="R57" s="756">
        <v>43.515999999999998</v>
      </c>
      <c r="S57" s="756">
        <v>85.625</v>
      </c>
      <c r="T57" s="756">
        <v>91.025000000000006</v>
      </c>
      <c r="U57" s="756">
        <v>90.6875</v>
      </c>
      <c r="V57" s="756">
        <v>83.1</v>
      </c>
      <c r="W57" s="756">
        <v>90</v>
      </c>
      <c r="X57" s="756">
        <v>94.5</v>
      </c>
      <c r="Y57" s="756">
        <v>57.548750000000005</v>
      </c>
      <c r="Z57" s="20">
        <v>60.64</v>
      </c>
      <c r="AA57" s="756">
        <v>87.75</v>
      </c>
      <c r="AB57" s="756">
        <v>190</v>
      </c>
      <c r="AC57" s="756">
        <v>152</v>
      </c>
      <c r="AD57" s="756">
        <v>137</v>
      </c>
      <c r="AE57" s="756">
        <v>170</v>
      </c>
      <c r="AF57" s="756">
        <v>53.999999999999993</v>
      </c>
      <c r="AG57" s="756">
        <v>206.99999999999997</v>
      </c>
      <c r="AH57" s="746"/>
      <c r="AI57" s="756">
        <v>968.59999999999991</v>
      </c>
      <c r="AJ57" s="756">
        <v>1100</v>
      </c>
      <c r="AK57" s="756">
        <v>80</v>
      </c>
      <c r="AL57" s="756">
        <v>0</v>
      </c>
      <c r="AM57" s="756">
        <v>16400</v>
      </c>
      <c r="AN57" s="756">
        <v>12830</v>
      </c>
      <c r="AO57" s="756">
        <v>74188</v>
      </c>
      <c r="AP57" s="756">
        <v>840</v>
      </c>
      <c r="AQ57" s="22">
        <v>787.95</v>
      </c>
    </row>
    <row r="58" spans="2:43" x14ac:dyDescent="0.25">
      <c r="B58" s="667" t="s">
        <v>660</v>
      </c>
      <c r="C58" s="791" t="s">
        <v>538</v>
      </c>
      <c r="D58" s="752">
        <v>228.30328948045926</v>
      </c>
      <c r="E58" s="752">
        <v>221.90931912032949</v>
      </c>
      <c r="F58" s="752">
        <v>249.57686372158679</v>
      </c>
      <c r="G58" s="752">
        <v>243.68934645928908</v>
      </c>
      <c r="H58" s="752">
        <v>246.95501637407446</v>
      </c>
      <c r="I58" s="752">
        <v>240.68765928840273</v>
      </c>
      <c r="J58" s="752">
        <v>203.50586400265965</v>
      </c>
      <c r="K58" s="752">
        <v>159.77123379247581</v>
      </c>
      <c r="L58" s="752">
        <v>121.79865330099912</v>
      </c>
      <c r="M58" s="752">
        <v>130.79339942635909</v>
      </c>
      <c r="N58" s="752">
        <v>102.65803721492492</v>
      </c>
      <c r="O58" s="752">
        <v>151.85269741880143</v>
      </c>
      <c r="P58" s="752"/>
      <c r="Q58" s="752">
        <v>169.78654769756236</v>
      </c>
      <c r="R58" s="752">
        <v>80.042390617658555</v>
      </c>
      <c r="S58" s="752">
        <v>43.630928367635711</v>
      </c>
      <c r="T58" s="752">
        <v>39.531955758940057</v>
      </c>
      <c r="U58" s="752">
        <v>39.531955758940057</v>
      </c>
      <c r="V58" s="752">
        <v>33.958791617704662</v>
      </c>
      <c r="W58" s="752">
        <v>55.484914361001323</v>
      </c>
      <c r="X58" s="752">
        <v>81.4892621870883</v>
      </c>
      <c r="Y58" s="752">
        <v>119.67483019115642</v>
      </c>
      <c r="Z58" s="773">
        <v>115.8227536231884</v>
      </c>
      <c r="AA58" s="752">
        <v>128.96855072463768</v>
      </c>
      <c r="AB58" s="752">
        <v>51.049783549783555</v>
      </c>
      <c r="AC58" s="752">
        <v>60.259552042160742</v>
      </c>
      <c r="AD58" s="752">
        <v>164.53491436100131</v>
      </c>
      <c r="AE58" s="752">
        <v>87.491436100131764</v>
      </c>
      <c r="AF58" s="752">
        <v>171.18152067661188</v>
      </c>
      <c r="AG58" s="752">
        <v>194.13078878932205</v>
      </c>
      <c r="AH58" s="746"/>
      <c r="AI58" s="752">
        <v>239.3172971014493</v>
      </c>
      <c r="AJ58" s="752">
        <v>477</v>
      </c>
      <c r="AK58" s="752">
        <v>130</v>
      </c>
      <c r="AL58" s="752">
        <v>0</v>
      </c>
      <c r="AM58" s="752">
        <v>0</v>
      </c>
      <c r="AN58" s="752">
        <v>2210</v>
      </c>
      <c r="AO58" s="752">
        <v>9335</v>
      </c>
      <c r="AP58" s="752">
        <v>291</v>
      </c>
      <c r="AQ58" s="677">
        <v>325</v>
      </c>
    </row>
    <row r="59" spans="2:43" x14ac:dyDescent="0.25">
      <c r="B59" s="667" t="s">
        <v>661</v>
      </c>
      <c r="C59" s="791" t="s">
        <v>538</v>
      </c>
      <c r="D59" s="752">
        <v>256</v>
      </c>
      <c r="E59" s="752">
        <v>256</v>
      </c>
      <c r="F59" s="752">
        <v>265</v>
      </c>
      <c r="G59" s="752">
        <v>265</v>
      </c>
      <c r="H59" s="752">
        <v>265</v>
      </c>
      <c r="I59" s="752">
        <v>265</v>
      </c>
      <c r="J59" s="752">
        <v>152</v>
      </c>
      <c r="K59" s="752">
        <v>196</v>
      </c>
      <c r="L59" s="752">
        <v>196</v>
      </c>
      <c r="M59" s="752">
        <v>152</v>
      </c>
      <c r="N59" s="752">
        <v>152</v>
      </c>
      <c r="O59" s="752">
        <v>137</v>
      </c>
      <c r="P59" s="752"/>
      <c r="Q59" s="752">
        <v>234</v>
      </c>
      <c r="R59" s="752">
        <v>152</v>
      </c>
      <c r="S59" s="752">
        <v>133</v>
      </c>
      <c r="T59" s="752">
        <v>130</v>
      </c>
      <c r="U59" s="752">
        <v>130</v>
      </c>
      <c r="V59" s="752">
        <v>157</v>
      </c>
      <c r="W59" s="752">
        <v>66</v>
      </c>
      <c r="X59" s="752">
        <v>80</v>
      </c>
      <c r="Y59" s="752">
        <v>74.01709401709401</v>
      </c>
      <c r="Z59" s="773">
        <v>85</v>
      </c>
      <c r="AA59" s="752">
        <v>137</v>
      </c>
      <c r="AB59" s="752">
        <v>54</v>
      </c>
      <c r="AC59" s="752">
        <v>80</v>
      </c>
      <c r="AD59" s="752">
        <v>20</v>
      </c>
      <c r="AE59" s="752">
        <v>50</v>
      </c>
      <c r="AF59" s="752">
        <v>180</v>
      </c>
      <c r="AG59" s="752">
        <v>251</v>
      </c>
      <c r="AH59" s="746"/>
      <c r="AI59" s="752">
        <v>783</v>
      </c>
      <c r="AJ59" s="752">
        <v>245</v>
      </c>
      <c r="AK59" s="752">
        <v>880</v>
      </c>
      <c r="AL59" s="752">
        <v>0</v>
      </c>
      <c r="AM59" s="752">
        <v>1964</v>
      </c>
      <c r="AN59" s="752">
        <v>698</v>
      </c>
      <c r="AO59" s="752">
        <v>1443</v>
      </c>
      <c r="AP59" s="752">
        <v>850</v>
      </c>
      <c r="AQ59" s="677">
        <v>300</v>
      </c>
    </row>
    <row r="60" spans="2:43" x14ac:dyDescent="0.25">
      <c r="B60" s="667" t="s">
        <v>662</v>
      </c>
      <c r="C60" s="791" t="s">
        <v>538</v>
      </c>
      <c r="D60" s="756">
        <v>25</v>
      </c>
      <c r="E60" s="756">
        <v>22</v>
      </c>
      <c r="F60" s="756">
        <v>23</v>
      </c>
      <c r="G60" s="756">
        <v>24</v>
      </c>
      <c r="H60" s="756">
        <v>23</v>
      </c>
      <c r="I60" s="756">
        <v>24</v>
      </c>
      <c r="J60" s="756">
        <v>15</v>
      </c>
      <c r="K60" s="756">
        <v>20</v>
      </c>
      <c r="L60" s="756">
        <v>18</v>
      </c>
      <c r="M60" s="756">
        <v>16</v>
      </c>
      <c r="N60" s="756">
        <v>16</v>
      </c>
      <c r="O60" s="756">
        <v>20</v>
      </c>
      <c r="P60" s="756"/>
      <c r="Q60" s="756">
        <v>20</v>
      </c>
      <c r="R60" s="756">
        <v>13</v>
      </c>
      <c r="S60" s="756">
        <v>18</v>
      </c>
      <c r="T60" s="756">
        <v>17</v>
      </c>
      <c r="U60" s="756">
        <v>17</v>
      </c>
      <c r="V60" s="756">
        <v>15</v>
      </c>
      <c r="W60" s="756">
        <v>9</v>
      </c>
      <c r="X60" s="756">
        <v>11</v>
      </c>
      <c r="Y60" s="756">
        <v>9</v>
      </c>
      <c r="Z60" s="20">
        <v>17</v>
      </c>
      <c r="AA60" s="756">
        <v>15</v>
      </c>
      <c r="AB60" s="756">
        <v>168</v>
      </c>
      <c r="AC60" s="756">
        <v>12</v>
      </c>
      <c r="AD60" s="756">
        <v>0</v>
      </c>
      <c r="AE60" s="756">
        <v>0</v>
      </c>
      <c r="AF60" s="756">
        <v>0</v>
      </c>
      <c r="AG60" s="756">
        <v>0</v>
      </c>
      <c r="AH60" s="756">
        <v>7950</v>
      </c>
      <c r="AI60" s="756">
        <v>537.37</v>
      </c>
      <c r="AJ60" s="756">
        <v>305</v>
      </c>
      <c r="AK60" s="756">
        <v>3059</v>
      </c>
      <c r="AL60" s="756">
        <v>1500</v>
      </c>
      <c r="AM60" s="756">
        <v>35000</v>
      </c>
      <c r="AN60" s="756">
        <v>0</v>
      </c>
      <c r="AO60" s="756">
        <v>0</v>
      </c>
      <c r="AP60" s="756">
        <v>3119</v>
      </c>
      <c r="AQ60" s="22">
        <v>1093</v>
      </c>
    </row>
    <row r="61" spans="2:43" x14ac:dyDescent="0.25">
      <c r="B61" s="667" t="s">
        <v>663</v>
      </c>
      <c r="C61" s="791" t="s">
        <v>538</v>
      </c>
      <c r="D61" s="756"/>
      <c r="E61" s="756"/>
      <c r="F61" s="756"/>
      <c r="G61" s="756"/>
      <c r="H61" s="756"/>
      <c r="I61" s="756"/>
      <c r="J61" s="756"/>
      <c r="K61" s="756"/>
      <c r="L61" s="756"/>
      <c r="M61" s="756"/>
      <c r="N61" s="756"/>
      <c r="O61" s="756"/>
      <c r="P61" s="756"/>
      <c r="Q61" s="756"/>
      <c r="R61" s="756"/>
      <c r="S61" s="756"/>
      <c r="T61" s="756"/>
      <c r="U61" s="756"/>
      <c r="V61" s="756"/>
      <c r="W61" s="756"/>
      <c r="X61" s="756"/>
      <c r="Y61" s="756"/>
      <c r="Z61" s="20"/>
      <c r="AA61" s="756"/>
      <c r="AB61" s="756"/>
      <c r="AC61" s="756"/>
      <c r="AD61" s="756"/>
      <c r="AE61" s="756"/>
      <c r="AF61" s="756"/>
      <c r="AG61" s="756">
        <v>0</v>
      </c>
      <c r="AH61" s="756"/>
      <c r="AI61" s="756">
        <v>1042.3125</v>
      </c>
      <c r="AJ61" s="756">
        <v>1735</v>
      </c>
      <c r="AK61" s="756">
        <v>222</v>
      </c>
      <c r="AL61" s="756">
        <v>0</v>
      </c>
      <c r="AM61" s="756">
        <v>35250</v>
      </c>
      <c r="AN61" s="756">
        <v>0</v>
      </c>
      <c r="AO61" s="756">
        <v>0</v>
      </c>
      <c r="AP61" s="811"/>
      <c r="AQ61" s="22">
        <v>1080</v>
      </c>
    </row>
    <row r="62" spans="2:43" x14ac:dyDescent="0.25">
      <c r="B62" s="667" t="s">
        <v>664</v>
      </c>
      <c r="C62" s="791" t="s">
        <v>538</v>
      </c>
      <c r="D62" s="756">
        <v>0</v>
      </c>
      <c r="E62" s="756">
        <v>0</v>
      </c>
      <c r="F62" s="756">
        <v>0</v>
      </c>
      <c r="G62" s="756">
        <v>0</v>
      </c>
      <c r="H62" s="756">
        <v>0</v>
      </c>
      <c r="I62" s="756">
        <v>0</v>
      </c>
      <c r="J62" s="756">
        <v>0</v>
      </c>
      <c r="K62" s="756">
        <v>0</v>
      </c>
      <c r="L62" s="756">
        <v>0</v>
      </c>
      <c r="M62" s="756">
        <v>0</v>
      </c>
      <c r="N62" s="756">
        <v>0</v>
      </c>
      <c r="O62" s="756">
        <v>0</v>
      </c>
      <c r="P62" s="756"/>
      <c r="Q62" s="756">
        <v>0</v>
      </c>
      <c r="R62" s="756">
        <v>0</v>
      </c>
      <c r="S62" s="756">
        <v>0</v>
      </c>
      <c r="T62" s="756">
        <v>0</v>
      </c>
      <c r="U62" s="756">
        <v>0</v>
      </c>
      <c r="V62" s="756">
        <v>0</v>
      </c>
      <c r="W62" s="756">
        <v>0</v>
      </c>
      <c r="X62" s="756">
        <v>0</v>
      </c>
      <c r="Y62" s="756">
        <v>0</v>
      </c>
      <c r="Z62" s="20">
        <v>0</v>
      </c>
      <c r="AA62" s="756">
        <v>0</v>
      </c>
      <c r="AB62" s="756">
        <v>0</v>
      </c>
      <c r="AC62" s="756">
        <v>0</v>
      </c>
      <c r="AD62" s="756">
        <v>171</v>
      </c>
      <c r="AE62" s="756">
        <v>85</v>
      </c>
      <c r="AF62" s="756">
        <v>228</v>
      </c>
      <c r="AG62" s="756">
        <v>195</v>
      </c>
      <c r="AH62" s="746"/>
      <c r="AI62" s="756">
        <v>1590</v>
      </c>
      <c r="AJ62" s="756">
        <v>0</v>
      </c>
      <c r="AK62" s="756">
        <v>4650</v>
      </c>
      <c r="AL62" s="756">
        <v>1600</v>
      </c>
      <c r="AM62" s="756">
        <v>0</v>
      </c>
      <c r="AN62" s="756">
        <v>5385</v>
      </c>
      <c r="AO62" s="756">
        <v>34262</v>
      </c>
      <c r="AP62" s="811"/>
      <c r="AQ62" s="19"/>
    </row>
    <row r="63" spans="2:43" x14ac:dyDescent="0.25">
      <c r="B63" s="675" t="s">
        <v>665</v>
      </c>
      <c r="C63" s="791" t="s">
        <v>538</v>
      </c>
      <c r="D63" s="439">
        <v>574.94491448045926</v>
      </c>
      <c r="E63" s="439">
        <v>588.2668191203295</v>
      </c>
      <c r="F63" s="439">
        <v>600.61186372158681</v>
      </c>
      <c r="G63" s="439">
        <v>628.97784645928914</v>
      </c>
      <c r="H63" s="439">
        <v>592.71376637407445</v>
      </c>
      <c r="I63" s="439">
        <v>618.24728428840274</v>
      </c>
      <c r="J63" s="439">
        <v>449.46586400265966</v>
      </c>
      <c r="K63" s="439">
        <v>434.4399837924758</v>
      </c>
      <c r="L63" s="439">
        <v>398.01115330099913</v>
      </c>
      <c r="M63" s="439">
        <v>356.34214942635913</v>
      </c>
      <c r="N63" s="439">
        <v>329.7992872149249</v>
      </c>
      <c r="O63" s="439">
        <v>368.93019741880141</v>
      </c>
      <c r="P63" s="439"/>
      <c r="Q63" s="439">
        <v>459.51454769756236</v>
      </c>
      <c r="R63" s="439">
        <v>288.55839061765857</v>
      </c>
      <c r="S63" s="439">
        <v>280.2559283676357</v>
      </c>
      <c r="T63" s="439">
        <v>277.55695575894003</v>
      </c>
      <c r="U63" s="439">
        <v>277.21945575894006</v>
      </c>
      <c r="V63" s="439">
        <v>289.05879161770463</v>
      </c>
      <c r="W63" s="439">
        <v>220.48491436100133</v>
      </c>
      <c r="X63" s="439">
        <v>266.98926218708829</v>
      </c>
      <c r="Y63" s="439">
        <v>260.24067420825043</v>
      </c>
      <c r="Z63" s="77">
        <v>278.46275362318841</v>
      </c>
      <c r="AA63" s="439">
        <v>368.71855072463768</v>
      </c>
      <c r="AB63" s="439">
        <v>463.04978354978357</v>
      </c>
      <c r="AC63" s="439">
        <v>304.25955204216075</v>
      </c>
      <c r="AD63" s="439">
        <v>492.53491436100131</v>
      </c>
      <c r="AE63" s="439">
        <v>392.49143610013175</v>
      </c>
      <c r="AF63" s="439">
        <v>633.18152067661185</v>
      </c>
      <c r="AG63" s="439">
        <v>847.13078878932197</v>
      </c>
      <c r="AH63" s="439">
        <v>7950</v>
      </c>
      <c r="AI63" s="439">
        <v>5160.5997971014494</v>
      </c>
      <c r="AJ63" s="439">
        <v>3862</v>
      </c>
      <c r="AK63" s="439">
        <v>9021</v>
      </c>
      <c r="AL63" s="439">
        <v>3100</v>
      </c>
      <c r="AM63" s="439">
        <v>88614</v>
      </c>
      <c r="AN63" s="439">
        <v>21123</v>
      </c>
      <c r="AO63" s="439">
        <v>119228</v>
      </c>
      <c r="AP63" s="439">
        <v>5100</v>
      </c>
      <c r="AQ63" s="78">
        <v>3585.95</v>
      </c>
    </row>
    <row r="64" spans="2:43" x14ac:dyDescent="0.25">
      <c r="B64" s="675" t="s">
        <v>666</v>
      </c>
      <c r="C64" s="791" t="s">
        <v>538</v>
      </c>
      <c r="D64" s="439">
        <v>872.31973060313373</v>
      </c>
      <c r="E64" s="439">
        <v>739.17600226718719</v>
      </c>
      <c r="F64" s="439">
        <v>855.2433536259357</v>
      </c>
      <c r="G64" s="439">
        <v>706.24882600291608</v>
      </c>
      <c r="H64" s="439">
        <v>854.29821481940292</v>
      </c>
      <c r="I64" s="439">
        <v>708.96660030279975</v>
      </c>
      <c r="J64" s="439">
        <v>711.17360759021471</v>
      </c>
      <c r="K64" s="439">
        <v>700.96031757456615</v>
      </c>
      <c r="L64" s="439">
        <v>810.16895307672246</v>
      </c>
      <c r="M64" s="439">
        <v>613.79199471547327</v>
      </c>
      <c r="N64" s="439">
        <v>769.30352713738796</v>
      </c>
      <c r="O64" s="439">
        <v>546.72660107878403</v>
      </c>
      <c r="P64" s="439"/>
      <c r="Q64" s="439">
        <v>741.65109138717662</v>
      </c>
      <c r="R64" s="439">
        <v>492.19927478742193</v>
      </c>
      <c r="S64" s="439">
        <v>458.47682163236431</v>
      </c>
      <c r="T64" s="439">
        <v>401.65884424105991</v>
      </c>
      <c r="U64" s="439">
        <v>391.15779424105995</v>
      </c>
      <c r="V64" s="439">
        <v>403.45787504896191</v>
      </c>
      <c r="W64" s="439">
        <v>479.5150856389987</v>
      </c>
      <c r="X64" s="439">
        <v>633.01073781291166</v>
      </c>
      <c r="Y64" s="439">
        <v>358.2730411052155</v>
      </c>
      <c r="Z64" s="77">
        <v>545.34924637681161</v>
      </c>
      <c r="AA64" s="439">
        <v>682.59344927536222</v>
      </c>
      <c r="AB64" s="439">
        <v>774.45021645021643</v>
      </c>
      <c r="AC64" s="439">
        <v>475.74044795783925</v>
      </c>
      <c r="AD64" s="439">
        <v>594.96508563899874</v>
      </c>
      <c r="AE64" s="439">
        <v>767.50856389986825</v>
      </c>
      <c r="AF64" s="439">
        <v>796.81847932338815</v>
      </c>
      <c r="AG64" s="439">
        <v>768.08357778885488</v>
      </c>
      <c r="AH64" s="439">
        <v>4349.9999999999982</v>
      </c>
      <c r="AI64" s="439">
        <v>2714.6502028985515</v>
      </c>
      <c r="AJ64" s="439">
        <v>1058</v>
      </c>
      <c r="AK64" s="439">
        <v>10979</v>
      </c>
      <c r="AL64" s="439">
        <v>15650</v>
      </c>
      <c r="AM64" s="439">
        <v>16386</v>
      </c>
      <c r="AN64" s="439">
        <v>51877</v>
      </c>
      <c r="AO64" s="439">
        <v>174700</v>
      </c>
      <c r="AP64" s="439">
        <v>8550</v>
      </c>
      <c r="AQ64" s="78">
        <v>3539.05</v>
      </c>
    </row>
    <row r="65" spans="2:45" ht="11" thickBot="1" x14ac:dyDescent="0.3">
      <c r="B65" s="678" t="s">
        <v>667</v>
      </c>
      <c r="C65" s="794"/>
      <c r="D65" s="810" t="s">
        <v>668</v>
      </c>
      <c r="E65" s="813" t="s">
        <v>668</v>
      </c>
      <c r="F65" s="813" t="s">
        <v>668</v>
      </c>
      <c r="G65" s="813" t="s">
        <v>668</v>
      </c>
      <c r="H65" s="813" t="s">
        <v>668</v>
      </c>
      <c r="I65" s="813" t="s">
        <v>668</v>
      </c>
      <c r="J65" s="813" t="s">
        <v>669</v>
      </c>
      <c r="K65" s="813" t="s">
        <v>668</v>
      </c>
      <c r="L65" s="813" t="s">
        <v>668</v>
      </c>
      <c r="M65" s="813" t="s">
        <v>669</v>
      </c>
      <c r="N65" s="813" t="s">
        <v>669</v>
      </c>
      <c r="O65" s="813" t="s">
        <v>668</v>
      </c>
      <c r="P65" s="813" t="s">
        <v>669</v>
      </c>
      <c r="Q65" s="813" t="s">
        <v>668</v>
      </c>
      <c r="R65" s="813" t="s">
        <v>669</v>
      </c>
      <c r="S65" s="813" t="s">
        <v>668</v>
      </c>
      <c r="T65" s="813" t="s">
        <v>669</v>
      </c>
      <c r="U65" s="813" t="s">
        <v>669</v>
      </c>
      <c r="V65" s="813" t="s">
        <v>669</v>
      </c>
      <c r="W65" s="813" t="s">
        <v>669</v>
      </c>
      <c r="X65" s="813" t="s">
        <v>668</v>
      </c>
      <c r="Y65" s="813" t="s">
        <v>669</v>
      </c>
      <c r="Z65" s="831" t="s">
        <v>669</v>
      </c>
      <c r="AA65" s="813" t="s">
        <v>669</v>
      </c>
      <c r="AB65" s="813" t="s">
        <v>669</v>
      </c>
      <c r="AC65" s="813" t="s">
        <v>669</v>
      </c>
      <c r="AD65" s="813" t="s">
        <v>669</v>
      </c>
      <c r="AE65" s="813" t="s">
        <v>669</v>
      </c>
      <c r="AF65" s="813" t="s">
        <v>669</v>
      </c>
      <c r="AG65" s="813" t="s">
        <v>668</v>
      </c>
      <c r="AH65" s="813" t="s">
        <v>668</v>
      </c>
      <c r="AI65" s="813" t="s">
        <v>668</v>
      </c>
      <c r="AJ65" s="813" t="s">
        <v>668</v>
      </c>
      <c r="AK65" s="813" t="s">
        <v>668</v>
      </c>
      <c r="AL65" s="813" t="s">
        <v>668</v>
      </c>
      <c r="AM65" s="813" t="s">
        <v>668</v>
      </c>
      <c r="AN65" s="813" t="s">
        <v>668</v>
      </c>
      <c r="AO65" s="813" t="s">
        <v>668</v>
      </c>
      <c r="AP65" s="813" t="s">
        <v>668</v>
      </c>
      <c r="AQ65" s="679" t="s">
        <v>668</v>
      </c>
    </row>
    <row r="66" spans="2:45" s="238" customFormat="1" x14ac:dyDescent="0.25">
      <c r="Z66" s="837"/>
      <c r="AA66" s="837"/>
      <c r="AB66" s="837"/>
      <c r="AC66" s="837"/>
      <c r="AD66" s="837"/>
      <c r="AE66" s="837"/>
      <c r="AF66" s="837"/>
      <c r="AG66" s="837"/>
      <c r="AH66" s="837"/>
      <c r="AI66" s="837"/>
      <c r="AJ66" s="837"/>
      <c r="AK66" s="837"/>
      <c r="AL66" s="837"/>
      <c r="AM66" s="837"/>
      <c r="AN66" s="837"/>
      <c r="AO66" s="837"/>
      <c r="AP66" s="837"/>
    </row>
    <row r="67" spans="2:45" s="238" customFormat="1" ht="11" thickBot="1" x14ac:dyDescent="0.3"/>
    <row r="68" spans="2:45" ht="32" thickBot="1" x14ac:dyDescent="0.3">
      <c r="B68" s="778" t="s">
        <v>680</v>
      </c>
      <c r="C68" s="779"/>
      <c r="D68" s="780" t="s">
        <v>541</v>
      </c>
      <c r="E68" s="781"/>
      <c r="F68" s="781"/>
      <c r="G68" s="781"/>
      <c r="H68" s="781"/>
      <c r="I68" s="781"/>
      <c r="J68" s="780" t="s">
        <v>551</v>
      </c>
      <c r="K68" s="780" t="s">
        <v>552</v>
      </c>
      <c r="L68" s="782"/>
      <c r="M68" s="780" t="s">
        <v>555</v>
      </c>
      <c r="N68" s="782"/>
      <c r="O68" s="783" t="s">
        <v>559</v>
      </c>
      <c r="P68" s="784" t="s">
        <v>561</v>
      </c>
      <c r="Q68" s="782"/>
      <c r="R68" s="782"/>
      <c r="S68" s="780" t="s">
        <v>563</v>
      </c>
      <c r="T68" s="780" t="s">
        <v>566</v>
      </c>
      <c r="U68" s="780" t="s">
        <v>567</v>
      </c>
      <c r="V68" s="784" t="s">
        <v>568</v>
      </c>
      <c r="W68" s="985"/>
      <c r="X68" s="986"/>
      <c r="Y68" s="986"/>
      <c r="Z68" s="986"/>
      <c r="AA68" s="986"/>
      <c r="AB68" s="986"/>
      <c r="AC68" s="986"/>
      <c r="AD68" s="986"/>
      <c r="AE68" s="986"/>
      <c r="AF68" s="986"/>
      <c r="AG68" s="986"/>
      <c r="AH68" s="986"/>
      <c r="AI68" s="780" t="s">
        <v>681</v>
      </c>
      <c r="AJ68" s="987"/>
      <c r="AK68" s="987"/>
      <c r="AL68" s="987"/>
      <c r="AM68" s="987"/>
      <c r="AN68" s="987"/>
      <c r="AO68" s="987"/>
      <c r="AP68" s="987"/>
      <c r="AQ68" s="987"/>
      <c r="AR68" s="988" t="s">
        <v>682</v>
      </c>
      <c r="AS68" s="1016" t="s">
        <v>683</v>
      </c>
    </row>
    <row r="69" spans="2:45" x14ac:dyDescent="0.25">
      <c r="B69" s="680" t="s">
        <v>684</v>
      </c>
      <c r="C69" s="661" t="s">
        <v>538</v>
      </c>
      <c r="D69" s="715">
        <f>D104</f>
        <v>1411.1940000000002</v>
      </c>
      <c r="E69" s="681"/>
      <c r="F69" s="681"/>
      <c r="G69" s="681"/>
      <c r="H69" s="681"/>
      <c r="I69" s="681"/>
      <c r="J69" s="715">
        <f t="shared" ref="J69:V69" si="0">J104</f>
        <v>832.12625000000003</v>
      </c>
      <c r="K69" s="715">
        <f t="shared" si="0"/>
        <v>825.53700000000003</v>
      </c>
      <c r="L69" s="681"/>
      <c r="M69" s="715">
        <f t="shared" si="0"/>
        <v>825.6880000000001</v>
      </c>
      <c r="N69" s="681"/>
      <c r="O69" s="680">
        <f t="shared" si="0"/>
        <v>922.76220000000012</v>
      </c>
      <c r="P69" s="682">
        <f t="shared" si="0"/>
        <v>939.90000000000009</v>
      </c>
      <c r="Q69" s="681"/>
      <c r="R69" s="681"/>
      <c r="S69" s="715">
        <f t="shared" si="0"/>
        <v>923.06000000000017</v>
      </c>
      <c r="T69" s="715">
        <f t="shared" si="0"/>
        <v>273.82</v>
      </c>
      <c r="U69" s="715">
        <f t="shared" si="0"/>
        <v>428.70000000000005</v>
      </c>
      <c r="V69" s="682">
        <f t="shared" si="0"/>
        <v>507.599079975</v>
      </c>
      <c r="W69" s="973"/>
      <c r="X69" s="972"/>
      <c r="Y69" s="972"/>
      <c r="Z69" s="972"/>
      <c r="AA69" s="972"/>
      <c r="AB69" s="972"/>
      <c r="AC69" s="972"/>
      <c r="AD69" s="972"/>
      <c r="AE69" s="972"/>
      <c r="AF69" s="972"/>
      <c r="AG69" s="972"/>
      <c r="AH69" s="972"/>
      <c r="AI69" s="715">
        <f>AI104</f>
        <v>4580</v>
      </c>
      <c r="AJ69" s="972"/>
      <c r="AK69" s="972"/>
      <c r="AL69" s="972"/>
      <c r="AM69" s="972"/>
      <c r="AN69" s="972"/>
      <c r="AO69" s="972"/>
      <c r="AP69" s="972"/>
      <c r="AQ69" s="972"/>
      <c r="AR69" s="715">
        <f>AR104</f>
        <v>5440</v>
      </c>
      <c r="AS69" s="1013"/>
    </row>
    <row r="70" spans="2:45" x14ac:dyDescent="0.25">
      <c r="B70" s="680" t="s">
        <v>412</v>
      </c>
      <c r="C70" s="661" t="s">
        <v>538</v>
      </c>
      <c r="D70" s="715">
        <f>D102</f>
        <v>1135.7940000000001</v>
      </c>
      <c r="E70" s="681"/>
      <c r="F70" s="681"/>
      <c r="G70" s="681"/>
      <c r="H70" s="681"/>
      <c r="I70" s="681"/>
      <c r="J70" s="715">
        <f t="shared" ref="J70:T71" si="1">J102</f>
        <v>659.32625000000007</v>
      </c>
      <c r="K70" s="715">
        <f t="shared" si="1"/>
        <v>665.1930000000001</v>
      </c>
      <c r="L70" s="681"/>
      <c r="M70" s="715">
        <f t="shared" si="1"/>
        <v>665.34400000000005</v>
      </c>
      <c r="N70" s="681"/>
      <c r="O70" s="680">
        <f t="shared" si="1"/>
        <v>752.98620000000017</v>
      </c>
      <c r="P70" s="682"/>
      <c r="Q70" s="681"/>
      <c r="R70" s="681"/>
      <c r="S70" s="715">
        <f t="shared" si="1"/>
        <v>695.1400000000001</v>
      </c>
      <c r="T70" s="715">
        <f t="shared" si="1"/>
        <v>174.55600000000004</v>
      </c>
      <c r="U70" s="715"/>
      <c r="V70" s="682"/>
      <c r="W70" s="973"/>
      <c r="X70" s="972"/>
      <c r="Y70" s="972"/>
      <c r="Z70" s="972"/>
      <c r="AA70" s="972"/>
      <c r="AB70" s="972"/>
      <c r="AC70" s="972"/>
      <c r="AD70" s="972"/>
      <c r="AE70" s="972"/>
      <c r="AF70" s="972"/>
      <c r="AG70" s="972"/>
      <c r="AH70" s="972"/>
      <c r="AI70" s="715">
        <f>AI102</f>
        <v>2924.0000000000009</v>
      </c>
      <c r="AJ70" s="972"/>
      <c r="AK70" s="972"/>
      <c r="AL70" s="972"/>
      <c r="AM70" s="972"/>
      <c r="AN70" s="972"/>
      <c r="AO70" s="972"/>
      <c r="AP70" s="972"/>
      <c r="AQ70" s="972"/>
      <c r="AR70" s="715">
        <f>AR102</f>
        <v>3100</v>
      </c>
      <c r="AS70" s="1012"/>
    </row>
    <row r="71" spans="2:45" x14ac:dyDescent="0.25">
      <c r="B71" s="680" t="s">
        <v>414</v>
      </c>
      <c r="C71" s="661" t="s">
        <v>538</v>
      </c>
      <c r="D71" s="715">
        <f>D103</f>
        <v>1686.5939999999998</v>
      </c>
      <c r="E71" s="681"/>
      <c r="F71" s="681"/>
      <c r="G71" s="681"/>
      <c r="H71" s="681"/>
      <c r="I71" s="681"/>
      <c r="J71" s="715">
        <f t="shared" si="1"/>
        <v>1004.9262499999998</v>
      </c>
      <c r="K71" s="715">
        <f t="shared" si="1"/>
        <v>985.88100000000009</v>
      </c>
      <c r="L71" s="681"/>
      <c r="M71" s="715">
        <f t="shared" si="1"/>
        <v>986.03200000000015</v>
      </c>
      <c r="N71" s="681"/>
      <c r="O71" s="680">
        <f t="shared" si="1"/>
        <v>1092.5382</v>
      </c>
      <c r="P71" s="682"/>
      <c r="Q71" s="681"/>
      <c r="R71" s="681"/>
      <c r="S71" s="715">
        <f t="shared" si="1"/>
        <v>1150.9800000000002</v>
      </c>
      <c r="T71" s="715">
        <f t="shared" si="1"/>
        <v>373.08399999999995</v>
      </c>
      <c r="U71" s="715"/>
      <c r="V71" s="682"/>
      <c r="W71" s="973"/>
      <c r="X71" s="972"/>
      <c r="Y71" s="972"/>
      <c r="Z71" s="972"/>
      <c r="AA71" s="972"/>
      <c r="AB71" s="972"/>
      <c r="AC71" s="972"/>
      <c r="AD71" s="972"/>
      <c r="AE71" s="972"/>
      <c r="AF71" s="972"/>
      <c r="AG71" s="972"/>
      <c r="AH71" s="972"/>
      <c r="AI71" s="715">
        <f>AI103</f>
        <v>6236</v>
      </c>
      <c r="AJ71" s="972"/>
      <c r="AK71" s="972"/>
      <c r="AL71" s="972"/>
      <c r="AM71" s="972"/>
      <c r="AN71" s="972"/>
      <c r="AO71" s="972"/>
      <c r="AP71" s="972"/>
      <c r="AQ71" s="972"/>
      <c r="AR71" s="715">
        <f>AR103</f>
        <v>7780</v>
      </c>
      <c r="AS71" s="1014"/>
    </row>
    <row r="72" spans="2:45" x14ac:dyDescent="0.25">
      <c r="B72" s="680" t="s">
        <v>216</v>
      </c>
      <c r="C72" s="661" t="s">
        <v>538</v>
      </c>
      <c r="D72" s="715">
        <f>D106</f>
        <v>4.2624383999999997</v>
      </c>
      <c r="E72" s="681"/>
      <c r="F72" s="681"/>
      <c r="G72" s="681"/>
      <c r="H72" s="681"/>
      <c r="I72" s="681"/>
      <c r="J72" s="715">
        <f t="shared" ref="J72:V72" si="2">J106</f>
        <v>4.5504750000000005</v>
      </c>
      <c r="K72" s="715">
        <f t="shared" si="2"/>
        <v>4.3608311999999998</v>
      </c>
      <c r="L72" s="681"/>
      <c r="M72" s="715">
        <f t="shared" si="2"/>
        <v>3.2706399999999998</v>
      </c>
      <c r="N72" s="681"/>
      <c r="O72" s="680">
        <f t="shared" si="2"/>
        <v>3.0223559999999998</v>
      </c>
      <c r="P72" s="682">
        <f t="shared" si="2"/>
        <v>3.72</v>
      </c>
      <c r="Q72" s="681"/>
      <c r="R72" s="681"/>
      <c r="S72" s="715">
        <f t="shared" si="2"/>
        <v>5.7166560000000004</v>
      </c>
      <c r="T72" s="715">
        <f t="shared" si="2"/>
        <v>5.8739999999999997</v>
      </c>
      <c r="U72" s="715">
        <f t="shared" si="2"/>
        <v>4.45</v>
      </c>
      <c r="V72" s="682">
        <f t="shared" si="2"/>
        <v>5.2480184005000003</v>
      </c>
      <c r="W72" s="973"/>
      <c r="X72" s="972"/>
      <c r="Y72" s="972"/>
      <c r="Z72" s="972"/>
      <c r="AA72" s="972"/>
      <c r="AB72" s="972"/>
      <c r="AC72" s="972"/>
      <c r="AD72" s="972"/>
      <c r="AE72" s="972"/>
      <c r="AF72" s="972"/>
      <c r="AG72" s="972"/>
      <c r="AH72" s="972"/>
      <c r="AI72" s="715">
        <f>AI106</f>
        <v>74</v>
      </c>
      <c r="AJ72" s="972"/>
      <c r="AK72" s="972"/>
      <c r="AL72" s="972"/>
      <c r="AM72" s="972"/>
      <c r="AN72" s="972"/>
      <c r="AO72" s="972"/>
      <c r="AP72" s="972"/>
      <c r="AQ72" s="972"/>
      <c r="AR72" s="715">
        <f>AR106</f>
        <v>125.2</v>
      </c>
      <c r="AS72" s="1014"/>
    </row>
    <row r="73" spans="2:45" x14ac:dyDescent="0.25">
      <c r="B73" s="683"/>
      <c r="C73" s="684"/>
      <c r="D73" s="716"/>
      <c r="E73" s="685"/>
      <c r="F73" s="685"/>
      <c r="G73" s="685"/>
      <c r="H73" s="685"/>
      <c r="I73" s="1"/>
      <c r="J73" s="758"/>
      <c r="K73" s="758"/>
      <c r="L73" s="685"/>
      <c r="M73" s="758"/>
      <c r="N73" s="685"/>
      <c r="O73" s="5"/>
      <c r="P73" s="6"/>
      <c r="Q73" s="685"/>
      <c r="R73" s="685"/>
      <c r="S73" s="758"/>
      <c r="T73" s="758"/>
      <c r="U73" s="758"/>
      <c r="V73" s="6"/>
      <c r="W73" s="683"/>
      <c r="AA73" s="45"/>
      <c r="AB73" s="45"/>
      <c r="AC73" s="45"/>
      <c r="AD73" s="45"/>
      <c r="AE73" s="45"/>
      <c r="AF73" s="45"/>
      <c r="AG73" s="45"/>
      <c r="AH73" s="45"/>
      <c r="AI73" s="758"/>
      <c r="AJ73" s="45"/>
      <c r="AK73" s="45"/>
      <c r="AL73" s="45"/>
      <c r="AM73" s="45"/>
      <c r="AN73" s="45"/>
      <c r="AO73" s="45"/>
      <c r="AP73" s="45"/>
      <c r="AR73" s="758"/>
      <c r="AS73" s="746"/>
    </row>
    <row r="74" spans="2:45" x14ac:dyDescent="0.25">
      <c r="B74" s="665" t="s">
        <v>981</v>
      </c>
      <c r="C74" s="686" t="s">
        <v>495</v>
      </c>
      <c r="D74" s="744">
        <f>D5*(1+D75)</f>
        <v>270</v>
      </c>
      <c r="E74" s="687"/>
      <c r="F74" s="687"/>
      <c r="G74" s="687"/>
      <c r="H74" s="259"/>
      <c r="I74" s="259"/>
      <c r="J74" s="744">
        <f>D74</f>
        <v>270</v>
      </c>
      <c r="K74" s="744">
        <f>K5*(1+K75)</f>
        <v>235.8</v>
      </c>
      <c r="L74" s="687"/>
      <c r="M74" s="744">
        <f>M5*(1+M75)</f>
        <v>235.8</v>
      </c>
      <c r="N74" s="687"/>
      <c r="O74" s="761">
        <f>O5*(1+O75)</f>
        <v>235.8</v>
      </c>
      <c r="P74" s="666">
        <v>273</v>
      </c>
      <c r="Q74" s="687"/>
      <c r="R74" s="687"/>
      <c r="S74" s="744">
        <f>S5*(1+S75)</f>
        <v>325.60000000000002</v>
      </c>
      <c r="T74" s="744">
        <f>T5*(1+T75)</f>
        <v>330.88</v>
      </c>
      <c r="U74" s="744">
        <f>S74</f>
        <v>325.60000000000002</v>
      </c>
      <c r="V74" s="1142">
        <v>385</v>
      </c>
      <c r="W74" s="974"/>
      <c r="AA74" s="45"/>
      <c r="AB74" s="45"/>
      <c r="AC74" s="45"/>
      <c r="AD74" s="45"/>
      <c r="AE74" s="45"/>
      <c r="AF74" s="45"/>
      <c r="AG74" s="45"/>
      <c r="AH74" s="45"/>
      <c r="AI74" s="1020">
        <v>360</v>
      </c>
      <c r="AJ74" s="45"/>
      <c r="AK74" s="45"/>
      <c r="AL74" s="45"/>
      <c r="AM74" s="45"/>
      <c r="AN74" s="45"/>
      <c r="AO74" s="45"/>
      <c r="AP74" s="45"/>
      <c r="AR74" s="1020">
        <v>468</v>
      </c>
      <c r="AS74" s="1020">
        <v>989.01634999999976</v>
      </c>
    </row>
    <row r="75" spans="2:45" x14ac:dyDescent="0.25">
      <c r="B75" s="667" t="s">
        <v>982</v>
      </c>
      <c r="C75" s="686" t="s">
        <v>495</v>
      </c>
      <c r="D75" s="745">
        <v>0.8</v>
      </c>
      <c r="E75" s="688"/>
      <c r="F75" s="688"/>
      <c r="G75" s="688"/>
      <c r="H75" s="258"/>
      <c r="I75" s="258"/>
      <c r="J75" s="745">
        <v>0.8</v>
      </c>
      <c r="K75" s="745">
        <v>0.8</v>
      </c>
      <c r="L75" s="688"/>
      <c r="M75" s="745">
        <v>0.8</v>
      </c>
      <c r="N75" s="688"/>
      <c r="O75" s="838">
        <v>0.8</v>
      </c>
      <c r="P75" s="762"/>
      <c r="Q75" s="688"/>
      <c r="R75" s="688"/>
      <c r="S75" s="745">
        <v>0.76</v>
      </c>
      <c r="T75" s="745">
        <v>0.76</v>
      </c>
      <c r="U75" s="745"/>
      <c r="V75" s="689"/>
      <c r="W75" s="975"/>
      <c r="AA75" s="45"/>
      <c r="AB75" s="45"/>
      <c r="AC75" s="45"/>
      <c r="AD75" s="45"/>
      <c r="AE75" s="45"/>
      <c r="AF75" s="45"/>
      <c r="AG75" s="45"/>
      <c r="AH75" s="45"/>
      <c r="AI75" s="745"/>
      <c r="AJ75" s="45"/>
      <c r="AK75" s="45"/>
      <c r="AL75" s="45"/>
      <c r="AM75" s="45"/>
      <c r="AN75" s="45"/>
      <c r="AO75" s="45"/>
      <c r="AP75" s="45"/>
      <c r="AR75" s="989"/>
      <c r="AS75" s="1019"/>
    </row>
    <row r="76" spans="2:45" x14ac:dyDescent="0.25">
      <c r="B76" s="668" t="s">
        <v>688</v>
      </c>
      <c r="C76" s="690"/>
      <c r="D76" s="746"/>
      <c r="E76" s="155"/>
      <c r="F76" s="155"/>
      <c r="G76" s="155"/>
      <c r="H76" s="155"/>
      <c r="I76" s="155"/>
      <c r="J76" s="746"/>
      <c r="K76" s="746"/>
      <c r="L76" s="155"/>
      <c r="M76" s="746"/>
      <c r="N76" s="155"/>
      <c r="O76" s="46"/>
      <c r="P76" s="153"/>
      <c r="Q76" s="155"/>
      <c r="R76" s="155"/>
      <c r="S76" s="746"/>
      <c r="T76" s="746"/>
      <c r="U76" s="746"/>
      <c r="V76" s="153"/>
      <c r="W76" s="46"/>
      <c r="AA76" s="45"/>
      <c r="AB76" s="45"/>
      <c r="AC76" s="45"/>
      <c r="AD76" s="45"/>
      <c r="AE76" s="45"/>
      <c r="AF76" s="45"/>
      <c r="AG76" s="45"/>
      <c r="AH76" s="45"/>
      <c r="AI76" s="811"/>
      <c r="AJ76" s="45"/>
      <c r="AK76" s="45"/>
      <c r="AL76" s="45"/>
      <c r="AM76" s="45"/>
      <c r="AN76" s="45"/>
      <c r="AO76" s="45"/>
      <c r="AP76" s="45"/>
      <c r="AR76" s="989"/>
      <c r="AS76" s="1019"/>
    </row>
    <row r="77" spans="2:45" x14ac:dyDescent="0.25">
      <c r="B77" s="670" t="s">
        <v>412</v>
      </c>
      <c r="C77" s="392" t="s">
        <v>539</v>
      </c>
      <c r="D77" s="747">
        <f>D79*80%</f>
        <v>4.08</v>
      </c>
      <c r="E77" s="692"/>
      <c r="F77" s="692"/>
      <c r="G77" s="692"/>
      <c r="H77" s="691"/>
      <c r="I77" s="691"/>
      <c r="J77" s="747">
        <f>J79*80%</f>
        <v>2.5600000000000005</v>
      </c>
      <c r="K77" s="747">
        <f>K79*80%</f>
        <v>2.72</v>
      </c>
      <c r="L77" s="692"/>
      <c r="M77" s="747">
        <f>M79*80%</f>
        <v>2.72</v>
      </c>
      <c r="N77" s="692"/>
      <c r="O77" s="763">
        <f>O79*80%</f>
        <v>2.8800000000000003</v>
      </c>
      <c r="P77" s="693"/>
      <c r="Q77" s="692"/>
      <c r="R77" s="692"/>
      <c r="S77" s="747">
        <f>S79*80%</f>
        <v>2.8000000000000003</v>
      </c>
      <c r="T77" s="747">
        <f>T79*80%</f>
        <v>1.2000000000000002</v>
      </c>
      <c r="U77" s="747"/>
      <c r="V77" s="693"/>
      <c r="W77" s="976"/>
      <c r="AA77" s="45"/>
      <c r="AB77" s="45"/>
      <c r="AC77" s="45"/>
      <c r="AD77" s="45"/>
      <c r="AE77" s="45"/>
      <c r="AF77" s="45"/>
      <c r="AG77" s="45"/>
      <c r="AH77" s="45"/>
      <c r="AI77" s="747">
        <f>AI79*80%</f>
        <v>18.400000000000002</v>
      </c>
      <c r="AJ77" s="45"/>
      <c r="AK77" s="45"/>
      <c r="AL77" s="45"/>
      <c r="AM77" s="45"/>
      <c r="AN77" s="45"/>
      <c r="AO77" s="45"/>
      <c r="AP77" s="45"/>
      <c r="AR77" s="747">
        <f>AR79*0.8</f>
        <v>20</v>
      </c>
      <c r="AS77" s="1018"/>
    </row>
    <row r="78" spans="2:45" x14ac:dyDescent="0.25">
      <c r="B78" s="670" t="s">
        <v>414</v>
      </c>
      <c r="C78" s="392" t="s">
        <v>539</v>
      </c>
      <c r="D78" s="747">
        <f>D79*120%</f>
        <v>6.1199999999999992</v>
      </c>
      <c r="E78" s="692"/>
      <c r="F78" s="692"/>
      <c r="G78" s="692"/>
      <c r="H78" s="691"/>
      <c r="I78" s="691"/>
      <c r="J78" s="747">
        <f>J79*120%</f>
        <v>3.84</v>
      </c>
      <c r="K78" s="747">
        <f>K79*120%</f>
        <v>4.08</v>
      </c>
      <c r="L78" s="692"/>
      <c r="M78" s="747">
        <f>M79*120%</f>
        <v>4.08</v>
      </c>
      <c r="N78" s="692"/>
      <c r="O78" s="763">
        <f>O79*120%</f>
        <v>4.32</v>
      </c>
      <c r="P78" s="693"/>
      <c r="Q78" s="692"/>
      <c r="R78" s="692"/>
      <c r="S78" s="747">
        <f>S79*120%</f>
        <v>4.2</v>
      </c>
      <c r="T78" s="747">
        <f>T79*120%</f>
        <v>1.7999999999999998</v>
      </c>
      <c r="U78" s="747"/>
      <c r="V78" s="693"/>
      <c r="W78" s="976"/>
      <c r="AA78" s="45"/>
      <c r="AB78" s="45"/>
      <c r="AC78" s="45"/>
      <c r="AD78" s="45"/>
      <c r="AE78" s="45"/>
      <c r="AF78" s="45"/>
      <c r="AG78" s="45"/>
      <c r="AH78" s="45"/>
      <c r="AI78" s="747">
        <f>AI79*120%</f>
        <v>27.599999999999998</v>
      </c>
      <c r="AJ78" s="45"/>
      <c r="AK78" s="45"/>
      <c r="AL78" s="45"/>
      <c r="AM78" s="45"/>
      <c r="AN78" s="45"/>
      <c r="AO78" s="45"/>
      <c r="AP78" s="45"/>
      <c r="AR78" s="747">
        <f>AR79*1.2</f>
        <v>30</v>
      </c>
      <c r="AS78" s="1018"/>
    </row>
    <row r="79" spans="2:45" x14ac:dyDescent="0.25">
      <c r="B79" s="667" t="s">
        <v>620</v>
      </c>
      <c r="C79" s="392" t="s">
        <v>539</v>
      </c>
      <c r="D79" s="748">
        <v>5.0999999999999996</v>
      </c>
      <c r="E79" s="695" t="s">
        <v>690</v>
      </c>
      <c r="F79" s="694"/>
      <c r="G79" s="694"/>
      <c r="H79" s="23"/>
      <c r="I79" s="23"/>
      <c r="J79" s="759">
        <v>3.2</v>
      </c>
      <c r="K79" s="759">
        <v>3.4</v>
      </c>
      <c r="L79" s="695" t="s">
        <v>690</v>
      </c>
      <c r="M79" s="759">
        <v>3.4</v>
      </c>
      <c r="N79" s="695" t="s">
        <v>690</v>
      </c>
      <c r="O79" s="764">
        <v>3.6</v>
      </c>
      <c r="P79" s="696">
        <v>3.3</v>
      </c>
      <c r="Q79" s="695"/>
      <c r="R79" s="694"/>
      <c r="S79" s="759">
        <v>3.5</v>
      </c>
      <c r="T79" s="759">
        <v>1.5</v>
      </c>
      <c r="U79" s="759">
        <v>2</v>
      </c>
      <c r="V79" s="696">
        <v>2</v>
      </c>
      <c r="W79" s="977"/>
      <c r="AA79" s="45"/>
      <c r="AB79" s="45"/>
      <c r="AC79" s="45"/>
      <c r="AD79" s="45"/>
      <c r="AE79" s="45"/>
      <c r="AF79" s="45"/>
      <c r="AG79" s="45"/>
      <c r="AH79" s="45"/>
      <c r="AI79" s="759">
        <v>23</v>
      </c>
      <c r="AJ79" s="45"/>
      <c r="AK79" s="45"/>
      <c r="AL79" s="45"/>
      <c r="AM79" s="45"/>
      <c r="AN79" s="45"/>
      <c r="AO79" s="45"/>
      <c r="AP79" s="45"/>
      <c r="AR79" s="760">
        <v>25</v>
      </c>
      <c r="AS79" s="1017">
        <v>11.9</v>
      </c>
    </row>
    <row r="80" spans="2:45" x14ac:dyDescent="0.25">
      <c r="B80" s="667" t="s">
        <v>625</v>
      </c>
      <c r="C80" s="392" t="s">
        <v>539</v>
      </c>
      <c r="D80" s="749">
        <v>3.01</v>
      </c>
      <c r="E80" s="697"/>
      <c r="F80" s="697"/>
      <c r="G80" s="697"/>
      <c r="H80" s="672"/>
      <c r="I80" s="672"/>
      <c r="J80" s="749">
        <v>3.01</v>
      </c>
      <c r="K80" s="749">
        <v>2.52</v>
      </c>
      <c r="L80" s="697"/>
      <c r="M80" s="749">
        <v>2.5</v>
      </c>
      <c r="N80" s="697"/>
      <c r="O80" s="765">
        <v>3</v>
      </c>
      <c r="P80" s="766">
        <v>3</v>
      </c>
      <c r="Q80" s="697"/>
      <c r="R80" s="697"/>
      <c r="S80" s="759">
        <v>0</v>
      </c>
      <c r="T80" s="759">
        <v>0</v>
      </c>
      <c r="U80" s="759"/>
      <c r="V80" s="696"/>
      <c r="W80" s="978"/>
      <c r="AA80" s="45"/>
      <c r="AB80" s="45"/>
      <c r="AC80" s="45"/>
      <c r="AD80" s="45"/>
      <c r="AE80" s="45"/>
      <c r="AF80" s="45"/>
      <c r="AG80" s="45"/>
      <c r="AH80" s="45"/>
      <c r="AI80" s="749"/>
      <c r="AJ80" s="45"/>
      <c r="AK80" s="45"/>
      <c r="AL80" s="45"/>
      <c r="AM80" s="45"/>
      <c r="AN80" s="45"/>
      <c r="AO80" s="45"/>
      <c r="AP80" s="45"/>
      <c r="AR80" s="989"/>
      <c r="AS80" s="746"/>
    </row>
    <row r="81" spans="2:46" x14ac:dyDescent="0.25">
      <c r="B81" s="667" t="s">
        <v>626</v>
      </c>
      <c r="C81" s="698" t="s">
        <v>495</v>
      </c>
      <c r="D81" s="750">
        <v>65</v>
      </c>
      <c r="E81" s="176"/>
      <c r="F81" s="699"/>
      <c r="G81" s="699"/>
      <c r="H81" s="700"/>
      <c r="I81" s="700"/>
      <c r="J81" s="750">
        <v>65</v>
      </c>
      <c r="K81" s="750">
        <v>75</v>
      </c>
      <c r="L81" s="699"/>
      <c r="M81" s="750">
        <v>75</v>
      </c>
      <c r="N81" s="699"/>
      <c r="O81" s="767">
        <v>75</v>
      </c>
      <c r="P81" s="768">
        <v>75</v>
      </c>
      <c r="Q81" s="699"/>
      <c r="R81" s="699"/>
      <c r="S81" s="776">
        <v>0</v>
      </c>
      <c r="T81" s="776">
        <v>0</v>
      </c>
      <c r="U81" s="776"/>
      <c r="V81" s="701"/>
      <c r="W81" s="979"/>
      <c r="AA81" s="45"/>
      <c r="AB81" s="45"/>
      <c r="AC81" s="45"/>
      <c r="AD81" s="45"/>
      <c r="AE81" s="45"/>
      <c r="AF81" s="45"/>
      <c r="AG81" s="45"/>
      <c r="AH81" s="45"/>
      <c r="AI81" s="776"/>
      <c r="AJ81" s="45"/>
      <c r="AK81" s="45"/>
      <c r="AL81" s="45"/>
      <c r="AM81" s="45"/>
      <c r="AN81" s="45"/>
      <c r="AO81" s="45"/>
      <c r="AP81" s="45"/>
      <c r="AR81" s="756"/>
      <c r="AS81" s="1011"/>
    </row>
    <row r="82" spans="2:46" x14ac:dyDescent="0.25">
      <c r="B82" s="702" t="s">
        <v>628</v>
      </c>
      <c r="C82" s="177" t="s">
        <v>538</v>
      </c>
      <c r="D82" s="751">
        <f>(D74*D77)+(D80*D81)</f>
        <v>1297.25</v>
      </c>
      <c r="E82" s="178"/>
      <c r="F82" s="178"/>
      <c r="G82" s="178"/>
      <c r="H82" s="178"/>
      <c r="I82" s="178"/>
      <c r="J82" s="751">
        <f t="shared" ref="J82:T82" si="3">(J74*J77)+(J80*J81)</f>
        <v>886.85000000000014</v>
      </c>
      <c r="K82" s="751">
        <f t="shared" si="3"/>
        <v>830.37600000000009</v>
      </c>
      <c r="L82" s="178"/>
      <c r="M82" s="751">
        <f t="shared" si="3"/>
        <v>828.87600000000009</v>
      </c>
      <c r="N82" s="178"/>
      <c r="O82" s="769">
        <f t="shared" si="3"/>
        <v>904.10400000000016</v>
      </c>
      <c r="P82" s="703">
        <f t="shared" si="3"/>
        <v>225</v>
      </c>
      <c r="Q82" s="178"/>
      <c r="R82" s="178"/>
      <c r="S82" s="751">
        <f t="shared" si="3"/>
        <v>911.68000000000018</v>
      </c>
      <c r="T82" s="751">
        <f t="shared" si="3"/>
        <v>397.05600000000004</v>
      </c>
      <c r="U82" s="751"/>
      <c r="V82" s="703"/>
      <c r="W82" s="980"/>
      <c r="AA82" s="45"/>
      <c r="AB82" s="45"/>
      <c r="AC82" s="45"/>
      <c r="AD82" s="45"/>
      <c r="AE82" s="45"/>
      <c r="AF82" s="45"/>
      <c r="AG82" s="45"/>
      <c r="AH82" s="45"/>
      <c r="AI82" s="751">
        <f>AI74*AI77</f>
        <v>6624.0000000000009</v>
      </c>
      <c r="AJ82" s="45"/>
      <c r="AK82" s="45"/>
      <c r="AL82" s="45"/>
      <c r="AM82" s="45"/>
      <c r="AN82" s="45"/>
      <c r="AO82" s="45"/>
      <c r="AP82" s="45"/>
      <c r="AR82" s="990">
        <v>9360</v>
      </c>
      <c r="AS82" s="1010"/>
    </row>
    <row r="83" spans="2:46" x14ac:dyDescent="0.25">
      <c r="B83" s="702" t="s">
        <v>629</v>
      </c>
      <c r="C83" s="177" t="s">
        <v>538</v>
      </c>
      <c r="D83" s="751">
        <f>(D74*D78)+(D80*D81)</f>
        <v>1848.0499999999997</v>
      </c>
      <c r="E83" s="178"/>
      <c r="F83" s="178"/>
      <c r="G83" s="178"/>
      <c r="H83" s="178"/>
      <c r="I83" s="178"/>
      <c r="J83" s="751">
        <f t="shared" ref="J83:T83" si="4">(J74*J78)+(J80*J81)</f>
        <v>1232.4499999999998</v>
      </c>
      <c r="K83" s="751">
        <f t="shared" si="4"/>
        <v>1151.0640000000001</v>
      </c>
      <c r="L83" s="178"/>
      <c r="M83" s="751">
        <f t="shared" si="4"/>
        <v>1149.5640000000001</v>
      </c>
      <c r="N83" s="178"/>
      <c r="O83" s="769">
        <f t="shared" si="4"/>
        <v>1243.6559999999999</v>
      </c>
      <c r="P83" s="703">
        <f t="shared" si="4"/>
        <v>225</v>
      </c>
      <c r="Q83" s="178"/>
      <c r="R83" s="178"/>
      <c r="S83" s="751">
        <f t="shared" si="4"/>
        <v>1367.5200000000002</v>
      </c>
      <c r="T83" s="751">
        <f t="shared" si="4"/>
        <v>595.58399999999995</v>
      </c>
      <c r="U83" s="751"/>
      <c r="V83" s="703"/>
      <c r="W83" s="980"/>
      <c r="AA83" s="45"/>
      <c r="AB83" s="45"/>
      <c r="AC83" s="45"/>
      <c r="AD83" s="45"/>
      <c r="AE83" s="45"/>
      <c r="AF83" s="45"/>
      <c r="AG83" s="45"/>
      <c r="AH83" s="45"/>
      <c r="AI83" s="751">
        <f>AI78*AI74</f>
        <v>9936</v>
      </c>
      <c r="AJ83" s="45"/>
      <c r="AK83" s="45"/>
      <c r="AL83" s="45"/>
      <c r="AM83" s="45"/>
      <c r="AN83" s="45"/>
      <c r="AO83" s="45"/>
      <c r="AP83" s="45"/>
      <c r="AR83" s="990">
        <v>14040</v>
      </c>
      <c r="AS83" s="1010"/>
    </row>
    <row r="84" spans="2:46" x14ac:dyDescent="0.25">
      <c r="B84" s="675" t="s">
        <v>630</v>
      </c>
      <c r="C84" s="179" t="s">
        <v>538</v>
      </c>
      <c r="D84" s="439">
        <f>(D74*D79)+(D80*D81)</f>
        <v>1572.65</v>
      </c>
      <c r="E84" s="79"/>
      <c r="F84" s="79"/>
      <c r="G84" s="79"/>
      <c r="H84" s="79"/>
      <c r="I84" s="79"/>
      <c r="J84" s="439">
        <f t="shared" ref="J84:V84" si="5">(J74*J79)+(J80*J81)</f>
        <v>1059.6500000000001</v>
      </c>
      <c r="K84" s="439">
        <f t="shared" si="5"/>
        <v>990.72</v>
      </c>
      <c r="L84" s="79"/>
      <c r="M84" s="439">
        <f t="shared" si="5"/>
        <v>989.22</v>
      </c>
      <c r="N84" s="79"/>
      <c r="O84" s="77">
        <f t="shared" si="5"/>
        <v>1073.8800000000001</v>
      </c>
      <c r="P84" s="78">
        <f t="shared" si="5"/>
        <v>1125.9000000000001</v>
      </c>
      <c r="Q84" s="79"/>
      <c r="R84" s="79"/>
      <c r="S84" s="439">
        <f t="shared" si="5"/>
        <v>1139.6000000000001</v>
      </c>
      <c r="T84" s="439">
        <f t="shared" si="5"/>
        <v>496.32</v>
      </c>
      <c r="U84" s="439">
        <f t="shared" si="5"/>
        <v>651.20000000000005</v>
      </c>
      <c r="V84" s="78">
        <f t="shared" si="5"/>
        <v>770</v>
      </c>
      <c r="W84" s="980"/>
      <c r="AA84" s="45"/>
      <c r="AB84" s="45"/>
      <c r="AC84" s="45"/>
      <c r="AD84" s="45"/>
      <c r="AE84" s="45"/>
      <c r="AF84" s="45"/>
      <c r="AG84" s="45"/>
      <c r="AH84" s="45"/>
      <c r="AI84" s="439">
        <f>AI74*AI79</f>
        <v>8280</v>
      </c>
      <c r="AJ84" s="45"/>
      <c r="AK84" s="45"/>
      <c r="AL84" s="45"/>
      <c r="AM84" s="45"/>
      <c r="AN84" s="45"/>
      <c r="AO84" s="45"/>
      <c r="AP84" s="45"/>
      <c r="AR84" s="991">
        <f>AR79*AR74</f>
        <v>11700</v>
      </c>
      <c r="AS84" s="439">
        <f>AS74*AS79</f>
        <v>11769.294564999998</v>
      </c>
      <c r="AT84" s="1021"/>
    </row>
    <row r="85" spans="2:46" x14ac:dyDescent="0.25">
      <c r="B85" s="668" t="s">
        <v>631</v>
      </c>
      <c r="C85" s="690"/>
      <c r="D85" s="752"/>
      <c r="E85" s="1"/>
      <c r="F85" s="1"/>
      <c r="G85" s="1"/>
      <c r="H85" s="1"/>
      <c r="I85" s="1"/>
      <c r="J85" s="758"/>
      <c r="K85" s="758"/>
      <c r="L85" s="685"/>
      <c r="M85" s="758"/>
      <c r="N85" s="685"/>
      <c r="O85" s="5"/>
      <c r="P85" s="6"/>
      <c r="Q85" s="685"/>
      <c r="R85" s="685"/>
      <c r="S85" s="758"/>
      <c r="T85" s="758"/>
      <c r="U85" s="758"/>
      <c r="V85" s="6"/>
      <c r="W85" s="683"/>
      <c r="AA85" s="45"/>
      <c r="AB85" s="45"/>
      <c r="AC85" s="45"/>
      <c r="AD85" s="45"/>
      <c r="AE85" s="45"/>
      <c r="AF85" s="45"/>
      <c r="AG85" s="45"/>
      <c r="AH85" s="45"/>
      <c r="AI85" s="811"/>
      <c r="AJ85" s="45"/>
      <c r="AK85" s="45"/>
      <c r="AL85" s="45"/>
      <c r="AM85" s="45"/>
      <c r="AN85" s="45"/>
      <c r="AO85" s="45"/>
      <c r="AP85" s="45"/>
      <c r="AR85" s="811"/>
      <c r="AS85" s="746"/>
      <c r="AT85" s="1021"/>
    </row>
    <row r="86" spans="2:46" x14ac:dyDescent="0.25">
      <c r="B86" s="668"/>
      <c r="C86" s="690"/>
      <c r="D86" s="753"/>
      <c r="E86" s="1"/>
      <c r="F86" s="1"/>
      <c r="G86" s="1"/>
      <c r="H86" s="1"/>
      <c r="I86" s="1"/>
      <c r="J86" s="758"/>
      <c r="K86" s="758"/>
      <c r="L86" s="685"/>
      <c r="M86" s="758"/>
      <c r="N86" s="685"/>
      <c r="O86" s="5"/>
      <c r="P86" s="6"/>
      <c r="Q86" s="685"/>
      <c r="R86" s="685"/>
      <c r="S86" s="758"/>
      <c r="T86" s="758"/>
      <c r="U86" s="758"/>
      <c r="V86" s="6"/>
      <c r="W86" s="683"/>
      <c r="AA86" s="45"/>
      <c r="AB86" s="45"/>
      <c r="AC86" s="45"/>
      <c r="AD86" s="45"/>
      <c r="AE86" s="45"/>
      <c r="AF86" s="45"/>
      <c r="AG86" s="45"/>
      <c r="AH86" s="45"/>
      <c r="AI86" s="811"/>
      <c r="AJ86" s="45"/>
      <c r="AK86" s="45"/>
      <c r="AL86" s="45"/>
      <c r="AM86" s="45"/>
      <c r="AN86" s="45"/>
      <c r="AO86" s="45"/>
      <c r="AP86" s="45"/>
      <c r="AR86" s="811"/>
      <c r="AS86" s="776">
        <v>709.75168867187483</v>
      </c>
      <c r="AT86" s="1015" t="s">
        <v>692</v>
      </c>
    </row>
    <row r="87" spans="2:46" x14ac:dyDescent="0.25">
      <c r="B87" s="667" t="s">
        <v>693</v>
      </c>
      <c r="C87" s="698"/>
      <c r="D87" s="753">
        <v>200</v>
      </c>
      <c r="E87" s="704"/>
      <c r="F87" s="704"/>
      <c r="G87" s="704"/>
      <c r="H87" s="704"/>
      <c r="I87" s="704"/>
      <c r="J87" s="753">
        <v>250</v>
      </c>
      <c r="K87" s="753">
        <v>180</v>
      </c>
      <c r="L87" s="704"/>
      <c r="M87" s="753">
        <v>230</v>
      </c>
      <c r="N87" s="704"/>
      <c r="O87" s="770">
        <v>195</v>
      </c>
      <c r="P87" s="705">
        <v>220</v>
      </c>
      <c r="Q87" s="704"/>
      <c r="R87" s="704"/>
      <c r="S87" s="753">
        <v>210</v>
      </c>
      <c r="T87" s="753">
        <v>250</v>
      </c>
      <c r="U87" s="753">
        <v>250</v>
      </c>
      <c r="V87" s="705">
        <v>275</v>
      </c>
      <c r="W87" s="981"/>
      <c r="AA87" s="45"/>
      <c r="AB87" s="45"/>
      <c r="AC87" s="45"/>
      <c r="AD87" s="45"/>
      <c r="AE87" s="45"/>
      <c r="AF87" s="45"/>
      <c r="AG87" s="45"/>
      <c r="AH87" s="45"/>
      <c r="AI87" s="753">
        <v>200</v>
      </c>
      <c r="AJ87" s="45"/>
      <c r="AK87" s="45"/>
      <c r="AL87" s="45"/>
      <c r="AM87" s="45"/>
      <c r="AN87" s="45"/>
      <c r="AO87" s="45"/>
      <c r="AP87" s="45"/>
      <c r="AR87" s="811"/>
      <c r="AS87" s="776">
        <v>1116.5067388671873</v>
      </c>
      <c r="AT87" s="1015" t="s">
        <v>694</v>
      </c>
    </row>
    <row r="88" spans="2:46" x14ac:dyDescent="0.25">
      <c r="B88" s="667" t="s">
        <v>695</v>
      </c>
      <c r="C88" s="698"/>
      <c r="D88" s="752">
        <f>D37*(1+D75)</f>
        <v>756</v>
      </c>
      <c r="E88" s="704"/>
      <c r="F88" s="704"/>
      <c r="G88" s="704"/>
      <c r="H88" s="704"/>
      <c r="I88" s="704"/>
      <c r="J88" s="752">
        <f>J37*(1+J75)</f>
        <v>810</v>
      </c>
      <c r="K88" s="752">
        <f>K37*(1+K75)</f>
        <v>720</v>
      </c>
      <c r="L88" s="704"/>
      <c r="M88" s="752">
        <f>M37*(1+M75)</f>
        <v>774</v>
      </c>
      <c r="N88" s="704"/>
      <c r="O88" s="770">
        <v>600</v>
      </c>
      <c r="P88" s="677">
        <f>O88</f>
        <v>600</v>
      </c>
      <c r="Q88" s="704"/>
      <c r="R88" s="704"/>
      <c r="S88" s="753">
        <v>674</v>
      </c>
      <c r="T88" s="753">
        <v>650</v>
      </c>
      <c r="U88" s="753">
        <v>650</v>
      </c>
      <c r="V88" s="705">
        <v>660</v>
      </c>
      <c r="W88" s="981"/>
      <c r="AA88" s="45"/>
      <c r="AB88" s="45"/>
      <c r="AC88" s="45"/>
      <c r="AD88" s="45"/>
      <c r="AE88" s="45"/>
      <c r="AF88" s="45"/>
      <c r="AG88" s="45"/>
      <c r="AH88" s="45"/>
      <c r="AI88" s="753">
        <v>606</v>
      </c>
      <c r="AJ88" s="45"/>
      <c r="AK88" s="45"/>
      <c r="AL88" s="45"/>
      <c r="AM88" s="45"/>
      <c r="AN88" s="45"/>
      <c r="AO88" s="45"/>
      <c r="AP88" s="45"/>
      <c r="AR88" s="811"/>
      <c r="AS88" s="776">
        <v>1379.2142068359371</v>
      </c>
      <c r="AT88" s="1015" t="s">
        <v>696</v>
      </c>
    </row>
    <row r="89" spans="2:46" x14ac:dyDescent="0.25">
      <c r="B89" s="676" t="s">
        <v>641</v>
      </c>
      <c r="C89" s="706"/>
      <c r="D89" s="754">
        <v>0.4</v>
      </c>
      <c r="E89" s="707"/>
      <c r="F89" s="707"/>
      <c r="G89" s="707"/>
      <c r="H89" s="707"/>
      <c r="I89" s="707"/>
      <c r="J89" s="754">
        <v>0.35</v>
      </c>
      <c r="K89" s="754">
        <v>0.5</v>
      </c>
      <c r="L89" s="707"/>
      <c r="M89" s="754">
        <v>0.5</v>
      </c>
      <c r="N89" s="707"/>
      <c r="O89" s="771">
        <v>0.4</v>
      </c>
      <c r="P89" s="772"/>
      <c r="Q89" s="707"/>
      <c r="R89" s="707"/>
      <c r="S89" s="777">
        <v>0</v>
      </c>
      <c r="T89" s="754">
        <v>0</v>
      </c>
      <c r="U89" s="777"/>
      <c r="V89" s="708"/>
      <c r="W89" s="982"/>
      <c r="AA89" s="45"/>
      <c r="AB89" s="45"/>
      <c r="AC89" s="45"/>
      <c r="AD89" s="45"/>
      <c r="AE89" s="45"/>
      <c r="AF89" s="45"/>
      <c r="AG89" s="45"/>
      <c r="AH89" s="45"/>
      <c r="AI89" s="754">
        <v>0</v>
      </c>
      <c r="AJ89" s="45"/>
      <c r="AK89" s="45"/>
      <c r="AL89" s="45"/>
      <c r="AM89" s="45"/>
      <c r="AN89" s="45"/>
      <c r="AO89" s="45"/>
      <c r="AP89" s="45"/>
      <c r="AR89" s="811"/>
      <c r="AS89" s="776">
        <v>1026.2010467529294</v>
      </c>
      <c r="AT89" s="1015" t="s">
        <v>697</v>
      </c>
    </row>
    <row r="90" spans="2:46" x14ac:dyDescent="0.25">
      <c r="B90" s="667" t="s">
        <v>698</v>
      </c>
      <c r="C90" s="698"/>
      <c r="D90" s="752">
        <f>D74+10</f>
        <v>280</v>
      </c>
      <c r="E90" s="669"/>
      <c r="F90" s="669"/>
      <c r="G90" s="669"/>
      <c r="H90" s="669"/>
      <c r="I90" s="669"/>
      <c r="J90" s="752">
        <f t="shared" ref="J90:V90" si="6">J74+10</f>
        <v>280</v>
      </c>
      <c r="K90" s="752">
        <f t="shared" si="6"/>
        <v>245.8</v>
      </c>
      <c r="L90" s="669"/>
      <c r="M90" s="752">
        <f t="shared" si="6"/>
        <v>245.8</v>
      </c>
      <c r="N90" s="669"/>
      <c r="O90" s="773">
        <f t="shared" si="6"/>
        <v>245.8</v>
      </c>
      <c r="P90" s="677">
        <f t="shared" si="6"/>
        <v>283</v>
      </c>
      <c r="Q90" s="669"/>
      <c r="R90" s="669"/>
      <c r="S90" s="752">
        <f t="shared" si="6"/>
        <v>335.6</v>
      </c>
      <c r="T90" s="752">
        <f t="shared" si="6"/>
        <v>340.88</v>
      </c>
      <c r="U90" s="752">
        <f t="shared" si="6"/>
        <v>335.6</v>
      </c>
      <c r="V90" s="677">
        <f t="shared" si="6"/>
        <v>395</v>
      </c>
      <c r="W90" s="981"/>
      <c r="AA90" s="45"/>
      <c r="AB90" s="45"/>
      <c r="AC90" s="45"/>
      <c r="AD90" s="45"/>
      <c r="AE90" s="45"/>
      <c r="AF90" s="45"/>
      <c r="AG90" s="45"/>
      <c r="AH90" s="45"/>
      <c r="AI90" s="752">
        <v>370</v>
      </c>
      <c r="AJ90" s="45"/>
      <c r="AK90" s="45"/>
      <c r="AL90" s="45"/>
      <c r="AM90" s="45"/>
      <c r="AN90" s="45"/>
      <c r="AO90" s="45"/>
      <c r="AP90" s="45"/>
      <c r="AR90" s="811"/>
      <c r="AS90" s="776">
        <v>1176.9294564999998</v>
      </c>
      <c r="AT90" s="1015" t="s">
        <v>699</v>
      </c>
    </row>
    <row r="91" spans="2:46" x14ac:dyDescent="0.25">
      <c r="B91" s="667" t="s">
        <v>700</v>
      </c>
      <c r="C91" s="698"/>
      <c r="D91" s="752">
        <f>D31/2+D32+D33</f>
        <v>104.2</v>
      </c>
      <c r="E91" s="704"/>
      <c r="F91" s="704"/>
      <c r="G91" s="704"/>
      <c r="H91" s="704"/>
      <c r="I91" s="704"/>
      <c r="J91" s="752">
        <f>J31+J32+J33</f>
        <v>141.69999999999999</v>
      </c>
      <c r="K91" s="752">
        <f>K31/2+K32+K33</f>
        <v>102.9</v>
      </c>
      <c r="L91" s="704"/>
      <c r="M91" s="753">
        <v>37</v>
      </c>
      <c r="N91" s="704"/>
      <c r="O91" s="770">
        <v>99.3</v>
      </c>
      <c r="P91" s="705">
        <v>99.3</v>
      </c>
      <c r="Q91" s="704"/>
      <c r="R91" s="704"/>
      <c r="S91" s="753">
        <v>89.3</v>
      </c>
      <c r="T91" s="753">
        <v>89.3</v>
      </c>
      <c r="U91" s="753"/>
      <c r="V91" s="705"/>
      <c r="W91" s="981"/>
      <c r="AA91" s="45"/>
      <c r="AB91" s="45"/>
      <c r="AC91" s="45"/>
      <c r="AD91" s="45"/>
      <c r="AE91" s="45"/>
      <c r="AF91" s="45"/>
      <c r="AG91" s="45"/>
      <c r="AH91" s="45"/>
      <c r="AI91" s="753">
        <v>0</v>
      </c>
      <c r="AJ91" s="45"/>
      <c r="AK91" s="45"/>
      <c r="AL91" s="45"/>
      <c r="AM91" s="45"/>
      <c r="AN91" s="45"/>
      <c r="AO91" s="45"/>
      <c r="AP91" s="45"/>
      <c r="AR91" s="811"/>
      <c r="AS91" s="776">
        <v>1444.8910738281247</v>
      </c>
      <c r="AT91" s="1015" t="s">
        <v>701</v>
      </c>
    </row>
    <row r="92" spans="2:46" x14ac:dyDescent="0.25">
      <c r="B92" s="668" t="s">
        <v>702</v>
      </c>
      <c r="C92" s="690" t="s">
        <v>538</v>
      </c>
      <c r="D92" s="752">
        <f>((D88*(1-D89))+((D90+D91)*D89))/1000*D87</f>
        <v>121.45599999999999</v>
      </c>
      <c r="E92" s="669"/>
      <c r="F92" s="669"/>
      <c r="G92" s="669"/>
      <c r="H92" s="669"/>
      <c r="I92" s="669"/>
      <c r="J92" s="752">
        <f t="shared" ref="J92:V92" si="7">((J88*(1-J89))+((J90+J91)*J89))/1000*J87</f>
        <v>168.52375000000001</v>
      </c>
      <c r="K92" s="752">
        <f t="shared" si="7"/>
        <v>96.182999999999993</v>
      </c>
      <c r="L92" s="669"/>
      <c r="M92" s="752">
        <f t="shared" si="7"/>
        <v>121.532</v>
      </c>
      <c r="N92" s="669"/>
      <c r="O92" s="773">
        <f t="shared" si="7"/>
        <v>97.117800000000003</v>
      </c>
      <c r="P92" s="677">
        <f t="shared" si="7"/>
        <v>132</v>
      </c>
      <c r="Q92" s="669"/>
      <c r="R92" s="669"/>
      <c r="S92" s="752">
        <f t="shared" si="7"/>
        <v>141.54000000000002</v>
      </c>
      <c r="T92" s="752">
        <f t="shared" si="7"/>
        <v>162.5</v>
      </c>
      <c r="U92" s="752">
        <f t="shared" si="7"/>
        <v>162.5</v>
      </c>
      <c r="V92" s="677">
        <f t="shared" si="7"/>
        <v>181.5</v>
      </c>
      <c r="W92" s="981"/>
      <c r="AA92" s="45"/>
      <c r="AB92" s="45"/>
      <c r="AC92" s="45"/>
      <c r="AD92" s="45"/>
      <c r="AE92" s="45"/>
      <c r="AF92" s="45"/>
      <c r="AG92" s="45"/>
      <c r="AH92" s="45"/>
      <c r="AI92" s="755">
        <v>1600</v>
      </c>
      <c r="AJ92" s="45"/>
      <c r="AK92" s="45"/>
      <c r="AL92" s="45"/>
      <c r="AM92" s="45"/>
      <c r="AN92" s="45"/>
      <c r="AO92" s="45"/>
      <c r="AP92" s="45"/>
      <c r="AR92" s="760">
        <v>1750</v>
      </c>
      <c r="AS92" s="776">
        <v>1555.2723628906247</v>
      </c>
      <c r="AT92" s="1021"/>
    </row>
    <row r="93" spans="2:46" x14ac:dyDescent="0.25">
      <c r="B93" s="668" t="s">
        <v>703</v>
      </c>
      <c r="C93" s="690" t="s">
        <v>538</v>
      </c>
      <c r="D93" s="755">
        <v>20</v>
      </c>
      <c r="E93" s="685"/>
      <c r="F93" s="685"/>
      <c r="G93" s="685"/>
      <c r="H93" s="685"/>
      <c r="I93" s="685"/>
      <c r="J93" s="760">
        <v>39</v>
      </c>
      <c r="K93" s="760">
        <v>39</v>
      </c>
      <c r="L93" s="685"/>
      <c r="M93" s="760">
        <v>16</v>
      </c>
      <c r="N93" s="685"/>
      <c r="O93" s="9">
        <v>19</v>
      </c>
      <c r="P93" s="10">
        <v>19</v>
      </c>
      <c r="Q93" s="685"/>
      <c r="R93" s="685"/>
      <c r="S93" s="760">
        <v>35</v>
      </c>
      <c r="T93" s="760">
        <v>32</v>
      </c>
      <c r="U93" s="760">
        <v>32</v>
      </c>
      <c r="V93" s="10">
        <v>35</v>
      </c>
      <c r="W93" s="683"/>
      <c r="AA93" s="45"/>
      <c r="AB93" s="45"/>
      <c r="AC93" s="45"/>
      <c r="AD93" s="45"/>
      <c r="AE93" s="45"/>
      <c r="AF93" s="45"/>
      <c r="AG93" s="45"/>
      <c r="AH93" s="45"/>
      <c r="AI93" s="760">
        <v>40</v>
      </c>
      <c r="AJ93" s="45"/>
      <c r="AK93" s="45"/>
      <c r="AL93" s="45"/>
      <c r="AM93" s="45"/>
      <c r="AN93" s="45"/>
      <c r="AO93" s="45"/>
      <c r="AP93" s="45"/>
      <c r="AR93" s="760">
        <v>60</v>
      </c>
      <c r="AS93" s="776">
        <v>165.57193359374997</v>
      </c>
    </row>
    <row r="94" spans="2:46" x14ac:dyDescent="0.25">
      <c r="B94" s="668" t="s">
        <v>704</v>
      </c>
      <c r="C94" s="690" t="s">
        <v>538</v>
      </c>
      <c r="D94" s="755">
        <v>0</v>
      </c>
      <c r="E94" s="685"/>
      <c r="F94" s="685"/>
      <c r="G94" s="685"/>
      <c r="H94" s="685"/>
      <c r="I94" s="685"/>
      <c r="J94" s="760">
        <v>0</v>
      </c>
      <c r="K94" s="758"/>
      <c r="L94" s="685"/>
      <c r="M94" s="760">
        <v>2</v>
      </c>
      <c r="N94" s="685"/>
      <c r="O94" s="9">
        <v>5</v>
      </c>
      <c r="P94" s="10">
        <v>5</v>
      </c>
      <c r="Q94" s="685"/>
      <c r="R94" s="685"/>
      <c r="S94" s="760"/>
      <c r="T94" s="760">
        <v>5</v>
      </c>
      <c r="U94" s="760">
        <v>5</v>
      </c>
      <c r="V94" s="10"/>
      <c r="W94" s="683"/>
      <c r="AA94" s="45"/>
      <c r="AB94" s="45"/>
      <c r="AC94" s="45"/>
      <c r="AD94" s="45"/>
      <c r="AE94" s="45"/>
      <c r="AF94" s="45"/>
      <c r="AG94" s="45"/>
      <c r="AH94" s="45"/>
      <c r="AI94" s="760">
        <v>50</v>
      </c>
      <c r="AJ94" s="45"/>
      <c r="AK94" s="45"/>
      <c r="AL94" s="45"/>
      <c r="AM94" s="45"/>
      <c r="AN94" s="45"/>
      <c r="AO94" s="45"/>
      <c r="AP94" s="45"/>
      <c r="AR94" s="760">
        <v>340</v>
      </c>
      <c r="AS94" s="776">
        <v>1103.8128906249997</v>
      </c>
    </row>
    <row r="95" spans="2:46" x14ac:dyDescent="0.25">
      <c r="B95" s="668" t="s">
        <v>705</v>
      </c>
      <c r="C95" s="690" t="s">
        <v>538</v>
      </c>
      <c r="D95" s="755">
        <v>20</v>
      </c>
      <c r="E95" s="704"/>
      <c r="F95" s="704"/>
      <c r="G95" s="704"/>
      <c r="H95" s="704"/>
      <c r="I95" s="704"/>
      <c r="J95" s="755">
        <v>20</v>
      </c>
      <c r="K95" s="755">
        <v>30</v>
      </c>
      <c r="L95" s="704"/>
      <c r="M95" s="755">
        <v>24</v>
      </c>
      <c r="N95" s="704"/>
      <c r="O95" s="774">
        <v>30</v>
      </c>
      <c r="P95" s="709">
        <v>30</v>
      </c>
      <c r="Q95" s="704"/>
      <c r="R95" s="704"/>
      <c r="S95" s="755">
        <v>40</v>
      </c>
      <c r="T95" s="755">
        <v>23</v>
      </c>
      <c r="U95" s="755">
        <v>23</v>
      </c>
      <c r="V95" s="709">
        <v>45.900920024999991</v>
      </c>
      <c r="W95" s="981"/>
      <c r="AA95" s="45"/>
      <c r="AB95" s="45"/>
      <c r="AC95" s="45"/>
      <c r="AD95" s="45"/>
      <c r="AE95" s="45"/>
      <c r="AF95" s="45"/>
      <c r="AG95" s="45"/>
      <c r="AH95" s="45"/>
      <c r="AI95" s="755">
        <v>2010</v>
      </c>
      <c r="AJ95" s="45"/>
      <c r="AK95" s="45"/>
      <c r="AL95" s="45"/>
      <c r="AM95" s="45"/>
      <c r="AN95" s="45"/>
      <c r="AO95" s="45"/>
      <c r="AP95" s="45"/>
      <c r="AR95" s="760">
        <v>4110</v>
      </c>
      <c r="AS95" s="776">
        <v>275.95322265624992</v>
      </c>
    </row>
    <row r="96" spans="2:46" x14ac:dyDescent="0.25">
      <c r="B96" s="668" t="s">
        <v>659</v>
      </c>
      <c r="C96" s="690"/>
      <c r="D96" s="752"/>
      <c r="E96" s="685"/>
      <c r="F96" s="685"/>
      <c r="G96" s="685"/>
      <c r="H96" s="685"/>
      <c r="I96" s="685"/>
      <c r="J96" s="758"/>
      <c r="K96" s="758"/>
      <c r="L96" s="685"/>
      <c r="M96" s="758"/>
      <c r="N96" s="685"/>
      <c r="O96" s="5"/>
      <c r="P96" s="6"/>
      <c r="Q96" s="685"/>
      <c r="R96" s="685"/>
      <c r="S96" s="758"/>
      <c r="T96" s="758"/>
      <c r="U96" s="758"/>
      <c r="V96" s="6"/>
      <c r="W96" s="683"/>
      <c r="AA96" s="45"/>
      <c r="AB96" s="45"/>
      <c r="AC96" s="45"/>
      <c r="AD96" s="45"/>
      <c r="AE96" s="45"/>
      <c r="AF96" s="45"/>
      <c r="AG96" s="45"/>
      <c r="AH96" s="45"/>
      <c r="AI96" s="811"/>
      <c r="AJ96" s="45"/>
      <c r="AK96" s="45"/>
      <c r="AL96" s="45"/>
      <c r="AM96" s="45"/>
      <c r="AN96" s="45"/>
      <c r="AO96" s="45"/>
      <c r="AP96" s="45"/>
      <c r="AR96" s="811"/>
      <c r="AS96" s="746"/>
    </row>
    <row r="97" spans="2:45" x14ac:dyDescent="0.25">
      <c r="B97" s="667" t="s">
        <v>702</v>
      </c>
      <c r="C97" s="690" t="s">
        <v>538</v>
      </c>
      <c r="D97" s="756">
        <f>D92</f>
        <v>121.45599999999999</v>
      </c>
      <c r="E97" s="21"/>
      <c r="F97" s="21"/>
      <c r="G97" s="21"/>
      <c r="H97" s="21"/>
      <c r="I97" s="21"/>
      <c r="J97" s="756">
        <f t="shared" ref="J97:V100" si="8">J92</f>
        <v>168.52375000000001</v>
      </c>
      <c r="K97" s="756">
        <f t="shared" si="8"/>
        <v>96.182999999999993</v>
      </c>
      <c r="L97" s="21"/>
      <c r="M97" s="756">
        <f t="shared" si="8"/>
        <v>121.532</v>
      </c>
      <c r="N97" s="21"/>
      <c r="O97" s="20">
        <f t="shared" si="8"/>
        <v>97.117800000000003</v>
      </c>
      <c r="P97" s="22">
        <f t="shared" si="8"/>
        <v>132</v>
      </c>
      <c r="Q97" s="21"/>
      <c r="R97" s="21"/>
      <c r="S97" s="756">
        <f t="shared" si="8"/>
        <v>141.54000000000002</v>
      </c>
      <c r="T97" s="756">
        <f t="shared" si="8"/>
        <v>162.5</v>
      </c>
      <c r="U97" s="756">
        <f t="shared" si="8"/>
        <v>162.5</v>
      </c>
      <c r="V97" s="22">
        <f t="shared" si="8"/>
        <v>181.5</v>
      </c>
      <c r="W97" s="983"/>
      <c r="AA97" s="45"/>
      <c r="AB97" s="45"/>
      <c r="AC97" s="45"/>
      <c r="AD97" s="45"/>
      <c r="AE97" s="45"/>
      <c r="AF97" s="45"/>
      <c r="AG97" s="45"/>
      <c r="AH97" s="45"/>
      <c r="AI97" s="756">
        <f>AI92</f>
        <v>1600</v>
      </c>
      <c r="AJ97" s="45"/>
      <c r="AK97" s="45"/>
      <c r="AL97" s="45"/>
      <c r="AM97" s="45"/>
      <c r="AN97" s="45"/>
      <c r="AO97" s="45"/>
      <c r="AP97" s="45"/>
      <c r="AR97" s="756">
        <f>AR92</f>
        <v>1750</v>
      </c>
      <c r="AS97" s="756">
        <f>AS92</f>
        <v>1555.2723628906247</v>
      </c>
    </row>
    <row r="98" spans="2:45" x14ac:dyDescent="0.25">
      <c r="B98" s="667" t="s">
        <v>706</v>
      </c>
      <c r="C98" s="690" t="s">
        <v>538</v>
      </c>
      <c r="D98" s="752">
        <f>D93</f>
        <v>20</v>
      </c>
      <c r="E98" s="669"/>
      <c r="F98" s="669"/>
      <c r="G98" s="669"/>
      <c r="H98" s="669"/>
      <c r="I98" s="669"/>
      <c r="J98" s="752">
        <f t="shared" si="8"/>
        <v>39</v>
      </c>
      <c r="K98" s="752">
        <f t="shared" si="8"/>
        <v>39</v>
      </c>
      <c r="L98" s="669"/>
      <c r="M98" s="752">
        <f t="shared" si="8"/>
        <v>16</v>
      </c>
      <c r="N98" s="669"/>
      <c r="O98" s="773">
        <f t="shared" si="8"/>
        <v>19</v>
      </c>
      <c r="P98" s="677">
        <f t="shared" si="8"/>
        <v>19</v>
      </c>
      <c r="Q98" s="669"/>
      <c r="R98" s="669"/>
      <c r="S98" s="752">
        <f t="shared" si="8"/>
        <v>35</v>
      </c>
      <c r="T98" s="752">
        <f t="shared" si="8"/>
        <v>32</v>
      </c>
      <c r="U98" s="752">
        <f t="shared" si="8"/>
        <v>32</v>
      </c>
      <c r="V98" s="677">
        <f t="shared" si="8"/>
        <v>35</v>
      </c>
      <c r="W98" s="981"/>
      <c r="AA98" s="45"/>
      <c r="AB98" s="45"/>
      <c r="AC98" s="45"/>
      <c r="AD98" s="45"/>
      <c r="AE98" s="45"/>
      <c r="AF98" s="45"/>
      <c r="AG98" s="45"/>
      <c r="AH98" s="45"/>
      <c r="AI98" s="756">
        <f t="shared" ref="AI98:AI100" si="9">AI93</f>
        <v>40</v>
      </c>
      <c r="AJ98" s="45"/>
      <c r="AK98" s="45"/>
      <c r="AL98" s="45"/>
      <c r="AM98" s="45"/>
      <c r="AN98" s="45"/>
      <c r="AO98" s="45"/>
      <c r="AP98" s="45"/>
      <c r="AR98" s="756">
        <f t="shared" ref="AR98:AR100" si="10">AR93</f>
        <v>60</v>
      </c>
      <c r="AS98" s="752">
        <f>AS93</f>
        <v>165.57193359374997</v>
      </c>
    </row>
    <row r="99" spans="2:45" x14ac:dyDescent="0.25">
      <c r="B99" s="667" t="s">
        <v>707</v>
      </c>
      <c r="C99" s="690" t="s">
        <v>538</v>
      </c>
      <c r="D99" s="752">
        <f>D94</f>
        <v>0</v>
      </c>
      <c r="E99" s="669"/>
      <c r="F99" s="669"/>
      <c r="G99" s="669"/>
      <c r="H99" s="669"/>
      <c r="I99" s="669"/>
      <c r="J99" s="752">
        <f t="shared" si="8"/>
        <v>0</v>
      </c>
      <c r="K99" s="752">
        <f t="shared" si="8"/>
        <v>0</v>
      </c>
      <c r="L99" s="669"/>
      <c r="M99" s="752">
        <f t="shared" si="8"/>
        <v>2</v>
      </c>
      <c r="N99" s="669"/>
      <c r="O99" s="773">
        <f t="shared" si="8"/>
        <v>5</v>
      </c>
      <c r="P99" s="677">
        <f t="shared" si="8"/>
        <v>5</v>
      </c>
      <c r="Q99" s="669"/>
      <c r="R99" s="669"/>
      <c r="S99" s="752">
        <f t="shared" si="8"/>
        <v>0</v>
      </c>
      <c r="T99" s="752">
        <f t="shared" si="8"/>
        <v>5</v>
      </c>
      <c r="U99" s="752">
        <f t="shared" si="8"/>
        <v>5</v>
      </c>
      <c r="V99" s="677">
        <f t="shared" si="8"/>
        <v>0</v>
      </c>
      <c r="W99" s="981"/>
      <c r="AA99" s="45"/>
      <c r="AB99" s="45"/>
      <c r="AC99" s="45"/>
      <c r="AD99" s="45"/>
      <c r="AE99" s="45"/>
      <c r="AF99" s="45"/>
      <c r="AG99" s="45"/>
      <c r="AH99" s="45"/>
      <c r="AI99" s="756">
        <f t="shared" si="9"/>
        <v>50</v>
      </c>
      <c r="AJ99" s="45"/>
      <c r="AK99" s="45"/>
      <c r="AL99" s="45"/>
      <c r="AM99" s="45"/>
      <c r="AN99" s="45"/>
      <c r="AO99" s="45"/>
      <c r="AP99" s="45"/>
      <c r="AR99" s="756">
        <f t="shared" si="10"/>
        <v>340</v>
      </c>
      <c r="AS99" s="752">
        <f>AS94</f>
        <v>1103.8128906249997</v>
      </c>
    </row>
    <row r="100" spans="2:45" x14ac:dyDescent="0.25">
      <c r="B100" s="667" t="s">
        <v>656</v>
      </c>
      <c r="C100" s="690" t="s">
        <v>538</v>
      </c>
      <c r="D100" s="752">
        <f>D95</f>
        <v>20</v>
      </c>
      <c r="E100" s="669"/>
      <c r="F100" s="669"/>
      <c r="G100" s="669"/>
      <c r="H100" s="669"/>
      <c r="I100" s="669"/>
      <c r="J100" s="752">
        <f t="shared" si="8"/>
        <v>20</v>
      </c>
      <c r="K100" s="752">
        <f t="shared" si="8"/>
        <v>30</v>
      </c>
      <c r="L100" s="669"/>
      <c r="M100" s="752">
        <f t="shared" si="8"/>
        <v>24</v>
      </c>
      <c r="N100" s="669"/>
      <c r="O100" s="773">
        <f t="shared" si="8"/>
        <v>30</v>
      </c>
      <c r="P100" s="677">
        <f t="shared" si="8"/>
        <v>30</v>
      </c>
      <c r="Q100" s="669"/>
      <c r="R100" s="669"/>
      <c r="S100" s="752">
        <f t="shared" si="8"/>
        <v>40</v>
      </c>
      <c r="T100" s="752">
        <f t="shared" si="8"/>
        <v>23</v>
      </c>
      <c r="U100" s="752">
        <f t="shared" si="8"/>
        <v>23</v>
      </c>
      <c r="V100" s="677">
        <f t="shared" si="8"/>
        <v>45.900920024999991</v>
      </c>
      <c r="W100" s="981"/>
      <c r="AA100" s="45"/>
      <c r="AB100" s="45"/>
      <c r="AC100" s="45"/>
      <c r="AD100" s="45"/>
      <c r="AE100" s="45"/>
      <c r="AF100" s="45"/>
      <c r="AG100" s="45"/>
      <c r="AH100" s="45"/>
      <c r="AI100" s="756">
        <f t="shared" si="9"/>
        <v>2010</v>
      </c>
      <c r="AJ100" s="45"/>
      <c r="AK100" s="45"/>
      <c r="AL100" s="45"/>
      <c r="AM100" s="45"/>
      <c r="AN100" s="45"/>
      <c r="AO100" s="45"/>
      <c r="AP100" s="45"/>
      <c r="AR100" s="756">
        <f t="shared" si="10"/>
        <v>4110</v>
      </c>
      <c r="AS100" s="753">
        <v>7129.4474341123032</v>
      </c>
    </row>
    <row r="101" spans="2:45" x14ac:dyDescent="0.25">
      <c r="B101" s="675" t="s">
        <v>709</v>
      </c>
      <c r="C101" s="690" t="s">
        <v>538</v>
      </c>
      <c r="D101" s="439">
        <f>SUM(D97:D100)</f>
        <v>161.45599999999999</v>
      </c>
      <c r="E101" s="79"/>
      <c r="F101" s="79"/>
      <c r="G101" s="79"/>
      <c r="H101" s="79"/>
      <c r="I101" s="79"/>
      <c r="J101" s="439">
        <f t="shared" ref="J101:V101" si="11">SUM(J97:J100)</f>
        <v>227.52375000000001</v>
      </c>
      <c r="K101" s="439">
        <f t="shared" si="11"/>
        <v>165.18299999999999</v>
      </c>
      <c r="L101" s="79"/>
      <c r="M101" s="439">
        <f t="shared" si="11"/>
        <v>163.53199999999998</v>
      </c>
      <c r="N101" s="79"/>
      <c r="O101" s="77">
        <f t="shared" si="11"/>
        <v>151.11779999999999</v>
      </c>
      <c r="P101" s="78">
        <f t="shared" si="11"/>
        <v>186</v>
      </c>
      <c r="Q101" s="79"/>
      <c r="R101" s="79"/>
      <c r="S101" s="439">
        <f t="shared" si="11"/>
        <v>216.54000000000002</v>
      </c>
      <c r="T101" s="439">
        <f t="shared" si="11"/>
        <v>222.5</v>
      </c>
      <c r="U101" s="439">
        <f t="shared" si="11"/>
        <v>222.5</v>
      </c>
      <c r="V101" s="78">
        <f t="shared" si="11"/>
        <v>262.400920025</v>
      </c>
      <c r="W101" s="980"/>
      <c r="AA101" s="45"/>
      <c r="AB101" s="45"/>
      <c r="AC101" s="45"/>
      <c r="AD101" s="45"/>
      <c r="AE101" s="45"/>
      <c r="AF101" s="45"/>
      <c r="AG101" s="45"/>
      <c r="AH101" s="45"/>
      <c r="AI101" s="439">
        <f>SUM(AI97:AI100)</f>
        <v>3700</v>
      </c>
      <c r="AJ101" s="45"/>
      <c r="AK101" s="45"/>
      <c r="AL101" s="45"/>
      <c r="AM101" s="45"/>
      <c r="AN101" s="45"/>
      <c r="AO101" s="45"/>
      <c r="AP101" s="45"/>
      <c r="AR101" s="991">
        <f>SUM(AR97:AR100)</f>
        <v>6260</v>
      </c>
      <c r="AS101" s="439">
        <f>SUM(AS97:AS100)</f>
        <v>9954.104621221677</v>
      </c>
    </row>
    <row r="102" spans="2:45" x14ac:dyDescent="0.25">
      <c r="B102" s="702" t="s">
        <v>710</v>
      </c>
      <c r="C102" s="690" t="s">
        <v>538</v>
      </c>
      <c r="D102" s="751">
        <f>D82-D101</f>
        <v>1135.7940000000001</v>
      </c>
      <c r="E102" s="178"/>
      <c r="F102" s="178"/>
      <c r="G102" s="178"/>
      <c r="H102" s="178"/>
      <c r="I102" s="178"/>
      <c r="J102" s="751">
        <f t="shared" ref="J102:T102" si="12">J82-J101</f>
        <v>659.32625000000007</v>
      </c>
      <c r="K102" s="751">
        <f t="shared" si="12"/>
        <v>665.1930000000001</v>
      </c>
      <c r="L102" s="178"/>
      <c r="M102" s="751">
        <f t="shared" si="12"/>
        <v>665.34400000000005</v>
      </c>
      <c r="N102" s="178"/>
      <c r="O102" s="769">
        <f t="shared" si="12"/>
        <v>752.98620000000017</v>
      </c>
      <c r="P102" s="703"/>
      <c r="Q102" s="178"/>
      <c r="R102" s="178"/>
      <c r="S102" s="751">
        <f t="shared" si="12"/>
        <v>695.1400000000001</v>
      </c>
      <c r="T102" s="751">
        <f t="shared" si="12"/>
        <v>174.55600000000004</v>
      </c>
      <c r="U102" s="751"/>
      <c r="V102" s="703"/>
      <c r="W102" s="980"/>
      <c r="AA102" s="45"/>
      <c r="AB102" s="45"/>
      <c r="AC102" s="45"/>
      <c r="AD102" s="45"/>
      <c r="AE102" s="45"/>
      <c r="AF102" s="45"/>
      <c r="AG102" s="45"/>
      <c r="AH102" s="45"/>
      <c r="AI102" s="751">
        <f>AI82-AI101</f>
        <v>2924.0000000000009</v>
      </c>
      <c r="AJ102" s="45"/>
      <c r="AK102" s="45"/>
      <c r="AL102" s="45"/>
      <c r="AM102" s="45"/>
      <c r="AN102" s="45"/>
      <c r="AO102" s="45"/>
      <c r="AP102" s="45"/>
      <c r="AR102" s="990">
        <f>AR82-AR101</f>
        <v>3100</v>
      </c>
      <c r="AS102" s="751"/>
    </row>
    <row r="103" spans="2:45" x14ac:dyDescent="0.25">
      <c r="B103" s="702" t="s">
        <v>711</v>
      </c>
      <c r="C103" s="690" t="s">
        <v>538</v>
      </c>
      <c r="D103" s="751">
        <f>D83-D101</f>
        <v>1686.5939999999998</v>
      </c>
      <c r="E103" s="178"/>
      <c r="F103" s="178"/>
      <c r="G103" s="178"/>
      <c r="H103" s="178"/>
      <c r="I103" s="178"/>
      <c r="J103" s="751">
        <f t="shared" ref="J103:T103" si="13">J83-J101</f>
        <v>1004.9262499999998</v>
      </c>
      <c r="K103" s="751">
        <f t="shared" si="13"/>
        <v>985.88100000000009</v>
      </c>
      <c r="L103" s="178"/>
      <c r="M103" s="751">
        <f t="shared" si="13"/>
        <v>986.03200000000015</v>
      </c>
      <c r="N103" s="178"/>
      <c r="O103" s="769">
        <f t="shared" si="13"/>
        <v>1092.5382</v>
      </c>
      <c r="P103" s="703"/>
      <c r="Q103" s="178"/>
      <c r="R103" s="178"/>
      <c r="S103" s="751">
        <f t="shared" si="13"/>
        <v>1150.9800000000002</v>
      </c>
      <c r="T103" s="751">
        <f t="shared" si="13"/>
        <v>373.08399999999995</v>
      </c>
      <c r="U103" s="751"/>
      <c r="V103" s="703"/>
      <c r="W103" s="980"/>
      <c r="AA103" s="45"/>
      <c r="AB103" s="45"/>
      <c r="AC103" s="45"/>
      <c r="AD103" s="45"/>
      <c r="AE103" s="45"/>
      <c r="AF103" s="45"/>
      <c r="AG103" s="45"/>
      <c r="AH103" s="45"/>
      <c r="AI103" s="751">
        <f>AI83-AI101</f>
        <v>6236</v>
      </c>
      <c r="AJ103" s="45"/>
      <c r="AK103" s="45"/>
      <c r="AL103" s="45"/>
      <c r="AM103" s="45"/>
      <c r="AN103" s="45"/>
      <c r="AO103" s="45"/>
      <c r="AP103" s="45"/>
      <c r="AR103" s="990">
        <f>AR83-AR101</f>
        <v>7780</v>
      </c>
      <c r="AS103" s="751"/>
    </row>
    <row r="104" spans="2:45" x14ac:dyDescent="0.25">
      <c r="B104" s="675" t="s">
        <v>712</v>
      </c>
      <c r="C104" s="690" t="s">
        <v>538</v>
      </c>
      <c r="D104" s="439">
        <f>D84-D101</f>
        <v>1411.1940000000002</v>
      </c>
      <c r="E104" s="79"/>
      <c r="F104" s="79"/>
      <c r="G104" s="79"/>
      <c r="H104" s="79"/>
      <c r="I104" s="79"/>
      <c r="J104" s="439">
        <f t="shared" ref="J104:V104" si="14">J84-J101</f>
        <v>832.12625000000003</v>
      </c>
      <c r="K104" s="439">
        <f t="shared" si="14"/>
        <v>825.53700000000003</v>
      </c>
      <c r="L104" s="79"/>
      <c r="M104" s="439">
        <f t="shared" si="14"/>
        <v>825.6880000000001</v>
      </c>
      <c r="N104" s="79"/>
      <c r="O104" s="77">
        <f t="shared" si="14"/>
        <v>922.76220000000012</v>
      </c>
      <c r="P104" s="78">
        <f t="shared" si="14"/>
        <v>939.90000000000009</v>
      </c>
      <c r="Q104" s="79"/>
      <c r="R104" s="79"/>
      <c r="S104" s="439">
        <f t="shared" si="14"/>
        <v>923.06000000000017</v>
      </c>
      <c r="T104" s="439">
        <f t="shared" si="14"/>
        <v>273.82</v>
      </c>
      <c r="U104" s="439">
        <f t="shared" si="14"/>
        <v>428.70000000000005</v>
      </c>
      <c r="V104" s="78">
        <f t="shared" si="14"/>
        <v>507.599079975</v>
      </c>
      <c r="W104" s="980"/>
      <c r="AA104" s="45"/>
      <c r="AB104" s="45"/>
      <c r="AC104" s="45"/>
      <c r="AD104" s="45"/>
      <c r="AE104" s="45"/>
      <c r="AF104" s="45"/>
      <c r="AG104" s="45"/>
      <c r="AH104" s="45"/>
      <c r="AI104" s="439">
        <f>AI84-AI101</f>
        <v>4580</v>
      </c>
      <c r="AJ104" s="45"/>
      <c r="AK104" s="45"/>
      <c r="AL104" s="45"/>
      <c r="AM104" s="45"/>
      <c r="AN104" s="45"/>
      <c r="AO104" s="45"/>
      <c r="AP104" s="45"/>
      <c r="AR104" s="991">
        <f>AR84-AR101</f>
        <v>5440</v>
      </c>
      <c r="AS104" s="439">
        <f>AS84-AS101</f>
        <v>1815.1899437783213</v>
      </c>
    </row>
    <row r="105" spans="2:45" x14ac:dyDescent="0.25">
      <c r="B105" s="667" t="s">
        <v>667</v>
      </c>
      <c r="C105" s="698"/>
      <c r="D105" s="752" t="s">
        <v>668</v>
      </c>
      <c r="E105" s="710"/>
      <c r="F105" s="710"/>
      <c r="G105" s="710"/>
      <c r="H105" s="710"/>
      <c r="I105" s="710"/>
      <c r="J105" s="756" t="s">
        <v>669</v>
      </c>
      <c r="K105" s="756" t="s">
        <v>668</v>
      </c>
      <c r="L105" s="710"/>
      <c r="M105" s="756" t="s">
        <v>669</v>
      </c>
      <c r="N105" s="710"/>
      <c r="O105" s="20" t="s">
        <v>669</v>
      </c>
      <c r="P105" s="22" t="s">
        <v>669</v>
      </c>
      <c r="Q105" s="710"/>
      <c r="R105" s="710"/>
      <c r="S105" s="756" t="s">
        <v>668</v>
      </c>
      <c r="T105" s="756" t="s">
        <v>668</v>
      </c>
      <c r="U105" s="756" t="s">
        <v>669</v>
      </c>
      <c r="V105" s="22" t="s">
        <v>669</v>
      </c>
      <c r="W105" s="983"/>
      <c r="AA105" s="45"/>
      <c r="AB105" s="45"/>
      <c r="AC105" s="45"/>
      <c r="AD105" s="45"/>
      <c r="AE105" s="45"/>
      <c r="AF105" s="45"/>
      <c r="AG105" s="45"/>
      <c r="AH105" s="45"/>
      <c r="AI105" s="756" t="s">
        <v>669</v>
      </c>
      <c r="AJ105" s="45"/>
      <c r="AK105" s="45"/>
      <c r="AL105" s="45"/>
      <c r="AM105" s="45"/>
      <c r="AN105" s="45"/>
      <c r="AO105" s="45"/>
      <c r="AP105" s="45"/>
      <c r="AR105" s="756" t="s">
        <v>669</v>
      </c>
      <c r="AS105" s="756" t="s">
        <v>669</v>
      </c>
    </row>
    <row r="106" spans="2:45" ht="11" thickBot="1" x14ac:dyDescent="0.3">
      <c r="B106" s="711" t="s">
        <v>713</v>
      </c>
      <c r="C106" s="712" t="s">
        <v>538</v>
      </c>
      <c r="D106" s="757">
        <f>D101*66%*4%</f>
        <v>4.2624383999999997</v>
      </c>
      <c r="E106" s="713"/>
      <c r="F106" s="713"/>
      <c r="G106" s="713"/>
      <c r="H106" s="713"/>
      <c r="I106" s="713"/>
      <c r="J106" s="757">
        <f>J101*50%*4%</f>
        <v>4.5504750000000005</v>
      </c>
      <c r="K106" s="757">
        <f>K101*66%*4%</f>
        <v>4.3608311999999998</v>
      </c>
      <c r="L106" s="713"/>
      <c r="M106" s="757">
        <f>M101*50%*4%</f>
        <v>3.2706399999999998</v>
      </c>
      <c r="N106" s="713"/>
      <c r="O106" s="775">
        <f>O101*50%*4%</f>
        <v>3.0223559999999998</v>
      </c>
      <c r="P106" s="714">
        <f>P101*50%*4%</f>
        <v>3.72</v>
      </c>
      <c r="Q106" s="713"/>
      <c r="R106" s="713"/>
      <c r="S106" s="757">
        <f>S101*66%*4%</f>
        <v>5.7166560000000004</v>
      </c>
      <c r="T106" s="757">
        <f>T101*66%*4%</f>
        <v>5.8739999999999997</v>
      </c>
      <c r="U106" s="757">
        <f>U101*50%*4%</f>
        <v>4.45</v>
      </c>
      <c r="V106" s="714">
        <f>V101*50%*4%</f>
        <v>5.2480184005000003</v>
      </c>
      <c r="W106" s="984"/>
      <c r="X106" s="490"/>
      <c r="Y106" s="490"/>
      <c r="Z106" s="490"/>
      <c r="AA106" s="490"/>
      <c r="AB106" s="490"/>
      <c r="AC106" s="490"/>
      <c r="AD106" s="490"/>
      <c r="AE106" s="490"/>
      <c r="AF106" s="490"/>
      <c r="AG106" s="490"/>
      <c r="AH106" s="490"/>
      <c r="AI106" s="757">
        <f>AI101*50%*4%</f>
        <v>74</v>
      </c>
      <c r="AJ106" s="490"/>
      <c r="AK106" s="490"/>
      <c r="AL106" s="490"/>
      <c r="AM106" s="490"/>
      <c r="AN106" s="490"/>
      <c r="AO106" s="490"/>
      <c r="AP106" s="490"/>
      <c r="AQ106" s="490"/>
      <c r="AR106" s="757">
        <f>AR101*50%*4%</f>
        <v>125.2</v>
      </c>
      <c r="AS106" s="757">
        <f>AS101*50%*4%</f>
        <v>199.08209242443354</v>
      </c>
    </row>
    <row r="107" spans="2:45" s="238" customFormat="1" x14ac:dyDescent="0.25"/>
    <row r="108" spans="2:45" s="238" customFormat="1" x14ac:dyDescent="0.25"/>
    <row r="109" spans="2:45" s="238" customFormat="1" x14ac:dyDescent="0.25"/>
    <row r="110" spans="2:45" s="238" customFormat="1" x14ac:dyDescent="0.25"/>
    <row r="111" spans="2:45" s="238" customFormat="1" x14ac:dyDescent="0.25"/>
    <row r="112" spans="2:45" s="238" customFormat="1" x14ac:dyDescent="0.25"/>
    <row r="113" s="238" customFormat="1" x14ac:dyDescent="0.25"/>
    <row r="114" s="238" customFormat="1" x14ac:dyDescent="0.25"/>
    <row r="115" s="238" customFormat="1" x14ac:dyDescent="0.25"/>
    <row r="116" s="238" customFormat="1" x14ac:dyDescent="0.25"/>
    <row r="117" s="238" customFormat="1" x14ac:dyDescent="0.25"/>
    <row r="118" s="238" customFormat="1" x14ac:dyDescent="0.25"/>
    <row r="119" s="238" customFormat="1" x14ac:dyDescent="0.25"/>
    <row r="120" s="238" customFormat="1" x14ac:dyDescent="0.25"/>
    <row r="121" s="238" customFormat="1" x14ac:dyDescent="0.25"/>
    <row r="122" s="238" customFormat="1" x14ac:dyDescent="0.25"/>
    <row r="123" s="238" customFormat="1" x14ac:dyDescent="0.25"/>
    <row r="124" s="238" customFormat="1" x14ac:dyDescent="0.25"/>
    <row r="125" s="238" customFormat="1" x14ac:dyDescent="0.25"/>
    <row r="126" s="238" customFormat="1" x14ac:dyDescent="0.25"/>
    <row r="127" s="238" customFormat="1" x14ac:dyDescent="0.25"/>
    <row r="128" s="238" customFormat="1" x14ac:dyDescent="0.25"/>
    <row r="129" s="238" customFormat="1" x14ac:dyDescent="0.25"/>
    <row r="130" s="238" customFormat="1" x14ac:dyDescent="0.25"/>
    <row r="131" s="238" customFormat="1" x14ac:dyDescent="0.25"/>
    <row r="132" s="238" customFormat="1" x14ac:dyDescent="0.25"/>
    <row r="133" s="238" customFormat="1" x14ac:dyDescent="0.25"/>
    <row r="134" s="238" customFormat="1" x14ac:dyDescent="0.25"/>
    <row r="135" s="238" customFormat="1" x14ac:dyDescent="0.25"/>
    <row r="136" s="238" customFormat="1" x14ac:dyDescent="0.25"/>
    <row r="137" s="238" customFormat="1" x14ac:dyDescent="0.25"/>
    <row r="138" s="238" customFormat="1" x14ac:dyDescent="0.25"/>
    <row r="139" s="238" customFormat="1" x14ac:dyDescent="0.25"/>
    <row r="140" s="238" customFormat="1" x14ac:dyDescent="0.25"/>
    <row r="141" s="238" customFormat="1" x14ac:dyDescent="0.25"/>
    <row r="142" s="238" customFormat="1" x14ac:dyDescent="0.25"/>
    <row r="143" s="238" customFormat="1" x14ac:dyDescent="0.25"/>
    <row r="144" s="238" customFormat="1" x14ac:dyDescent="0.25"/>
    <row r="145" s="238" customFormat="1" x14ac:dyDescent="0.25"/>
    <row r="146" s="238" customFormat="1"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9D6-9A97-4D87-B3EB-234E0C0DA701}">
  <dimension ref="A1:AY161"/>
  <sheetViews>
    <sheetView workbookViewId="0"/>
  </sheetViews>
  <sheetFormatPr defaultColWidth="8.81640625" defaultRowHeight="10.5" x14ac:dyDescent="0.25"/>
  <cols>
    <col min="1" max="1" width="2.54296875" style="238" customWidth="1"/>
    <col min="2" max="2" width="24.453125" style="45" customWidth="1"/>
    <col min="3" max="3" width="8.81640625" style="45"/>
    <col min="4" max="26" width="9" style="45" bestFit="1" customWidth="1"/>
    <col min="27" max="40" width="9" style="832" bestFit="1" customWidth="1"/>
    <col min="41" max="41" width="9.81640625" style="832" bestFit="1" customWidth="1"/>
    <col min="42" max="42" width="9" style="832" bestFit="1" customWidth="1"/>
    <col min="43" max="43" width="9" style="45" bestFit="1" customWidth="1"/>
    <col min="44" max="51" width="8.81640625" style="238"/>
    <col min="52" max="16384" width="8.81640625" style="45"/>
  </cols>
  <sheetData>
    <row r="1" spans="2:43" s="238" customFormat="1" ht="11" thickBot="1" x14ac:dyDescent="0.3">
      <c r="Z1" s="835"/>
      <c r="AA1" s="836"/>
      <c r="AB1" s="836"/>
      <c r="AC1" s="836"/>
      <c r="AD1" s="836"/>
      <c r="AE1" s="836"/>
      <c r="AF1" s="836"/>
      <c r="AG1" s="836"/>
      <c r="AH1" s="836"/>
      <c r="AI1" s="836"/>
      <c r="AJ1" s="836"/>
      <c r="AK1" s="836"/>
      <c r="AL1" s="836"/>
      <c r="AM1" s="836"/>
      <c r="AN1" s="836"/>
      <c r="AO1" s="836"/>
      <c r="AP1" s="835"/>
    </row>
    <row r="2" spans="2:43" ht="32" thickBot="1" x14ac:dyDescent="0.3">
      <c r="B2" s="785" t="s">
        <v>596</v>
      </c>
      <c r="C2" s="786"/>
      <c r="D2" s="780" t="s">
        <v>541</v>
      </c>
      <c r="E2" s="780" t="s">
        <v>543</v>
      </c>
      <c r="F2" s="780" t="s">
        <v>544</v>
      </c>
      <c r="G2" s="780" t="s">
        <v>546</v>
      </c>
      <c r="H2" s="780" t="s">
        <v>548</v>
      </c>
      <c r="I2" s="780" t="s">
        <v>549</v>
      </c>
      <c r="J2" s="780" t="s">
        <v>551</v>
      </c>
      <c r="K2" s="780" t="s">
        <v>552</v>
      </c>
      <c r="L2" s="780" t="s">
        <v>554</v>
      </c>
      <c r="M2" s="780" t="s">
        <v>555</v>
      </c>
      <c r="N2" s="780" t="s">
        <v>557</v>
      </c>
      <c r="O2" s="780" t="s">
        <v>558</v>
      </c>
      <c r="P2" s="780" t="s">
        <v>561</v>
      </c>
      <c r="Q2" s="780" t="s">
        <v>562</v>
      </c>
      <c r="R2" s="780" t="s">
        <v>565</v>
      </c>
      <c r="S2" s="780" t="s">
        <v>563</v>
      </c>
      <c r="T2" s="780" t="s">
        <v>566</v>
      </c>
      <c r="U2" s="780" t="s">
        <v>569</v>
      </c>
      <c r="V2" s="780" t="s">
        <v>571</v>
      </c>
      <c r="W2" s="780" t="s">
        <v>574</v>
      </c>
      <c r="X2" s="780" t="s">
        <v>575</v>
      </c>
      <c r="Y2" s="780" t="s">
        <v>570</v>
      </c>
      <c r="Z2" s="783" t="s">
        <v>572</v>
      </c>
      <c r="AA2" s="780" t="s">
        <v>598</v>
      </c>
      <c r="AB2" s="780" t="s">
        <v>599</v>
      </c>
      <c r="AC2" s="780" t="s">
        <v>600</v>
      </c>
      <c r="AD2" s="780" t="s">
        <v>601</v>
      </c>
      <c r="AE2" s="780" t="s">
        <v>602</v>
      </c>
      <c r="AF2" s="780" t="s">
        <v>603</v>
      </c>
      <c r="AG2" s="780" t="s">
        <v>604</v>
      </c>
      <c r="AH2" s="780" t="s">
        <v>605</v>
      </c>
      <c r="AI2" s="780" t="s">
        <v>585</v>
      </c>
      <c r="AJ2" s="780" t="s">
        <v>606</v>
      </c>
      <c r="AK2" s="780" t="s">
        <v>607</v>
      </c>
      <c r="AL2" s="780" t="s">
        <v>608</v>
      </c>
      <c r="AM2" s="780" t="s">
        <v>609</v>
      </c>
      <c r="AN2" s="780" t="s">
        <v>610</v>
      </c>
      <c r="AO2" s="780" t="s">
        <v>611</v>
      </c>
      <c r="AP2" s="780" t="s">
        <v>612</v>
      </c>
      <c r="AQ2" s="784" t="s">
        <v>613</v>
      </c>
    </row>
    <row r="3" spans="2:43" x14ac:dyDescent="0.25">
      <c r="B3" s="411" t="s">
        <v>614</v>
      </c>
      <c r="C3" s="787" t="s">
        <v>425</v>
      </c>
      <c r="D3" s="795">
        <v>872.31973060313373</v>
      </c>
      <c r="E3" s="795">
        <v>739.17600226718719</v>
      </c>
      <c r="F3" s="795">
        <v>855.2433536259357</v>
      </c>
      <c r="G3" s="795">
        <v>706.24882600291608</v>
      </c>
      <c r="H3" s="795">
        <v>854.29821481940292</v>
      </c>
      <c r="I3" s="795">
        <v>708.96660030279975</v>
      </c>
      <c r="J3" s="795">
        <v>711.17360759021471</v>
      </c>
      <c r="K3" s="795">
        <v>700.96031757456615</v>
      </c>
      <c r="L3" s="795">
        <v>810.16895307672246</v>
      </c>
      <c r="M3" s="795">
        <v>613.79199471547327</v>
      </c>
      <c r="N3" s="795">
        <v>769.30352713738796</v>
      </c>
      <c r="O3" s="795">
        <v>546.72660107878403</v>
      </c>
      <c r="P3" s="795"/>
      <c r="Q3" s="795">
        <v>741.65109138717662</v>
      </c>
      <c r="R3" s="795">
        <v>492.19927478742193</v>
      </c>
      <c r="S3" s="795">
        <v>458.47682163236431</v>
      </c>
      <c r="T3" s="795">
        <v>401.65884424105991</v>
      </c>
      <c r="U3" s="795">
        <v>391.15779424105995</v>
      </c>
      <c r="V3" s="795">
        <v>403.45787504896191</v>
      </c>
      <c r="W3" s="795">
        <v>479.5150856389987</v>
      </c>
      <c r="X3" s="795">
        <v>633.01073781291166</v>
      </c>
      <c r="Y3" s="795">
        <v>358.2730411052155</v>
      </c>
      <c r="Z3" s="821">
        <v>545.34924637681161</v>
      </c>
      <c r="AA3" s="795">
        <v>682.59344927536222</v>
      </c>
      <c r="AB3" s="795">
        <v>774.45021645021643</v>
      </c>
      <c r="AC3" s="795">
        <v>475.74044795783925</v>
      </c>
      <c r="AD3" s="795">
        <v>594.96508563899874</v>
      </c>
      <c r="AE3" s="795">
        <v>767.50856389986825</v>
      </c>
      <c r="AF3" s="795">
        <v>796.81847932338815</v>
      </c>
      <c r="AG3" s="795">
        <v>768.08357778885488</v>
      </c>
      <c r="AH3" s="795">
        <v>4349.9999999999982</v>
      </c>
      <c r="AI3" s="795">
        <v>2714.6502028985515</v>
      </c>
      <c r="AJ3" s="795">
        <v>1058</v>
      </c>
      <c r="AK3" s="795">
        <v>10979</v>
      </c>
      <c r="AL3" s="795">
        <v>15650</v>
      </c>
      <c r="AM3" s="795">
        <v>16386</v>
      </c>
      <c r="AN3" s="795">
        <v>51877</v>
      </c>
      <c r="AO3" s="795">
        <v>174700</v>
      </c>
      <c r="AP3" s="795">
        <v>8550</v>
      </c>
      <c r="AQ3" s="662">
        <v>3539.05</v>
      </c>
    </row>
    <row r="4" spans="2:43" x14ac:dyDescent="0.25">
      <c r="B4" s="663" t="s">
        <v>615</v>
      </c>
      <c r="C4" s="787" t="s">
        <v>425</v>
      </c>
      <c r="D4" s="796">
        <v>15.178545742284125</v>
      </c>
      <c r="E4" s="796">
        <v>15.5302440247767</v>
      </c>
      <c r="F4" s="796">
        <v>15.856153202249894</v>
      </c>
      <c r="G4" s="796">
        <v>16.605015146525233</v>
      </c>
      <c r="H4" s="796">
        <v>15.647643432275565</v>
      </c>
      <c r="I4" s="796">
        <v>16.321728305213831</v>
      </c>
      <c r="J4" s="796">
        <v>8.9893172800531929</v>
      </c>
      <c r="K4" s="796">
        <v>11.469215572121362</v>
      </c>
      <c r="L4" s="796">
        <v>10.507494447146378</v>
      </c>
      <c r="M4" s="796">
        <v>7.1268429885271827</v>
      </c>
      <c r="N4" s="796">
        <v>6.5959857442984982</v>
      </c>
      <c r="O4" s="796">
        <v>9.7397572118563573</v>
      </c>
      <c r="P4" s="796"/>
      <c r="Q4" s="796">
        <v>12.131184059215649</v>
      </c>
      <c r="R4" s="796">
        <v>5.7711678123531716</v>
      </c>
      <c r="S4" s="796">
        <v>7.3987565089055831</v>
      </c>
      <c r="T4" s="796">
        <v>5.5511391151788008</v>
      </c>
      <c r="U4" s="796">
        <v>5.5443891151788014</v>
      </c>
      <c r="V4" s="796">
        <v>5.7811758323540925</v>
      </c>
      <c r="W4" s="796">
        <v>4.409698287220027</v>
      </c>
      <c r="X4" s="796">
        <v>7.0485165217391303</v>
      </c>
      <c r="Y4" s="796">
        <v>5.2048134841650082</v>
      </c>
      <c r="Z4" s="822">
        <v>5.5692550724637684</v>
      </c>
      <c r="AA4" s="796">
        <v>7.3743710144927537</v>
      </c>
      <c r="AB4" s="796">
        <v>9.2609956709956709</v>
      </c>
      <c r="AC4" s="796">
        <v>6.085191040843215</v>
      </c>
      <c r="AD4" s="796">
        <v>9.8506982872200268</v>
      </c>
      <c r="AE4" s="796">
        <v>7.849828722002635</v>
      </c>
      <c r="AF4" s="796">
        <v>12.663630413532237</v>
      </c>
      <c r="AG4" s="796">
        <v>22.3642528240381</v>
      </c>
      <c r="AH4" s="796">
        <v>209.88000000000002</v>
      </c>
      <c r="AI4" s="796">
        <v>136.23983464347828</v>
      </c>
      <c r="AJ4" s="796">
        <v>101.9568</v>
      </c>
      <c r="AK4" s="796">
        <v>238.15440000000004</v>
      </c>
      <c r="AL4" s="796">
        <v>81.84</v>
      </c>
      <c r="AM4" s="796">
        <v>2339.4096</v>
      </c>
      <c r="AN4" s="796">
        <v>557.64720000000011</v>
      </c>
      <c r="AO4" s="796">
        <v>3147.6192000000001</v>
      </c>
      <c r="AP4" s="796">
        <v>134.64000000000001</v>
      </c>
      <c r="AQ4" s="664">
        <v>94.669079999999994</v>
      </c>
    </row>
    <row r="5" spans="2:43" x14ac:dyDescent="0.25">
      <c r="B5" s="665" t="s">
        <v>616</v>
      </c>
      <c r="C5" s="788" t="s">
        <v>495</v>
      </c>
      <c r="D5" s="744">
        <v>150</v>
      </c>
      <c r="E5" s="744">
        <v>150</v>
      </c>
      <c r="F5" s="744">
        <v>164</v>
      </c>
      <c r="G5" s="744">
        <v>164</v>
      </c>
      <c r="H5" s="744">
        <v>153</v>
      </c>
      <c r="I5" s="744">
        <v>153</v>
      </c>
      <c r="J5" s="744">
        <v>164</v>
      </c>
      <c r="K5" s="744">
        <v>131</v>
      </c>
      <c r="L5" s="744">
        <v>152</v>
      </c>
      <c r="M5" s="744">
        <v>131</v>
      </c>
      <c r="N5" s="744">
        <v>157</v>
      </c>
      <c r="O5" s="744">
        <v>131</v>
      </c>
      <c r="P5" s="744"/>
      <c r="Q5" s="744">
        <v>350</v>
      </c>
      <c r="R5" s="744">
        <v>350</v>
      </c>
      <c r="S5" s="744">
        <v>185</v>
      </c>
      <c r="T5" s="744">
        <v>188</v>
      </c>
      <c r="U5" s="744">
        <v>185</v>
      </c>
      <c r="V5" s="744">
        <v>185</v>
      </c>
      <c r="W5" s="744">
        <v>400</v>
      </c>
      <c r="X5" s="744">
        <v>400</v>
      </c>
      <c r="Y5" s="744">
        <v>131</v>
      </c>
      <c r="Z5" s="761">
        <v>145</v>
      </c>
      <c r="AA5" s="744">
        <v>160</v>
      </c>
      <c r="AB5" s="744">
        <v>165</v>
      </c>
      <c r="AC5" s="744">
        <v>260</v>
      </c>
      <c r="AD5" s="744">
        <v>145</v>
      </c>
      <c r="AE5" s="744">
        <v>2900</v>
      </c>
      <c r="AF5" s="744">
        <v>1100</v>
      </c>
      <c r="AG5" s="797">
        <v>21.66</v>
      </c>
      <c r="AH5" s="744">
        <v>8.1999999999999993</v>
      </c>
      <c r="AI5" s="744">
        <v>170</v>
      </c>
      <c r="AJ5" s="744">
        <v>410</v>
      </c>
      <c r="AK5" s="744">
        <v>800</v>
      </c>
      <c r="AL5" s="744">
        <v>2500</v>
      </c>
      <c r="AM5" s="744">
        <v>3500</v>
      </c>
      <c r="AN5" s="744">
        <v>73000</v>
      </c>
      <c r="AO5" s="744">
        <v>293928</v>
      </c>
      <c r="AP5" s="744">
        <v>325</v>
      </c>
      <c r="AQ5" s="666">
        <v>750</v>
      </c>
    </row>
    <row r="6" spans="2:43" x14ac:dyDescent="0.25">
      <c r="B6" s="667" t="s">
        <v>617</v>
      </c>
      <c r="C6" s="789" t="s">
        <v>495</v>
      </c>
      <c r="D6" s="797"/>
      <c r="E6" s="797"/>
      <c r="F6" s="814">
        <v>0.09</v>
      </c>
      <c r="G6" s="797"/>
      <c r="H6" s="814">
        <v>1.7000000000000001E-2</v>
      </c>
      <c r="I6" s="815">
        <v>1.7000000000000001E-2</v>
      </c>
      <c r="J6" s="797"/>
      <c r="K6" s="816">
        <v>0.87</v>
      </c>
      <c r="L6" s="816">
        <v>0.16</v>
      </c>
      <c r="M6" s="797"/>
      <c r="N6" s="797"/>
      <c r="O6" s="816">
        <v>1</v>
      </c>
      <c r="P6" s="816"/>
      <c r="Q6" s="816">
        <v>0.44</v>
      </c>
      <c r="R6" s="811"/>
      <c r="S6" s="818">
        <v>35</v>
      </c>
      <c r="T6" s="814">
        <v>0.25</v>
      </c>
      <c r="U6" s="797"/>
      <c r="V6" s="797"/>
      <c r="W6" s="820">
        <v>1.1299999999999999</v>
      </c>
      <c r="X6" s="797"/>
      <c r="Y6" s="797"/>
      <c r="Z6" s="823">
        <v>-5</v>
      </c>
      <c r="AA6" s="797">
        <v>10</v>
      </c>
      <c r="AB6" s="816">
        <v>0.1</v>
      </c>
      <c r="AC6" s="816">
        <v>0.75</v>
      </c>
      <c r="AD6" s="797"/>
      <c r="AE6" s="746"/>
      <c r="AF6" s="746"/>
      <c r="AG6" s="816"/>
      <c r="AH6" s="811" t="s">
        <v>618</v>
      </c>
      <c r="AI6" s="816"/>
      <c r="AJ6" s="816"/>
      <c r="AK6" s="816"/>
      <c r="AL6" s="816"/>
      <c r="AM6" s="816"/>
      <c r="AN6" s="816"/>
      <c r="AO6" s="746"/>
      <c r="AP6" s="811"/>
      <c r="AQ6" s="19"/>
    </row>
    <row r="7" spans="2:43" x14ac:dyDescent="0.25">
      <c r="B7" s="668" t="s">
        <v>619</v>
      </c>
      <c r="C7" s="790"/>
      <c r="D7" s="752"/>
      <c r="E7" s="811"/>
      <c r="F7" s="811"/>
      <c r="G7" s="811"/>
      <c r="H7" s="811"/>
      <c r="I7" s="811"/>
      <c r="J7" s="811"/>
      <c r="K7" s="811"/>
      <c r="L7" s="811"/>
      <c r="M7" s="811"/>
      <c r="N7" s="811"/>
      <c r="O7" s="811"/>
      <c r="P7" s="811"/>
      <c r="Q7" s="811"/>
      <c r="R7" s="811"/>
      <c r="S7" s="811"/>
      <c r="T7" s="811"/>
      <c r="U7" s="811"/>
      <c r="V7" s="811"/>
      <c r="W7" s="811"/>
      <c r="X7" s="811"/>
      <c r="Y7" s="811"/>
      <c r="Z7" s="29"/>
      <c r="AA7" s="811"/>
      <c r="AB7" s="811"/>
      <c r="AC7" s="811"/>
      <c r="AD7" s="811"/>
      <c r="AE7" s="746"/>
      <c r="AF7" s="746"/>
      <c r="AG7" s="811"/>
      <c r="AH7" s="746"/>
      <c r="AI7" s="811"/>
      <c r="AJ7" s="811"/>
      <c r="AK7" s="811"/>
      <c r="AL7" s="811"/>
      <c r="AM7" s="811"/>
      <c r="AN7" s="811"/>
      <c r="AO7" s="746"/>
      <c r="AP7" s="811"/>
      <c r="AQ7" s="19"/>
    </row>
    <row r="8" spans="2:43" x14ac:dyDescent="0.25">
      <c r="B8" s="668" t="s">
        <v>620</v>
      </c>
      <c r="C8" s="791" t="s">
        <v>539</v>
      </c>
      <c r="D8" s="798">
        <v>8.5063509672239537</v>
      </c>
      <c r="E8" s="812">
        <v>7.7075388092501118</v>
      </c>
      <c r="F8" s="812">
        <v>7.8325805935824544</v>
      </c>
      <c r="G8" s="812">
        <v>7.0970406857451538</v>
      </c>
      <c r="H8" s="812">
        <v>8.337908373813578</v>
      </c>
      <c r="I8" s="812">
        <v>7.5549142783738725</v>
      </c>
      <c r="J8" s="812">
        <v>6.0324845828833809</v>
      </c>
      <c r="K8" s="812">
        <v>7.2730710028018475</v>
      </c>
      <c r="L8" s="812">
        <v>6.7470533314323795</v>
      </c>
      <c r="M8" s="812">
        <v>5.9018484285636061</v>
      </c>
      <c r="N8" s="812">
        <v>5.7459287538363872</v>
      </c>
      <c r="O8" s="812">
        <v>5.5695328129586672</v>
      </c>
      <c r="P8" s="812"/>
      <c r="Q8" s="812">
        <v>3.4319018259563974</v>
      </c>
      <c r="R8" s="812">
        <v>2.2307361868716584</v>
      </c>
      <c r="S8" s="812">
        <v>3.99315</v>
      </c>
      <c r="T8" s="812">
        <v>3.6128499999999999</v>
      </c>
      <c r="U8" s="812">
        <v>3.6128499999999999</v>
      </c>
      <c r="V8" s="812">
        <v>3.7433333333333327</v>
      </c>
      <c r="W8" s="812">
        <v>1.75</v>
      </c>
      <c r="X8" s="812">
        <v>2.25</v>
      </c>
      <c r="Y8" s="812">
        <v>4.7214787428508851</v>
      </c>
      <c r="Z8" s="29">
        <v>4.5</v>
      </c>
      <c r="AA8" s="811">
        <v>5.5</v>
      </c>
      <c r="AB8" s="811">
        <v>7.5</v>
      </c>
      <c r="AC8" s="812">
        <v>3</v>
      </c>
      <c r="AD8" s="811">
        <v>7.5</v>
      </c>
      <c r="AE8" s="811">
        <v>0.4</v>
      </c>
      <c r="AF8" s="811">
        <v>1.3</v>
      </c>
      <c r="AG8" s="812">
        <v>74.571300396037714</v>
      </c>
      <c r="AH8" s="811">
        <v>1500</v>
      </c>
      <c r="AI8" s="812">
        <v>46.325000000000003</v>
      </c>
      <c r="AJ8" s="812">
        <v>12</v>
      </c>
      <c r="AK8" s="809">
        <v>25</v>
      </c>
      <c r="AL8" s="809">
        <v>7.5</v>
      </c>
      <c r="AM8" s="809">
        <v>30</v>
      </c>
      <c r="AN8" s="809">
        <v>1</v>
      </c>
      <c r="AO8" s="809">
        <v>1</v>
      </c>
      <c r="AP8" s="811">
        <v>42</v>
      </c>
      <c r="AQ8" s="19">
        <v>9.5</v>
      </c>
    </row>
    <row r="9" spans="2:43" x14ac:dyDescent="0.25">
      <c r="B9" s="667" t="s">
        <v>621</v>
      </c>
      <c r="C9" s="791" t="s">
        <v>539</v>
      </c>
      <c r="D9" s="799">
        <v>0.15</v>
      </c>
      <c r="E9" s="799">
        <v>0.15</v>
      </c>
      <c r="F9" s="799">
        <v>0.15</v>
      </c>
      <c r="G9" s="799">
        <v>0.15</v>
      </c>
      <c r="H9" s="799">
        <v>0.15</v>
      </c>
      <c r="I9" s="799">
        <v>0.15</v>
      </c>
      <c r="J9" s="799">
        <v>0.15</v>
      </c>
      <c r="K9" s="799">
        <v>0.2</v>
      </c>
      <c r="L9" s="799">
        <v>0.2</v>
      </c>
      <c r="M9" s="799">
        <v>0.2</v>
      </c>
      <c r="N9" s="799">
        <v>0.2</v>
      </c>
      <c r="O9" s="799">
        <v>0.2</v>
      </c>
      <c r="P9" s="799"/>
      <c r="Q9" s="799">
        <v>0.05</v>
      </c>
      <c r="R9" s="799">
        <v>0.05</v>
      </c>
      <c r="S9" s="799">
        <v>0.05</v>
      </c>
      <c r="T9" s="799">
        <v>0.05</v>
      </c>
      <c r="U9" s="799">
        <v>0.05</v>
      </c>
      <c r="V9" s="799">
        <v>0.05</v>
      </c>
      <c r="W9" s="799">
        <v>0.05</v>
      </c>
      <c r="X9" s="799">
        <v>0.05</v>
      </c>
      <c r="Y9" s="799">
        <v>0.2</v>
      </c>
      <c r="Z9" s="824">
        <v>0.15</v>
      </c>
      <c r="AA9" s="799">
        <v>0.15</v>
      </c>
      <c r="AB9" s="799">
        <v>0.15</v>
      </c>
      <c r="AC9" s="799">
        <v>0.05</v>
      </c>
      <c r="AD9" s="799">
        <v>0.05</v>
      </c>
      <c r="AE9" s="799">
        <v>0.05</v>
      </c>
      <c r="AF9" s="799">
        <v>0.15</v>
      </c>
      <c r="AG9" s="799">
        <v>0.1</v>
      </c>
      <c r="AH9" s="799">
        <v>0.1</v>
      </c>
      <c r="AI9" s="799">
        <v>0.1</v>
      </c>
      <c r="AJ9" s="799">
        <v>0.15</v>
      </c>
      <c r="AK9" s="799">
        <v>0.15</v>
      </c>
      <c r="AL9" s="799">
        <v>0.15</v>
      </c>
      <c r="AM9" s="799">
        <v>0.15</v>
      </c>
      <c r="AN9" s="799">
        <v>0.2</v>
      </c>
      <c r="AO9" s="799">
        <v>0.2</v>
      </c>
      <c r="AP9" s="811"/>
      <c r="AQ9" s="19"/>
    </row>
    <row r="10" spans="2:43" x14ac:dyDescent="0.25">
      <c r="B10" s="667" t="s">
        <v>622</v>
      </c>
      <c r="C10" s="791" t="s">
        <v>539</v>
      </c>
      <c r="D10" s="799">
        <v>0.04</v>
      </c>
      <c r="E10" s="799">
        <v>0.04</v>
      </c>
      <c r="F10" s="799">
        <v>0.04</v>
      </c>
      <c r="G10" s="799">
        <v>0.04</v>
      </c>
      <c r="H10" s="799">
        <v>0.04</v>
      </c>
      <c r="I10" s="799">
        <v>0.04</v>
      </c>
      <c r="J10" s="799">
        <v>0.04</v>
      </c>
      <c r="K10" s="799">
        <v>7.0000000000000007E-2</v>
      </c>
      <c r="L10" s="799">
        <v>7.0000000000000007E-2</v>
      </c>
      <c r="M10" s="799">
        <v>7.0000000000000007E-2</v>
      </c>
      <c r="N10" s="799">
        <v>7.0000000000000007E-2</v>
      </c>
      <c r="O10" s="799">
        <v>7.0000000000000007E-2</v>
      </c>
      <c r="P10" s="799"/>
      <c r="Q10" s="799">
        <v>0.05</v>
      </c>
      <c r="R10" s="799">
        <v>0.05</v>
      </c>
      <c r="S10" s="799">
        <v>0.05</v>
      </c>
      <c r="T10" s="799">
        <v>0.05</v>
      </c>
      <c r="U10" s="799">
        <v>0.05</v>
      </c>
      <c r="V10" s="799">
        <v>0.05</v>
      </c>
      <c r="W10" s="799">
        <v>0.05</v>
      </c>
      <c r="X10" s="799">
        <v>0.05</v>
      </c>
      <c r="Y10" s="799">
        <v>7.0000000000000007E-2</v>
      </c>
      <c r="Z10" s="824">
        <v>0.04</v>
      </c>
      <c r="AA10" s="799">
        <v>0.04</v>
      </c>
      <c r="AB10" s="799">
        <v>7.0000000000000007E-2</v>
      </c>
      <c r="AC10" s="799">
        <v>0.05</v>
      </c>
      <c r="AD10" s="799">
        <v>0.05</v>
      </c>
      <c r="AE10" s="799">
        <v>0.05</v>
      </c>
      <c r="AF10" s="799">
        <v>0.04</v>
      </c>
      <c r="AG10" s="799">
        <v>0.1</v>
      </c>
      <c r="AH10" s="799">
        <v>0.1</v>
      </c>
      <c r="AI10" s="799">
        <v>0.1</v>
      </c>
      <c r="AJ10" s="799">
        <v>0.15</v>
      </c>
      <c r="AK10" s="799">
        <v>0.15</v>
      </c>
      <c r="AL10" s="799">
        <v>0.15</v>
      </c>
      <c r="AM10" s="799">
        <v>0.15</v>
      </c>
      <c r="AN10" s="799">
        <v>0.2</v>
      </c>
      <c r="AO10" s="799">
        <v>0.2</v>
      </c>
      <c r="AP10" s="811"/>
      <c r="AQ10" s="19"/>
    </row>
    <row r="11" spans="2:43" x14ac:dyDescent="0.25">
      <c r="B11" s="667" t="s">
        <v>623</v>
      </c>
      <c r="C11" s="791" t="s">
        <v>539</v>
      </c>
      <c r="D11" s="800">
        <v>0.105</v>
      </c>
      <c r="E11" s="800">
        <v>0.105</v>
      </c>
      <c r="F11" s="800">
        <v>0.105</v>
      </c>
      <c r="G11" s="800">
        <v>0.105</v>
      </c>
      <c r="H11" s="800">
        <v>0.105</v>
      </c>
      <c r="I11" s="800">
        <v>0.105</v>
      </c>
      <c r="J11" s="800">
        <v>0.105</v>
      </c>
      <c r="K11" s="800">
        <v>0.105</v>
      </c>
      <c r="L11" s="800">
        <v>0.105</v>
      </c>
      <c r="M11" s="800">
        <v>0.105</v>
      </c>
      <c r="N11" s="800">
        <v>0.105</v>
      </c>
      <c r="O11" s="800">
        <v>0.105</v>
      </c>
      <c r="P11" s="800"/>
      <c r="Q11" s="800">
        <v>0.105</v>
      </c>
      <c r="R11" s="800">
        <v>0.105</v>
      </c>
      <c r="S11" s="800">
        <v>0.105</v>
      </c>
      <c r="T11" s="800">
        <v>0.105</v>
      </c>
      <c r="U11" s="800">
        <v>0.105</v>
      </c>
      <c r="V11" s="800">
        <v>0.105</v>
      </c>
      <c r="W11" s="800">
        <v>0.105</v>
      </c>
      <c r="X11" s="800">
        <v>0.105</v>
      </c>
      <c r="Y11" s="800">
        <v>0.105</v>
      </c>
      <c r="Z11" s="825">
        <v>0.105</v>
      </c>
      <c r="AA11" s="800">
        <v>0.105</v>
      </c>
      <c r="AB11" s="800">
        <v>0.105</v>
      </c>
      <c r="AC11" s="800">
        <v>0.105</v>
      </c>
      <c r="AD11" s="800">
        <v>0.105</v>
      </c>
      <c r="AE11" s="800">
        <v>0.105</v>
      </c>
      <c r="AF11" s="800">
        <v>0.105</v>
      </c>
      <c r="AG11" s="800">
        <v>0.26</v>
      </c>
      <c r="AH11" s="800">
        <v>0.105</v>
      </c>
      <c r="AI11" s="800">
        <v>0.26</v>
      </c>
      <c r="AJ11" s="800"/>
      <c r="AK11" s="800"/>
      <c r="AL11" s="800"/>
      <c r="AM11" s="800"/>
      <c r="AN11" s="800"/>
      <c r="AO11" s="800"/>
      <c r="AP11" s="811"/>
      <c r="AQ11" s="19"/>
    </row>
    <row r="12" spans="2:43" x14ac:dyDescent="0.25">
      <c r="B12" s="667" t="s">
        <v>411</v>
      </c>
      <c r="C12" s="791" t="s">
        <v>539</v>
      </c>
      <c r="D12" s="799">
        <v>0.3</v>
      </c>
      <c r="E12" s="799">
        <v>0.3</v>
      </c>
      <c r="F12" s="799">
        <v>0.3</v>
      </c>
      <c r="G12" s="799">
        <v>0.3</v>
      </c>
      <c r="H12" s="799">
        <v>0.3</v>
      </c>
      <c r="I12" s="799">
        <v>0.3</v>
      </c>
      <c r="J12" s="799">
        <v>0.3</v>
      </c>
      <c r="K12" s="799">
        <v>0.3</v>
      </c>
      <c r="L12" s="799">
        <v>0.3</v>
      </c>
      <c r="M12" s="799">
        <v>0.3</v>
      </c>
      <c r="N12" s="799">
        <v>0.3</v>
      </c>
      <c r="O12" s="799">
        <v>0.3</v>
      </c>
      <c r="P12" s="799"/>
      <c r="Q12" s="799">
        <v>0.15</v>
      </c>
      <c r="R12" s="799">
        <v>0.2</v>
      </c>
      <c r="S12" s="799">
        <v>0.15</v>
      </c>
      <c r="T12" s="799">
        <v>0.15</v>
      </c>
      <c r="U12" s="799">
        <v>0.15</v>
      </c>
      <c r="V12" s="799">
        <v>0.15</v>
      </c>
      <c r="W12" s="799">
        <v>0.15</v>
      </c>
      <c r="X12" s="799">
        <v>0.15</v>
      </c>
      <c r="Y12" s="800"/>
      <c r="Z12" s="825"/>
      <c r="AA12" s="800"/>
      <c r="AB12" s="800"/>
      <c r="AC12" s="800"/>
      <c r="AD12" s="800"/>
      <c r="AE12" s="800"/>
      <c r="AF12" s="800"/>
      <c r="AG12" s="800"/>
      <c r="AH12" s="800"/>
      <c r="AI12" s="800"/>
      <c r="AJ12" s="800"/>
      <c r="AK12" s="800"/>
      <c r="AL12" s="800"/>
      <c r="AM12" s="800"/>
      <c r="AN12" s="800"/>
      <c r="AO12" s="800"/>
      <c r="AP12" s="811"/>
      <c r="AQ12" s="19"/>
    </row>
    <row r="13" spans="2:43" x14ac:dyDescent="0.25">
      <c r="B13" s="667" t="s">
        <v>415</v>
      </c>
      <c r="C13" s="791" t="s">
        <v>539</v>
      </c>
      <c r="D13" s="799">
        <v>0.2</v>
      </c>
      <c r="E13" s="799">
        <v>0.2</v>
      </c>
      <c r="F13" s="799">
        <v>0.2</v>
      </c>
      <c r="G13" s="799">
        <v>0.2</v>
      </c>
      <c r="H13" s="799">
        <v>0.2</v>
      </c>
      <c r="I13" s="799">
        <v>0.2</v>
      </c>
      <c r="J13" s="799">
        <v>0.2</v>
      </c>
      <c r="K13" s="799">
        <v>0.2</v>
      </c>
      <c r="L13" s="799">
        <v>0.2</v>
      </c>
      <c r="M13" s="799">
        <v>0.2</v>
      </c>
      <c r="N13" s="799">
        <v>0.2</v>
      </c>
      <c r="O13" s="799">
        <v>0.2</v>
      </c>
      <c r="P13" s="799"/>
      <c r="Q13" s="799">
        <v>0.1</v>
      </c>
      <c r="R13" s="799">
        <v>0.1</v>
      </c>
      <c r="S13" s="799">
        <v>0.1</v>
      </c>
      <c r="T13" s="799">
        <v>0.1</v>
      </c>
      <c r="U13" s="799">
        <v>0.1</v>
      </c>
      <c r="V13" s="799">
        <v>0.1</v>
      </c>
      <c r="W13" s="799">
        <v>0.1</v>
      </c>
      <c r="X13" s="799">
        <v>0.1</v>
      </c>
      <c r="Y13" s="800"/>
      <c r="Z13" s="825"/>
      <c r="AA13" s="800"/>
      <c r="AB13" s="800"/>
      <c r="AC13" s="800"/>
      <c r="AD13" s="800"/>
      <c r="AE13" s="800"/>
      <c r="AF13" s="800"/>
      <c r="AG13" s="800"/>
      <c r="AH13" s="800"/>
      <c r="AI13" s="800"/>
      <c r="AJ13" s="800"/>
      <c r="AK13" s="800"/>
      <c r="AL13" s="800"/>
      <c r="AM13" s="800"/>
      <c r="AN13" s="800"/>
      <c r="AO13" s="800"/>
      <c r="AP13" s="811"/>
      <c r="AQ13" s="19"/>
    </row>
    <row r="14" spans="2:43" x14ac:dyDescent="0.25">
      <c r="B14" s="670" t="s">
        <v>412</v>
      </c>
      <c r="C14" s="791" t="s">
        <v>539</v>
      </c>
      <c r="D14" s="801">
        <v>7.25</v>
      </c>
      <c r="E14" s="801">
        <v>6.5</v>
      </c>
      <c r="F14" s="801">
        <v>6.75</v>
      </c>
      <c r="G14" s="801">
        <v>6</v>
      </c>
      <c r="H14" s="801">
        <v>7</v>
      </c>
      <c r="I14" s="801">
        <v>6.5</v>
      </c>
      <c r="J14" s="801">
        <v>5.25</v>
      </c>
      <c r="K14" s="801">
        <v>5.75</v>
      </c>
      <c r="L14" s="801">
        <v>5.5</v>
      </c>
      <c r="M14" s="801">
        <v>4.75</v>
      </c>
      <c r="N14" s="801">
        <v>4.5</v>
      </c>
      <c r="O14" s="801">
        <v>4.5</v>
      </c>
      <c r="P14" s="801"/>
      <c r="Q14" s="801">
        <v>3.25</v>
      </c>
      <c r="R14" s="801">
        <v>2</v>
      </c>
      <c r="S14" s="801">
        <v>3.75</v>
      </c>
      <c r="T14" s="801">
        <v>3.5</v>
      </c>
      <c r="U14" s="801">
        <v>3.5</v>
      </c>
      <c r="V14" s="801">
        <v>3.5</v>
      </c>
      <c r="W14" s="801">
        <v>1.75</v>
      </c>
      <c r="X14" s="801">
        <v>2.25</v>
      </c>
      <c r="Y14" s="801">
        <v>3.75</v>
      </c>
      <c r="Z14" s="826">
        <v>3.75</v>
      </c>
      <c r="AA14" s="801">
        <v>4.75</v>
      </c>
      <c r="AB14" s="801">
        <v>6.5</v>
      </c>
      <c r="AC14" s="801">
        <v>2.75</v>
      </c>
      <c r="AD14" s="801">
        <v>7.25</v>
      </c>
      <c r="AE14" s="801">
        <v>0.5</v>
      </c>
      <c r="AF14" s="801">
        <v>1</v>
      </c>
      <c r="AG14" s="801">
        <v>67</v>
      </c>
      <c r="AH14" s="833">
        <v>1350</v>
      </c>
      <c r="AI14" s="801">
        <v>41.75</v>
      </c>
      <c r="AJ14" s="801">
        <v>10.25</v>
      </c>
      <c r="AK14" s="801">
        <v>21.25</v>
      </c>
      <c r="AL14" s="801">
        <v>6.375</v>
      </c>
      <c r="AM14" s="801">
        <v>25.5</v>
      </c>
      <c r="AN14" s="801">
        <v>0.8</v>
      </c>
      <c r="AO14" s="801">
        <v>0.8</v>
      </c>
      <c r="AP14" s="834"/>
      <c r="AQ14" s="671"/>
    </row>
    <row r="15" spans="2:43" x14ac:dyDescent="0.25">
      <c r="B15" s="670" t="s">
        <v>414</v>
      </c>
      <c r="C15" s="791" t="s">
        <v>539</v>
      </c>
      <c r="D15" s="801">
        <v>8.75</v>
      </c>
      <c r="E15" s="801">
        <v>8</v>
      </c>
      <c r="F15" s="801">
        <v>8.25</v>
      </c>
      <c r="G15" s="801">
        <v>7.5</v>
      </c>
      <c r="H15" s="801">
        <v>8.75</v>
      </c>
      <c r="I15" s="801">
        <v>7.75</v>
      </c>
      <c r="J15" s="801">
        <v>6.25</v>
      </c>
      <c r="K15" s="801">
        <v>7.75</v>
      </c>
      <c r="L15" s="801">
        <v>7.25</v>
      </c>
      <c r="M15" s="801">
        <v>6.25</v>
      </c>
      <c r="N15" s="801">
        <v>6.25</v>
      </c>
      <c r="O15" s="801">
        <v>6</v>
      </c>
      <c r="P15" s="801"/>
      <c r="Q15" s="801">
        <v>3.5</v>
      </c>
      <c r="R15" s="801">
        <v>2.25</v>
      </c>
      <c r="S15" s="801">
        <v>4.25</v>
      </c>
      <c r="T15" s="801">
        <v>3.75</v>
      </c>
      <c r="U15" s="801">
        <v>3.75</v>
      </c>
      <c r="V15" s="801">
        <v>4</v>
      </c>
      <c r="W15" s="801">
        <v>1.75</v>
      </c>
      <c r="X15" s="801">
        <v>2.25</v>
      </c>
      <c r="Y15" s="801">
        <v>5</v>
      </c>
      <c r="Z15" s="826">
        <v>4.75</v>
      </c>
      <c r="AA15" s="801">
        <v>5.75</v>
      </c>
      <c r="AB15" s="801">
        <v>8</v>
      </c>
      <c r="AC15" s="801">
        <v>3.25</v>
      </c>
      <c r="AD15" s="801">
        <v>8</v>
      </c>
      <c r="AE15" s="801">
        <v>0.5</v>
      </c>
      <c r="AF15" s="801">
        <v>1.25</v>
      </c>
      <c r="AG15" s="801">
        <v>82</v>
      </c>
      <c r="AH15" s="833">
        <v>1650</v>
      </c>
      <c r="AI15" s="801">
        <v>51</v>
      </c>
      <c r="AJ15" s="801">
        <v>13.75</v>
      </c>
      <c r="AK15" s="801">
        <v>28.749999999999996</v>
      </c>
      <c r="AL15" s="801">
        <v>8.625</v>
      </c>
      <c r="AM15" s="801">
        <v>34.5</v>
      </c>
      <c r="AN15" s="801">
        <v>1.2000000000000002</v>
      </c>
      <c r="AO15" s="801">
        <v>1.2000000000000002</v>
      </c>
      <c r="AP15" s="834"/>
      <c r="AQ15" s="671"/>
    </row>
    <row r="16" spans="2:43" x14ac:dyDescent="0.25">
      <c r="B16" s="670" t="s">
        <v>624</v>
      </c>
      <c r="C16" s="791" t="s">
        <v>539</v>
      </c>
      <c r="D16" s="801">
        <v>6</v>
      </c>
      <c r="E16" s="801">
        <v>5.5</v>
      </c>
      <c r="F16" s="801">
        <v>5.5</v>
      </c>
      <c r="G16" s="801">
        <v>5</v>
      </c>
      <c r="H16" s="801">
        <v>5.75</v>
      </c>
      <c r="I16" s="801">
        <v>5.25</v>
      </c>
      <c r="J16" s="801">
        <v>4.25</v>
      </c>
      <c r="K16" s="801">
        <v>5</v>
      </c>
      <c r="L16" s="801">
        <v>4.75</v>
      </c>
      <c r="M16" s="801">
        <v>4.25</v>
      </c>
      <c r="N16" s="801">
        <v>4</v>
      </c>
      <c r="O16" s="801">
        <v>4</v>
      </c>
      <c r="P16" s="801"/>
      <c r="Q16" s="801">
        <v>3</v>
      </c>
      <c r="R16" s="801">
        <v>1.75</v>
      </c>
      <c r="S16" s="801">
        <v>3.5</v>
      </c>
      <c r="T16" s="801">
        <v>3</v>
      </c>
      <c r="U16" s="801">
        <v>3</v>
      </c>
      <c r="V16" s="801">
        <v>3.25</v>
      </c>
      <c r="W16" s="801">
        <v>1.5</v>
      </c>
      <c r="X16" s="801">
        <v>2</v>
      </c>
      <c r="Y16" s="801"/>
      <c r="Z16" s="826"/>
      <c r="AA16" s="801"/>
      <c r="AB16" s="801"/>
      <c r="AC16" s="801"/>
      <c r="AD16" s="801"/>
      <c r="AE16" s="801"/>
      <c r="AF16" s="801"/>
      <c r="AG16" s="801"/>
      <c r="AH16" s="833"/>
      <c r="AI16" s="801"/>
      <c r="AJ16" s="801"/>
      <c r="AK16" s="801"/>
      <c r="AL16" s="801"/>
      <c r="AM16" s="801"/>
      <c r="AN16" s="801"/>
      <c r="AO16" s="801"/>
      <c r="AP16" s="834"/>
      <c r="AQ16" s="671"/>
    </row>
    <row r="17" spans="2:43" x14ac:dyDescent="0.25">
      <c r="B17" s="670" t="s">
        <v>415</v>
      </c>
      <c r="C17" s="791" t="s">
        <v>539</v>
      </c>
      <c r="D17" s="801">
        <v>10.25</v>
      </c>
      <c r="E17" s="801">
        <v>9.25</v>
      </c>
      <c r="F17" s="801">
        <v>9.5</v>
      </c>
      <c r="G17" s="801">
        <v>8.5</v>
      </c>
      <c r="H17" s="801">
        <v>10</v>
      </c>
      <c r="I17" s="801">
        <v>9</v>
      </c>
      <c r="J17" s="801">
        <v>7.25</v>
      </c>
      <c r="K17" s="801">
        <v>8.75</v>
      </c>
      <c r="L17" s="801">
        <v>8</v>
      </c>
      <c r="M17" s="801">
        <v>7</v>
      </c>
      <c r="N17" s="801">
        <v>7</v>
      </c>
      <c r="O17" s="801">
        <v>6.75</v>
      </c>
      <c r="P17" s="801"/>
      <c r="Q17" s="801">
        <v>3.75</v>
      </c>
      <c r="R17" s="801">
        <v>2.5</v>
      </c>
      <c r="S17" s="801">
        <v>4.5</v>
      </c>
      <c r="T17" s="801">
        <v>4</v>
      </c>
      <c r="U17" s="801">
        <v>4</v>
      </c>
      <c r="V17" s="801">
        <v>4</v>
      </c>
      <c r="W17" s="801">
        <v>2</v>
      </c>
      <c r="X17" s="801">
        <v>2.5</v>
      </c>
      <c r="Y17" s="801"/>
      <c r="Z17" s="826"/>
      <c r="AA17" s="801"/>
      <c r="AB17" s="801"/>
      <c r="AC17" s="801"/>
      <c r="AD17" s="801"/>
      <c r="AE17" s="801"/>
      <c r="AF17" s="801"/>
      <c r="AG17" s="801"/>
      <c r="AH17" s="833"/>
      <c r="AI17" s="801"/>
      <c r="AJ17" s="801"/>
      <c r="AK17" s="801"/>
      <c r="AL17" s="801"/>
      <c r="AM17" s="801"/>
      <c r="AN17" s="801"/>
      <c r="AO17" s="801"/>
      <c r="AP17" s="834"/>
      <c r="AQ17" s="671"/>
    </row>
    <row r="18" spans="2:43" x14ac:dyDescent="0.25">
      <c r="B18" s="667"/>
      <c r="C18" s="789"/>
      <c r="D18" s="798"/>
      <c r="E18" s="812"/>
      <c r="F18" s="812"/>
      <c r="G18" s="812"/>
      <c r="H18" s="812"/>
      <c r="I18" s="812"/>
      <c r="J18" s="812"/>
      <c r="K18" s="812"/>
      <c r="L18" s="812"/>
      <c r="M18" s="812"/>
      <c r="N18" s="812"/>
      <c r="O18" s="812"/>
      <c r="P18" s="812"/>
      <c r="Q18" s="812"/>
      <c r="R18" s="812"/>
      <c r="S18" s="812"/>
      <c r="T18" s="812"/>
      <c r="U18" s="812"/>
      <c r="V18" s="812"/>
      <c r="W18" s="812"/>
      <c r="X18" s="812"/>
      <c r="Y18" s="756"/>
      <c r="Z18" s="29"/>
      <c r="AA18" s="811"/>
      <c r="AB18" s="811"/>
      <c r="AC18" s="811"/>
      <c r="AD18" s="812"/>
      <c r="AE18" s="746"/>
      <c r="AF18" s="746"/>
      <c r="AG18" s="812"/>
      <c r="AH18" s="746"/>
      <c r="AI18" s="812"/>
      <c r="AJ18" s="812"/>
      <c r="AK18" s="811"/>
      <c r="AL18" s="746"/>
      <c r="AM18" s="811"/>
      <c r="AN18" s="746"/>
      <c r="AO18" s="746"/>
      <c r="AP18" s="811"/>
      <c r="AQ18" s="19"/>
    </row>
    <row r="19" spans="2:43" x14ac:dyDescent="0.25">
      <c r="B19" s="667" t="s">
        <v>625</v>
      </c>
      <c r="C19" s="791" t="s">
        <v>539</v>
      </c>
      <c r="D19" s="802">
        <v>4.3</v>
      </c>
      <c r="E19" s="802">
        <v>4.3</v>
      </c>
      <c r="F19" s="802">
        <v>4.3</v>
      </c>
      <c r="G19" s="802">
        <v>4.3</v>
      </c>
      <c r="H19" s="802">
        <v>4.3</v>
      </c>
      <c r="I19" s="802">
        <v>4.3</v>
      </c>
      <c r="J19" s="802">
        <v>4.3</v>
      </c>
      <c r="K19" s="802">
        <v>3.6</v>
      </c>
      <c r="L19" s="802">
        <v>3.6</v>
      </c>
      <c r="M19" s="802">
        <v>3.6</v>
      </c>
      <c r="N19" s="802">
        <v>3.6</v>
      </c>
      <c r="O19" s="802">
        <v>3.4</v>
      </c>
      <c r="P19" s="802"/>
      <c r="Q19" s="812">
        <v>0</v>
      </c>
      <c r="R19" s="812">
        <v>0</v>
      </c>
      <c r="S19" s="812">
        <v>0</v>
      </c>
      <c r="T19" s="812">
        <v>0</v>
      </c>
      <c r="U19" s="812">
        <v>0</v>
      </c>
      <c r="V19" s="812">
        <v>0</v>
      </c>
      <c r="W19" s="812">
        <v>0</v>
      </c>
      <c r="X19" s="812">
        <v>0</v>
      </c>
      <c r="Y19" s="812">
        <v>2.7</v>
      </c>
      <c r="Z19" s="24">
        <v>4.3</v>
      </c>
      <c r="AA19" s="812">
        <v>4.3</v>
      </c>
      <c r="AB19" s="812"/>
      <c r="AC19" s="812"/>
      <c r="AD19" s="812"/>
      <c r="AE19" s="746"/>
      <c r="AF19" s="746"/>
      <c r="AG19" s="812"/>
      <c r="AH19" s="746"/>
      <c r="AI19" s="812"/>
      <c r="AJ19" s="812"/>
      <c r="AK19" s="811"/>
      <c r="AL19" s="746"/>
      <c r="AM19" s="811"/>
      <c r="AN19" s="746"/>
      <c r="AO19" s="746"/>
      <c r="AP19" s="811"/>
      <c r="AQ19" s="19"/>
    </row>
    <row r="20" spans="2:43" x14ac:dyDescent="0.25">
      <c r="B20" s="670" t="s">
        <v>626</v>
      </c>
      <c r="C20" s="791" t="s">
        <v>495</v>
      </c>
      <c r="D20" s="802">
        <v>48</v>
      </c>
      <c r="E20" s="802">
        <v>48</v>
      </c>
      <c r="F20" s="802">
        <v>48</v>
      </c>
      <c r="G20" s="802">
        <v>48</v>
      </c>
      <c r="H20" s="802">
        <v>48</v>
      </c>
      <c r="I20" s="802">
        <v>48</v>
      </c>
      <c r="J20" s="802">
        <v>48</v>
      </c>
      <c r="K20" s="802">
        <v>57</v>
      </c>
      <c r="L20" s="802">
        <v>57</v>
      </c>
      <c r="M20" s="802">
        <v>57</v>
      </c>
      <c r="N20" s="802">
        <v>57</v>
      </c>
      <c r="O20" s="802">
        <v>57</v>
      </c>
      <c r="P20" s="802"/>
      <c r="Q20" s="812">
        <v>0</v>
      </c>
      <c r="R20" s="812">
        <v>0</v>
      </c>
      <c r="S20" s="812">
        <v>0</v>
      </c>
      <c r="T20" s="812">
        <v>0</v>
      </c>
      <c r="U20" s="812">
        <v>0</v>
      </c>
      <c r="V20" s="812">
        <v>0</v>
      </c>
      <c r="W20" s="812">
        <v>0</v>
      </c>
      <c r="X20" s="812">
        <v>0</v>
      </c>
      <c r="Y20" s="812">
        <v>68.399999999999991</v>
      </c>
      <c r="Z20" s="24">
        <v>48</v>
      </c>
      <c r="AA20" s="812">
        <v>48</v>
      </c>
      <c r="AB20" s="812"/>
      <c r="AC20" s="812"/>
      <c r="AD20" s="812"/>
      <c r="AE20" s="746"/>
      <c r="AF20" s="746"/>
      <c r="AG20" s="812"/>
      <c r="AH20" s="746"/>
      <c r="AI20" s="812"/>
      <c r="AJ20" s="812"/>
      <c r="AK20" s="811"/>
      <c r="AL20" s="746"/>
      <c r="AM20" s="811"/>
      <c r="AN20" s="746"/>
      <c r="AO20" s="746"/>
      <c r="AP20" s="811"/>
      <c r="AQ20" s="19"/>
    </row>
    <row r="21" spans="2:43" x14ac:dyDescent="0.25">
      <c r="B21" s="667" t="s">
        <v>627</v>
      </c>
      <c r="C21" s="789" t="s">
        <v>449</v>
      </c>
      <c r="D21" s="803">
        <v>0.83</v>
      </c>
      <c r="E21" s="803">
        <v>0.83</v>
      </c>
      <c r="F21" s="803">
        <v>0.83</v>
      </c>
      <c r="G21" s="803">
        <v>0.83</v>
      </c>
      <c r="H21" s="803">
        <v>0.83</v>
      </c>
      <c r="I21" s="803">
        <v>0.83</v>
      </c>
      <c r="J21" s="803">
        <v>0.83</v>
      </c>
      <c r="K21" s="803">
        <v>0.89</v>
      </c>
      <c r="L21" s="803">
        <v>0.89</v>
      </c>
      <c r="M21" s="803">
        <v>0.96</v>
      </c>
      <c r="N21" s="803">
        <v>0.96</v>
      </c>
      <c r="O21" s="803">
        <v>0.96</v>
      </c>
      <c r="P21" s="803"/>
      <c r="Q21" s="803">
        <v>0</v>
      </c>
      <c r="R21" s="803">
        <v>0</v>
      </c>
      <c r="S21" s="803">
        <v>0</v>
      </c>
      <c r="T21" s="803">
        <v>0</v>
      </c>
      <c r="U21" s="803">
        <v>0</v>
      </c>
      <c r="V21" s="803">
        <v>0</v>
      </c>
      <c r="W21" s="803">
        <v>0</v>
      </c>
      <c r="X21" s="803">
        <v>0</v>
      </c>
      <c r="Y21" s="803">
        <v>0</v>
      </c>
      <c r="Z21" s="827">
        <v>0.83</v>
      </c>
      <c r="AA21" s="803">
        <v>0.83</v>
      </c>
      <c r="AB21" s="812"/>
      <c r="AC21" s="812"/>
      <c r="AD21" s="812"/>
      <c r="AE21" s="746"/>
      <c r="AF21" s="746"/>
      <c r="AG21" s="803"/>
      <c r="AH21" s="746"/>
      <c r="AI21" s="803"/>
      <c r="AJ21" s="803"/>
      <c r="AK21" s="811"/>
      <c r="AL21" s="746"/>
      <c r="AM21" s="811"/>
      <c r="AN21" s="746"/>
      <c r="AO21" s="746"/>
      <c r="AP21" s="811"/>
      <c r="AQ21" s="19"/>
    </row>
    <row r="22" spans="2:43" x14ac:dyDescent="0.25">
      <c r="B22" s="673" t="s">
        <v>628</v>
      </c>
      <c r="C22" s="792" t="s">
        <v>425</v>
      </c>
      <c r="D22" s="804">
        <v>1258.8119999999999</v>
      </c>
      <c r="E22" s="804">
        <v>1146.3119999999999</v>
      </c>
      <c r="F22" s="804">
        <v>1278.3119999999999</v>
      </c>
      <c r="G22" s="804">
        <v>1155.3119999999999</v>
      </c>
      <c r="H22" s="804">
        <v>1242.3119999999999</v>
      </c>
      <c r="I22" s="804">
        <v>1165.8119999999999</v>
      </c>
      <c r="J22" s="804">
        <v>1032.3119999999999</v>
      </c>
      <c r="K22" s="804">
        <v>935.87800000000004</v>
      </c>
      <c r="L22" s="804">
        <v>1018.628</v>
      </c>
      <c r="M22" s="804">
        <v>819.24199999999996</v>
      </c>
      <c r="N22" s="804">
        <v>903.49199999999996</v>
      </c>
      <c r="O22" s="804">
        <v>775.548</v>
      </c>
      <c r="P22" s="804"/>
      <c r="Q22" s="804">
        <v>1137.5</v>
      </c>
      <c r="R22" s="804">
        <v>700</v>
      </c>
      <c r="S22" s="804">
        <v>693.75</v>
      </c>
      <c r="T22" s="804">
        <v>658</v>
      </c>
      <c r="U22" s="804">
        <v>647.5</v>
      </c>
      <c r="V22" s="804">
        <v>647.5</v>
      </c>
      <c r="W22" s="804">
        <v>700</v>
      </c>
      <c r="X22" s="804">
        <v>900</v>
      </c>
      <c r="Y22" s="804">
        <v>491.25</v>
      </c>
      <c r="Z22" s="88">
        <v>715.06200000000001</v>
      </c>
      <c r="AA22" s="804">
        <v>931.31200000000001</v>
      </c>
      <c r="AB22" s="804">
        <v>1072.5</v>
      </c>
      <c r="AC22" s="804">
        <v>715</v>
      </c>
      <c r="AD22" s="804">
        <v>1051.25</v>
      </c>
      <c r="AE22" s="804">
        <v>1450</v>
      </c>
      <c r="AF22" s="804">
        <v>1100</v>
      </c>
      <c r="AG22" s="804">
        <v>1451.22</v>
      </c>
      <c r="AH22" s="804">
        <v>11069.999999999998</v>
      </c>
      <c r="AI22" s="804">
        <v>7097.5</v>
      </c>
      <c r="AJ22" s="804">
        <v>4202.5</v>
      </c>
      <c r="AK22" s="804">
        <v>17000</v>
      </c>
      <c r="AL22" s="804">
        <v>15937.5</v>
      </c>
      <c r="AM22" s="804">
        <v>89250</v>
      </c>
      <c r="AN22" s="804">
        <v>58400</v>
      </c>
      <c r="AO22" s="804">
        <v>235142.40000000002</v>
      </c>
      <c r="AP22" s="834"/>
      <c r="AQ22" s="671"/>
    </row>
    <row r="23" spans="2:43" x14ac:dyDescent="0.25">
      <c r="B23" s="674" t="s">
        <v>629</v>
      </c>
      <c r="C23" s="793" t="s">
        <v>425</v>
      </c>
      <c r="D23" s="805">
        <v>1483.8119999999999</v>
      </c>
      <c r="E23" s="805">
        <v>1371.3119999999999</v>
      </c>
      <c r="F23" s="805">
        <v>1524.3119999999999</v>
      </c>
      <c r="G23" s="805">
        <v>1401.3119999999999</v>
      </c>
      <c r="H23" s="805">
        <v>1510.0619999999999</v>
      </c>
      <c r="I23" s="805">
        <v>1357.0619999999999</v>
      </c>
      <c r="J23" s="805">
        <v>1196.3119999999999</v>
      </c>
      <c r="K23" s="805">
        <v>1197.8779999999999</v>
      </c>
      <c r="L23" s="805">
        <v>1284.6279999999999</v>
      </c>
      <c r="M23" s="805">
        <v>1015.742</v>
      </c>
      <c r="N23" s="805">
        <v>1178.242</v>
      </c>
      <c r="O23" s="805">
        <v>972.048</v>
      </c>
      <c r="P23" s="805"/>
      <c r="Q23" s="805">
        <v>1225</v>
      </c>
      <c r="R23" s="805">
        <v>787.5</v>
      </c>
      <c r="S23" s="805">
        <v>786.25</v>
      </c>
      <c r="T23" s="805">
        <v>705</v>
      </c>
      <c r="U23" s="805">
        <v>693.75</v>
      </c>
      <c r="V23" s="805">
        <v>740</v>
      </c>
      <c r="W23" s="805">
        <v>700</v>
      </c>
      <c r="X23" s="805">
        <v>900</v>
      </c>
      <c r="Y23" s="805">
        <v>655</v>
      </c>
      <c r="Z23" s="80">
        <v>860.06200000000001</v>
      </c>
      <c r="AA23" s="805">
        <v>1091.3119999999999</v>
      </c>
      <c r="AB23" s="805">
        <v>1320</v>
      </c>
      <c r="AC23" s="805">
        <v>845</v>
      </c>
      <c r="AD23" s="805">
        <v>1160</v>
      </c>
      <c r="AE23" s="805">
        <v>1450</v>
      </c>
      <c r="AF23" s="805">
        <v>1375</v>
      </c>
      <c r="AG23" s="805">
        <v>1776.1200000000001</v>
      </c>
      <c r="AH23" s="805">
        <v>13529.999999999998</v>
      </c>
      <c r="AI23" s="805">
        <v>8670</v>
      </c>
      <c r="AJ23" s="805">
        <v>5637.5</v>
      </c>
      <c r="AK23" s="805">
        <v>22999.999999999996</v>
      </c>
      <c r="AL23" s="805">
        <v>21562.5</v>
      </c>
      <c r="AM23" s="805">
        <v>120750</v>
      </c>
      <c r="AN23" s="805">
        <v>87600.000000000015</v>
      </c>
      <c r="AO23" s="805">
        <v>352713.60000000003</v>
      </c>
      <c r="AP23" s="834"/>
      <c r="AQ23" s="671"/>
    </row>
    <row r="24" spans="2:43" x14ac:dyDescent="0.25">
      <c r="B24" s="670" t="s">
        <v>624</v>
      </c>
      <c r="C24" s="793" t="s">
        <v>425</v>
      </c>
      <c r="D24" s="806">
        <v>1071.3119999999999</v>
      </c>
      <c r="E24" s="806">
        <v>996.31200000000001</v>
      </c>
      <c r="F24" s="806">
        <v>1073.3119999999999</v>
      </c>
      <c r="G24" s="806">
        <v>991.31200000000001</v>
      </c>
      <c r="H24" s="806">
        <v>1051.0619999999999</v>
      </c>
      <c r="I24" s="806">
        <v>974.56200000000001</v>
      </c>
      <c r="J24" s="806">
        <v>868.31200000000001</v>
      </c>
      <c r="K24" s="806">
        <v>837.62800000000004</v>
      </c>
      <c r="L24" s="806">
        <v>904.62800000000004</v>
      </c>
      <c r="M24" s="806">
        <v>753.74199999999996</v>
      </c>
      <c r="N24" s="806">
        <v>824.99199999999996</v>
      </c>
      <c r="O24" s="806">
        <v>710.048</v>
      </c>
      <c r="P24" s="806"/>
      <c r="Q24" s="806">
        <v>1050</v>
      </c>
      <c r="R24" s="806">
        <v>612.5</v>
      </c>
      <c r="S24" s="806">
        <v>647.5</v>
      </c>
      <c r="T24" s="806">
        <v>564</v>
      </c>
      <c r="U24" s="806">
        <v>555</v>
      </c>
      <c r="V24" s="806">
        <v>601.25</v>
      </c>
      <c r="W24" s="806">
        <v>600</v>
      </c>
      <c r="X24" s="806">
        <v>800</v>
      </c>
      <c r="Y24" s="805"/>
      <c r="Z24" s="80"/>
      <c r="AA24" s="805"/>
      <c r="AB24" s="805"/>
      <c r="AC24" s="805"/>
      <c r="AD24" s="805"/>
      <c r="AE24" s="805"/>
      <c r="AF24" s="805"/>
      <c r="AG24" s="805"/>
      <c r="AH24" s="805"/>
      <c r="AI24" s="805"/>
      <c r="AJ24" s="805"/>
      <c r="AK24" s="805"/>
      <c r="AL24" s="805"/>
      <c r="AM24" s="805"/>
      <c r="AN24" s="805"/>
      <c r="AO24" s="805"/>
      <c r="AP24" s="834"/>
      <c r="AQ24" s="671"/>
    </row>
    <row r="25" spans="2:43" x14ac:dyDescent="0.25">
      <c r="B25" s="670" t="s">
        <v>415</v>
      </c>
      <c r="C25" s="793" t="s">
        <v>425</v>
      </c>
      <c r="D25" s="806">
        <v>1708.8119999999999</v>
      </c>
      <c r="E25" s="806">
        <v>1558.8119999999999</v>
      </c>
      <c r="F25" s="806">
        <v>1729.3119999999999</v>
      </c>
      <c r="G25" s="806">
        <v>1565.3119999999999</v>
      </c>
      <c r="H25" s="806">
        <v>1701.3119999999999</v>
      </c>
      <c r="I25" s="806">
        <v>1548.3119999999999</v>
      </c>
      <c r="J25" s="806">
        <v>1360.3119999999999</v>
      </c>
      <c r="K25" s="806">
        <v>1328.8779999999999</v>
      </c>
      <c r="L25" s="806">
        <v>1398.6279999999999</v>
      </c>
      <c r="M25" s="806">
        <v>1113.992</v>
      </c>
      <c r="N25" s="806">
        <v>1295.992</v>
      </c>
      <c r="O25" s="806">
        <v>1070.298</v>
      </c>
      <c r="P25" s="806"/>
      <c r="Q25" s="806">
        <v>1312.5</v>
      </c>
      <c r="R25" s="806">
        <v>875</v>
      </c>
      <c r="S25" s="806">
        <v>832.5</v>
      </c>
      <c r="T25" s="806">
        <v>752</v>
      </c>
      <c r="U25" s="806">
        <v>740</v>
      </c>
      <c r="V25" s="806">
        <v>740</v>
      </c>
      <c r="W25" s="806">
        <v>800</v>
      </c>
      <c r="X25" s="806">
        <v>1000</v>
      </c>
      <c r="Y25" s="805"/>
      <c r="Z25" s="80"/>
      <c r="AA25" s="805"/>
      <c r="AB25" s="805"/>
      <c r="AC25" s="805"/>
      <c r="AD25" s="805"/>
      <c r="AE25" s="805"/>
      <c r="AF25" s="805"/>
      <c r="AG25" s="805"/>
      <c r="AH25" s="805"/>
      <c r="AI25" s="805"/>
      <c r="AJ25" s="805"/>
      <c r="AK25" s="805"/>
      <c r="AL25" s="805"/>
      <c r="AM25" s="805"/>
      <c r="AN25" s="805"/>
      <c r="AO25" s="805"/>
      <c r="AP25" s="834"/>
      <c r="AQ25" s="671"/>
    </row>
    <row r="26" spans="2:43" x14ac:dyDescent="0.25">
      <c r="B26" s="675" t="s">
        <v>630</v>
      </c>
      <c r="C26" s="793" t="s">
        <v>425</v>
      </c>
      <c r="D26" s="439">
        <v>1447.264645083593</v>
      </c>
      <c r="E26" s="439">
        <v>1327.4428213875167</v>
      </c>
      <c r="F26" s="439">
        <v>1455.8552173475225</v>
      </c>
      <c r="G26" s="439">
        <v>1335.2266724622052</v>
      </c>
      <c r="H26" s="439">
        <v>1447.0119811934774</v>
      </c>
      <c r="I26" s="439">
        <v>1327.2138845912025</v>
      </c>
      <c r="J26" s="439">
        <v>1160.6394715928743</v>
      </c>
      <c r="K26" s="439">
        <v>1135.4003013670419</v>
      </c>
      <c r="L26" s="439">
        <v>1208.1801063777216</v>
      </c>
      <c r="M26" s="439">
        <v>970.13414414183239</v>
      </c>
      <c r="N26" s="439">
        <v>1099.1028143523129</v>
      </c>
      <c r="O26" s="439">
        <v>915.65679849758544</v>
      </c>
      <c r="P26" s="439"/>
      <c r="Q26" s="439">
        <v>1201.165639084739</v>
      </c>
      <c r="R26" s="439">
        <v>780.7576654050805</v>
      </c>
      <c r="S26" s="439">
        <v>738.73275000000001</v>
      </c>
      <c r="T26" s="439">
        <v>679.21579999999994</v>
      </c>
      <c r="U26" s="439">
        <v>668.37725</v>
      </c>
      <c r="V26" s="439">
        <v>692.51666666666654</v>
      </c>
      <c r="W26" s="439">
        <v>700</v>
      </c>
      <c r="X26" s="439">
        <v>900</v>
      </c>
      <c r="Y26" s="439">
        <v>618.51371531346592</v>
      </c>
      <c r="Z26" s="77">
        <v>823.81200000000001</v>
      </c>
      <c r="AA26" s="439">
        <v>1051.3119999999999</v>
      </c>
      <c r="AB26" s="439">
        <v>1237.5</v>
      </c>
      <c r="AC26" s="439">
        <v>780</v>
      </c>
      <c r="AD26" s="439">
        <v>1087.5</v>
      </c>
      <c r="AE26" s="439">
        <v>1160</v>
      </c>
      <c r="AF26" s="439">
        <v>1430</v>
      </c>
      <c r="AG26" s="439">
        <v>1615.2143665781769</v>
      </c>
      <c r="AH26" s="439">
        <v>12299.999999999998</v>
      </c>
      <c r="AI26" s="439">
        <v>7875.2500000000009</v>
      </c>
      <c r="AJ26" s="439">
        <v>4920</v>
      </c>
      <c r="AK26" s="439">
        <v>20000</v>
      </c>
      <c r="AL26" s="439">
        <v>18750</v>
      </c>
      <c r="AM26" s="439">
        <v>105000</v>
      </c>
      <c r="AN26" s="439">
        <v>73000</v>
      </c>
      <c r="AO26" s="439">
        <v>293928</v>
      </c>
      <c r="AP26" s="439">
        <v>13650</v>
      </c>
      <c r="AQ26" s="78">
        <v>7125</v>
      </c>
    </row>
    <row r="27" spans="2:43" x14ac:dyDescent="0.25">
      <c r="B27" s="667"/>
      <c r="C27" s="789"/>
      <c r="D27" s="752">
        <v>1447.264645083593</v>
      </c>
      <c r="E27" s="752">
        <v>1327.4428213875167</v>
      </c>
      <c r="F27" s="752">
        <v>1455.8552173475225</v>
      </c>
      <c r="G27" s="752">
        <v>1335.2266724622052</v>
      </c>
      <c r="H27" s="811"/>
      <c r="I27" s="811"/>
      <c r="J27" s="811"/>
      <c r="K27" s="811"/>
      <c r="L27" s="811"/>
      <c r="M27" s="811"/>
      <c r="N27" s="811"/>
      <c r="O27" s="811"/>
      <c r="P27" s="811"/>
      <c r="Q27" s="811"/>
      <c r="R27" s="811"/>
      <c r="S27" s="811"/>
      <c r="T27" s="811"/>
      <c r="U27" s="811"/>
      <c r="V27" s="811"/>
      <c r="W27" s="811"/>
      <c r="X27" s="811"/>
      <c r="Y27" s="811"/>
      <c r="Z27" s="29"/>
      <c r="AA27" s="811"/>
      <c r="AB27" s="811"/>
      <c r="AC27" s="811"/>
      <c r="AD27" s="811"/>
      <c r="AE27" s="746"/>
      <c r="AF27" s="746"/>
      <c r="AG27" s="811"/>
      <c r="AH27" s="746"/>
      <c r="AI27" s="811"/>
      <c r="AJ27" s="811"/>
      <c r="AK27" s="811"/>
      <c r="AL27" s="746"/>
      <c r="AM27" s="811"/>
      <c r="AN27" s="746"/>
      <c r="AO27" s="746"/>
      <c r="AP27" s="811"/>
      <c r="AQ27" s="19"/>
    </row>
    <row r="28" spans="2:43" x14ac:dyDescent="0.25">
      <c r="B28" s="668" t="s">
        <v>631</v>
      </c>
      <c r="C28" s="791"/>
      <c r="D28" s="752"/>
      <c r="E28" s="811"/>
      <c r="F28" s="811"/>
      <c r="G28" s="811"/>
      <c r="H28" s="811"/>
      <c r="I28" s="811"/>
      <c r="J28" s="811"/>
      <c r="K28" s="811"/>
      <c r="L28" s="811"/>
      <c r="M28" s="811"/>
      <c r="N28" s="811"/>
      <c r="O28" s="811"/>
      <c r="P28" s="811"/>
      <c r="Q28" s="811"/>
      <c r="R28" s="811"/>
      <c r="S28" s="811"/>
      <c r="T28" s="811"/>
      <c r="U28" s="811"/>
      <c r="V28" s="811"/>
      <c r="W28" s="811"/>
      <c r="X28" s="811"/>
      <c r="Y28" s="811"/>
      <c r="Z28" s="29"/>
      <c r="AA28" s="811"/>
      <c r="AB28" s="811"/>
      <c r="AC28" s="811"/>
      <c r="AD28" s="811"/>
      <c r="AE28" s="746"/>
      <c r="AF28" s="746"/>
      <c r="AG28" s="811"/>
      <c r="AH28" s="746"/>
      <c r="AI28" s="811"/>
      <c r="AJ28" s="811"/>
      <c r="AK28" s="811"/>
      <c r="AL28" s="746"/>
      <c r="AM28" s="811"/>
      <c r="AN28" s="746"/>
      <c r="AO28" s="746"/>
      <c r="AP28" s="811"/>
      <c r="AQ28" s="19"/>
    </row>
    <row r="29" spans="2:43" x14ac:dyDescent="0.25">
      <c r="B29" s="667"/>
      <c r="C29" s="791"/>
      <c r="D29" s="752"/>
      <c r="E29" s="811"/>
      <c r="F29" s="811"/>
      <c r="G29" s="811"/>
      <c r="H29" s="811"/>
      <c r="I29" s="811"/>
      <c r="J29" s="811"/>
      <c r="K29" s="811"/>
      <c r="L29" s="811"/>
      <c r="M29" s="811"/>
      <c r="N29" s="811"/>
      <c r="O29" s="811"/>
      <c r="P29" s="811"/>
      <c r="Q29" s="811"/>
      <c r="R29" s="811"/>
      <c r="S29" s="811"/>
      <c r="T29" s="811"/>
      <c r="U29" s="811"/>
      <c r="V29" s="811"/>
      <c r="W29" s="811"/>
      <c r="X29" s="811"/>
      <c r="Y29" s="811"/>
      <c r="Z29" s="29"/>
      <c r="AA29" s="811"/>
      <c r="AB29" s="811"/>
      <c r="AC29" s="811"/>
      <c r="AD29" s="811"/>
      <c r="AE29" s="746"/>
      <c r="AF29" s="746"/>
      <c r="AG29" s="811"/>
      <c r="AH29" s="746"/>
      <c r="AI29" s="811"/>
      <c r="AJ29" s="811"/>
      <c r="AK29" s="811"/>
      <c r="AL29" s="746"/>
      <c r="AM29" s="811"/>
      <c r="AN29" s="746"/>
      <c r="AO29" s="746"/>
      <c r="AP29" s="811"/>
      <c r="AQ29" s="19"/>
    </row>
    <row r="30" spans="2:43" x14ac:dyDescent="0.25">
      <c r="B30" s="668" t="s">
        <v>632</v>
      </c>
      <c r="C30" s="791"/>
      <c r="D30" s="752"/>
      <c r="E30" s="811"/>
      <c r="F30" s="811"/>
      <c r="G30" s="811"/>
      <c r="H30" s="811"/>
      <c r="I30" s="811"/>
      <c r="J30" s="811"/>
      <c r="K30" s="811"/>
      <c r="L30" s="811"/>
      <c r="M30" s="811"/>
      <c r="N30" s="811"/>
      <c r="O30" s="811"/>
      <c r="P30" s="811"/>
      <c r="Q30" s="811"/>
      <c r="R30" s="811"/>
      <c r="S30" s="811"/>
      <c r="T30" s="811"/>
      <c r="U30" s="811"/>
      <c r="V30" s="811"/>
      <c r="W30" s="811"/>
      <c r="X30" s="811"/>
      <c r="Y30" s="811"/>
      <c r="Z30" s="29"/>
      <c r="AA30" s="811"/>
      <c r="AB30" s="811"/>
      <c r="AC30" s="811"/>
      <c r="AD30" s="811"/>
      <c r="AE30" s="746"/>
      <c r="AF30" s="746"/>
      <c r="AG30" s="811"/>
      <c r="AH30" s="746"/>
      <c r="AI30" s="811"/>
      <c r="AJ30" s="811"/>
      <c r="AK30" s="811"/>
      <c r="AL30" s="746"/>
      <c r="AM30" s="811"/>
      <c r="AN30" s="746"/>
      <c r="AO30" s="746"/>
      <c r="AP30" s="811"/>
      <c r="AQ30" s="19"/>
    </row>
    <row r="31" spans="2:43" x14ac:dyDescent="0.25">
      <c r="B31" s="670" t="s">
        <v>633</v>
      </c>
      <c r="C31" s="791" t="s">
        <v>495</v>
      </c>
      <c r="D31" s="807">
        <v>75</v>
      </c>
      <c r="E31" s="807">
        <v>275</v>
      </c>
      <c r="F31" s="807">
        <v>75</v>
      </c>
      <c r="G31" s="807">
        <v>275</v>
      </c>
      <c r="H31" s="807">
        <v>75</v>
      </c>
      <c r="I31" s="807">
        <v>275</v>
      </c>
      <c r="J31" s="807">
        <v>75</v>
      </c>
      <c r="K31" s="807">
        <v>75</v>
      </c>
      <c r="L31" s="807">
        <v>75</v>
      </c>
      <c r="M31" s="807">
        <v>75</v>
      </c>
      <c r="N31" s="807">
        <v>75</v>
      </c>
      <c r="O31" s="807">
        <v>75</v>
      </c>
      <c r="P31" s="807"/>
      <c r="Q31" s="807">
        <v>750</v>
      </c>
      <c r="R31" s="817">
        <v>750</v>
      </c>
      <c r="S31" s="819">
        <v>22</v>
      </c>
      <c r="T31" s="819">
        <v>22</v>
      </c>
      <c r="U31" s="819">
        <v>22</v>
      </c>
      <c r="V31" s="819">
        <v>22</v>
      </c>
      <c r="W31" s="807"/>
      <c r="X31" s="807"/>
      <c r="Y31" s="756">
        <v>75</v>
      </c>
      <c r="Z31" s="20">
        <v>75</v>
      </c>
      <c r="AA31" s="807">
        <v>75</v>
      </c>
      <c r="AB31" s="807"/>
      <c r="AC31" s="807"/>
      <c r="AD31" s="807"/>
      <c r="AE31" s="807"/>
      <c r="AF31" s="807">
        <v>169</v>
      </c>
      <c r="AG31" s="819"/>
      <c r="AH31" s="746"/>
      <c r="AI31" s="819"/>
      <c r="AJ31" s="819"/>
      <c r="AK31" s="811"/>
      <c r="AL31" s="746"/>
      <c r="AM31" s="811"/>
      <c r="AN31" s="746"/>
      <c r="AO31" s="746"/>
      <c r="AP31" s="811"/>
      <c r="AQ31" s="19"/>
    </row>
    <row r="32" spans="2:43" x14ac:dyDescent="0.25">
      <c r="B32" s="670" t="s">
        <v>634</v>
      </c>
      <c r="C32" s="791" t="s">
        <v>495</v>
      </c>
      <c r="D32" s="807">
        <v>14.7</v>
      </c>
      <c r="E32" s="807">
        <v>14.7</v>
      </c>
      <c r="F32" s="807">
        <v>14.7</v>
      </c>
      <c r="G32" s="807">
        <v>14.7</v>
      </c>
      <c r="H32" s="807">
        <v>14.7</v>
      </c>
      <c r="I32" s="807">
        <v>14.7</v>
      </c>
      <c r="J32" s="807">
        <v>14.7</v>
      </c>
      <c r="K32" s="807">
        <v>16.399999999999999</v>
      </c>
      <c r="L32" s="807">
        <v>16.399999999999999</v>
      </c>
      <c r="M32" s="807">
        <v>16.399999999999999</v>
      </c>
      <c r="N32" s="807">
        <v>16.399999999999999</v>
      </c>
      <c r="O32" s="807">
        <v>19.8</v>
      </c>
      <c r="P32" s="807"/>
      <c r="Q32" s="807">
        <v>121</v>
      </c>
      <c r="R32" s="807">
        <v>229</v>
      </c>
      <c r="S32" s="807">
        <v>18.3</v>
      </c>
      <c r="T32" s="807">
        <v>18.3</v>
      </c>
      <c r="U32" s="807">
        <v>18.3</v>
      </c>
      <c r="V32" s="807">
        <v>17.5</v>
      </c>
      <c r="W32" s="807"/>
      <c r="X32" s="807"/>
      <c r="Y32" s="807">
        <v>16.399999999999999</v>
      </c>
      <c r="Z32" s="828">
        <v>14.7</v>
      </c>
      <c r="AA32" s="756">
        <v>14.7</v>
      </c>
      <c r="AB32" s="746"/>
      <c r="AC32" s="746"/>
      <c r="AD32" s="746"/>
      <c r="AE32" s="746"/>
      <c r="AF32" s="746"/>
      <c r="AG32" s="807"/>
      <c r="AH32" s="746"/>
      <c r="AI32" s="807"/>
      <c r="AJ32" s="807"/>
      <c r="AK32" s="811"/>
      <c r="AL32" s="746">
        <v>6250</v>
      </c>
      <c r="AM32" s="811"/>
      <c r="AN32" s="746"/>
      <c r="AO32" s="746"/>
      <c r="AP32" s="811"/>
      <c r="AQ32" s="19"/>
    </row>
    <row r="33" spans="2:43" x14ac:dyDescent="0.25">
      <c r="B33" s="670" t="s">
        <v>635</v>
      </c>
      <c r="C33" s="791" t="s">
        <v>495</v>
      </c>
      <c r="D33" s="807">
        <v>52</v>
      </c>
      <c r="E33" s="807">
        <v>52</v>
      </c>
      <c r="F33" s="807">
        <v>52</v>
      </c>
      <c r="G33" s="807">
        <v>52</v>
      </c>
      <c r="H33" s="807">
        <v>52</v>
      </c>
      <c r="I33" s="807">
        <v>52</v>
      </c>
      <c r="J33" s="807">
        <v>52</v>
      </c>
      <c r="K33" s="807">
        <v>49</v>
      </c>
      <c r="L33" s="807">
        <v>49</v>
      </c>
      <c r="M33" s="807">
        <v>53</v>
      </c>
      <c r="N33" s="807">
        <v>53</v>
      </c>
      <c r="O33" s="807">
        <v>42</v>
      </c>
      <c r="P33" s="807"/>
      <c r="Q33" s="807">
        <v>2393</v>
      </c>
      <c r="R33" s="807">
        <v>2393</v>
      </c>
      <c r="S33" s="807">
        <v>60</v>
      </c>
      <c r="T33" s="807">
        <v>60</v>
      </c>
      <c r="U33" s="807">
        <v>60</v>
      </c>
      <c r="V33" s="807">
        <v>41</v>
      </c>
      <c r="W33" s="807"/>
      <c r="X33" s="807"/>
      <c r="Y33" s="807">
        <v>53</v>
      </c>
      <c r="Z33" s="828">
        <v>47</v>
      </c>
      <c r="AA33" s="807">
        <v>47</v>
      </c>
      <c r="AB33" s="807"/>
      <c r="AC33" s="807"/>
      <c r="AD33" s="807"/>
      <c r="AE33" s="807"/>
      <c r="AF33" s="807"/>
      <c r="AG33" s="807"/>
      <c r="AH33" s="746"/>
      <c r="AI33" s="807"/>
      <c r="AJ33" s="807"/>
      <c r="AK33" s="811"/>
      <c r="AL33" s="746"/>
      <c r="AM33" s="811"/>
      <c r="AN33" s="746"/>
      <c r="AO33" s="746"/>
      <c r="AP33" s="811"/>
      <c r="AQ33" s="19"/>
    </row>
    <row r="34" spans="2:43" x14ac:dyDescent="0.25">
      <c r="B34" s="668"/>
      <c r="C34" s="791"/>
      <c r="D34" s="752"/>
      <c r="E34" s="811"/>
      <c r="F34" s="811"/>
      <c r="G34" s="811"/>
      <c r="H34" s="811"/>
      <c r="I34" s="811"/>
      <c r="J34" s="811"/>
      <c r="K34" s="811"/>
      <c r="L34" s="811"/>
      <c r="M34" s="811"/>
      <c r="N34" s="811"/>
      <c r="O34" s="811"/>
      <c r="P34" s="811"/>
      <c r="Q34" s="811"/>
      <c r="R34" s="811"/>
      <c r="S34" s="811"/>
      <c r="T34" s="811"/>
      <c r="U34" s="811"/>
      <c r="V34" s="811"/>
      <c r="W34" s="811"/>
      <c r="X34" s="811"/>
      <c r="Y34" s="811"/>
      <c r="Z34" s="29"/>
      <c r="AA34" s="811"/>
      <c r="AB34" s="811"/>
      <c r="AC34" s="811"/>
      <c r="AD34" s="811"/>
      <c r="AE34" s="746"/>
      <c r="AF34" s="746"/>
      <c r="AG34" s="811"/>
      <c r="AH34" s="746"/>
      <c r="AI34" s="811"/>
      <c r="AJ34" s="811"/>
      <c r="AK34" s="811"/>
      <c r="AL34" s="746"/>
      <c r="AM34" s="811"/>
      <c r="AN34" s="746"/>
      <c r="AO34" s="746"/>
      <c r="AP34" s="811"/>
      <c r="AQ34" s="19"/>
    </row>
    <row r="35" spans="2:43" x14ac:dyDescent="0.25">
      <c r="B35" s="668" t="s">
        <v>636</v>
      </c>
      <c r="C35" s="791"/>
      <c r="D35" s="752"/>
      <c r="E35" s="811"/>
      <c r="F35" s="811"/>
      <c r="G35" s="811"/>
      <c r="H35" s="811"/>
      <c r="I35" s="811"/>
      <c r="J35" s="811"/>
      <c r="K35" s="811"/>
      <c r="L35" s="811"/>
      <c r="M35" s="811"/>
      <c r="N35" s="811"/>
      <c r="O35" s="811"/>
      <c r="P35" s="811"/>
      <c r="Q35" s="811"/>
      <c r="R35" s="811"/>
      <c r="S35" s="811"/>
      <c r="T35" s="811"/>
      <c r="U35" s="811"/>
      <c r="V35" s="811"/>
      <c r="W35" s="811"/>
      <c r="X35" s="811"/>
      <c r="Y35" s="811"/>
      <c r="Z35" s="29"/>
      <c r="AA35" s="811"/>
      <c r="AB35" s="811"/>
      <c r="AC35" s="811"/>
      <c r="AD35" s="807" t="s">
        <v>637</v>
      </c>
      <c r="AE35" s="746"/>
      <c r="AF35" s="746"/>
      <c r="AG35" s="811"/>
      <c r="AH35" s="746"/>
      <c r="AI35" s="811"/>
      <c r="AJ35" s="811"/>
      <c r="AK35" s="811"/>
      <c r="AL35" s="746"/>
      <c r="AM35" s="811"/>
      <c r="AN35" s="746"/>
      <c r="AO35" s="746"/>
      <c r="AP35" s="811"/>
      <c r="AQ35" s="19"/>
    </row>
    <row r="36" spans="2:43" x14ac:dyDescent="0.25">
      <c r="B36" s="667" t="s">
        <v>638</v>
      </c>
      <c r="C36" s="791" t="s">
        <v>639</v>
      </c>
      <c r="D36" s="752">
        <v>175</v>
      </c>
      <c r="E36" s="752">
        <v>192.50000000000003</v>
      </c>
      <c r="F36" s="752">
        <v>175</v>
      </c>
      <c r="G36" s="752">
        <v>192.50000000000003</v>
      </c>
      <c r="H36" s="752">
        <v>175</v>
      </c>
      <c r="I36" s="752">
        <v>192.50000000000003</v>
      </c>
      <c r="J36" s="752">
        <v>200</v>
      </c>
      <c r="K36" s="752">
        <v>175</v>
      </c>
      <c r="L36" s="752">
        <v>175</v>
      </c>
      <c r="M36" s="752">
        <v>175</v>
      </c>
      <c r="N36" s="752">
        <v>175</v>
      </c>
      <c r="O36" s="752">
        <v>175</v>
      </c>
      <c r="P36" s="752"/>
      <c r="Q36" s="808">
        <v>5.5</v>
      </c>
      <c r="R36" s="808">
        <v>5.5</v>
      </c>
      <c r="S36" s="752">
        <v>250</v>
      </c>
      <c r="T36" s="752">
        <v>250</v>
      </c>
      <c r="U36" s="752">
        <v>250</v>
      </c>
      <c r="V36" s="752">
        <v>200</v>
      </c>
      <c r="W36" s="752">
        <v>45</v>
      </c>
      <c r="X36" s="752">
        <v>52.5</v>
      </c>
      <c r="Y36" s="752">
        <v>175</v>
      </c>
      <c r="Z36" s="773">
        <v>160</v>
      </c>
      <c r="AA36" s="752">
        <v>135</v>
      </c>
      <c r="AB36" s="807">
        <v>190</v>
      </c>
      <c r="AC36" s="752">
        <v>190</v>
      </c>
      <c r="AD36" s="811">
        <v>137</v>
      </c>
      <c r="AE36" s="752">
        <v>17</v>
      </c>
      <c r="AF36" s="752">
        <v>4.5</v>
      </c>
      <c r="AG36" s="752">
        <v>1.1499999999999999</v>
      </c>
      <c r="AH36" s="746"/>
      <c r="AI36" s="752">
        <v>2900</v>
      </c>
      <c r="AJ36" s="752">
        <v>1100</v>
      </c>
      <c r="AK36" s="752">
        <v>80</v>
      </c>
      <c r="AL36" s="746"/>
      <c r="AM36" s="811">
        <v>16400</v>
      </c>
      <c r="AN36" s="811">
        <v>12830</v>
      </c>
      <c r="AO36" s="811">
        <v>74188</v>
      </c>
      <c r="AP36" s="811">
        <v>4.2</v>
      </c>
      <c r="AQ36" s="19">
        <v>45</v>
      </c>
    </row>
    <row r="37" spans="2:43" x14ac:dyDescent="0.25">
      <c r="B37" s="667" t="s">
        <v>640</v>
      </c>
      <c r="C37" s="791" t="s">
        <v>495</v>
      </c>
      <c r="D37" s="752">
        <v>420</v>
      </c>
      <c r="E37" s="752">
        <v>620</v>
      </c>
      <c r="F37" s="752">
        <v>440</v>
      </c>
      <c r="G37" s="752">
        <v>640</v>
      </c>
      <c r="H37" s="752">
        <v>420</v>
      </c>
      <c r="I37" s="752">
        <v>620</v>
      </c>
      <c r="J37" s="752">
        <v>450</v>
      </c>
      <c r="K37" s="752">
        <v>400</v>
      </c>
      <c r="L37" s="752">
        <v>420</v>
      </c>
      <c r="M37" s="752">
        <v>430</v>
      </c>
      <c r="N37" s="752">
        <v>430</v>
      </c>
      <c r="O37" s="752">
        <v>430</v>
      </c>
      <c r="P37" s="752"/>
      <c r="Q37" s="752">
        <v>9800</v>
      </c>
      <c r="R37" s="752">
        <v>9800</v>
      </c>
      <c r="S37" s="752">
        <v>490</v>
      </c>
      <c r="T37" s="752">
        <v>500</v>
      </c>
      <c r="U37" s="752">
        <v>500</v>
      </c>
      <c r="V37" s="752">
        <v>510</v>
      </c>
      <c r="W37" s="752">
        <v>2000</v>
      </c>
      <c r="X37" s="752">
        <v>1800</v>
      </c>
      <c r="Y37" s="752">
        <v>430</v>
      </c>
      <c r="Z37" s="773">
        <v>425</v>
      </c>
      <c r="AA37" s="752">
        <v>650</v>
      </c>
      <c r="AB37" s="752"/>
      <c r="AC37" s="752">
        <v>800</v>
      </c>
      <c r="AD37" s="811"/>
      <c r="AE37" s="752">
        <v>10000</v>
      </c>
      <c r="AF37" s="752">
        <v>12000</v>
      </c>
      <c r="AG37" s="752">
        <v>180</v>
      </c>
      <c r="AH37" s="746"/>
      <c r="AI37" s="752">
        <v>370</v>
      </c>
      <c r="AJ37" s="752"/>
      <c r="AK37" s="811"/>
      <c r="AL37" s="746"/>
      <c r="AM37" s="811"/>
      <c r="AN37" s="746"/>
      <c r="AO37" s="746"/>
      <c r="AP37" s="811">
        <v>200</v>
      </c>
      <c r="AQ37" s="19">
        <v>17.510000000000002</v>
      </c>
    </row>
    <row r="38" spans="2:43" x14ac:dyDescent="0.25">
      <c r="B38" s="676" t="s">
        <v>641</v>
      </c>
      <c r="C38" s="791" t="s">
        <v>449</v>
      </c>
      <c r="D38" s="777">
        <v>0.35</v>
      </c>
      <c r="E38" s="777">
        <v>0.35</v>
      </c>
      <c r="F38" s="777">
        <v>0.3</v>
      </c>
      <c r="G38" s="777">
        <v>0.3</v>
      </c>
      <c r="H38" s="777">
        <v>0.35</v>
      </c>
      <c r="I38" s="777">
        <v>0.35</v>
      </c>
      <c r="J38" s="777">
        <v>0.2</v>
      </c>
      <c r="K38" s="777">
        <v>0.25</v>
      </c>
      <c r="L38" s="777">
        <v>0.25</v>
      </c>
      <c r="M38" s="777">
        <v>0.35</v>
      </c>
      <c r="N38" s="777">
        <v>0.35</v>
      </c>
      <c r="O38" s="777">
        <v>0.3</v>
      </c>
      <c r="P38" s="777"/>
      <c r="Q38" s="777">
        <v>0.35</v>
      </c>
      <c r="R38" s="777">
        <v>0.2</v>
      </c>
      <c r="S38" s="777">
        <v>0.5</v>
      </c>
      <c r="T38" s="777">
        <v>0.45</v>
      </c>
      <c r="U38" s="777">
        <v>0.45</v>
      </c>
      <c r="V38" s="777">
        <v>0.3</v>
      </c>
      <c r="W38" s="777">
        <v>0</v>
      </c>
      <c r="X38" s="777">
        <v>0</v>
      </c>
      <c r="Y38" s="777">
        <v>0.35</v>
      </c>
      <c r="Z38" s="829">
        <v>0.4</v>
      </c>
      <c r="AA38" s="777">
        <v>0</v>
      </c>
      <c r="AB38" s="777"/>
      <c r="AC38" s="777">
        <v>0</v>
      </c>
      <c r="AD38" s="811"/>
      <c r="AE38" s="777">
        <v>0</v>
      </c>
      <c r="AF38" s="777">
        <v>0</v>
      </c>
      <c r="AG38" s="777">
        <v>0</v>
      </c>
      <c r="AH38" s="746"/>
      <c r="AI38" s="777">
        <v>0.4</v>
      </c>
      <c r="AJ38" s="777"/>
      <c r="AK38" s="811"/>
      <c r="AL38" s="746"/>
      <c r="AM38" s="811"/>
      <c r="AN38" s="746"/>
      <c r="AO38" s="746"/>
      <c r="AP38" s="811"/>
      <c r="AQ38" s="19"/>
    </row>
    <row r="39" spans="2:43" x14ac:dyDescent="0.25">
      <c r="B39" s="667" t="s">
        <v>642</v>
      </c>
      <c r="C39" s="791" t="s">
        <v>495</v>
      </c>
      <c r="D39" s="752">
        <v>291.7</v>
      </c>
      <c r="E39" s="752">
        <v>160</v>
      </c>
      <c r="F39" s="752">
        <v>174</v>
      </c>
      <c r="G39" s="752">
        <v>174</v>
      </c>
      <c r="H39" s="752">
        <v>163</v>
      </c>
      <c r="I39" s="752">
        <v>163</v>
      </c>
      <c r="J39" s="752">
        <v>174</v>
      </c>
      <c r="K39" s="752">
        <v>141</v>
      </c>
      <c r="L39" s="752">
        <v>162</v>
      </c>
      <c r="M39" s="752">
        <v>141</v>
      </c>
      <c r="N39" s="752">
        <v>167</v>
      </c>
      <c r="O39" s="752">
        <v>141</v>
      </c>
      <c r="P39" s="752"/>
      <c r="Q39" s="752">
        <v>360</v>
      </c>
      <c r="R39" s="752">
        <v>360</v>
      </c>
      <c r="S39" s="752">
        <v>195</v>
      </c>
      <c r="T39" s="752">
        <v>198</v>
      </c>
      <c r="U39" s="752">
        <v>195</v>
      </c>
      <c r="V39" s="752">
        <v>195</v>
      </c>
      <c r="W39" s="752">
        <v>410</v>
      </c>
      <c r="X39" s="752">
        <v>410</v>
      </c>
      <c r="Y39" s="752">
        <v>141</v>
      </c>
      <c r="Z39" s="773">
        <v>310</v>
      </c>
      <c r="AA39" s="752">
        <v>250</v>
      </c>
      <c r="AB39" s="752"/>
      <c r="AC39" s="811">
        <v>0</v>
      </c>
      <c r="AD39" s="752">
        <v>155</v>
      </c>
      <c r="AE39" s="811">
        <v>10</v>
      </c>
      <c r="AF39" s="746"/>
      <c r="AG39" s="752"/>
      <c r="AH39" s="746"/>
      <c r="AI39" s="752">
        <v>280</v>
      </c>
      <c r="AJ39" s="752"/>
      <c r="AK39" s="811"/>
      <c r="AL39" s="746"/>
      <c r="AM39" s="811"/>
      <c r="AN39" s="746"/>
      <c r="AO39" s="746"/>
      <c r="AP39" s="811"/>
      <c r="AQ39" s="19"/>
    </row>
    <row r="40" spans="2:43" x14ac:dyDescent="0.25">
      <c r="B40" s="668" t="s">
        <v>643</v>
      </c>
      <c r="C40" s="791"/>
      <c r="D40" s="752"/>
      <c r="E40" s="811"/>
      <c r="F40" s="811"/>
      <c r="G40" s="811"/>
      <c r="H40" s="811"/>
      <c r="I40" s="811"/>
      <c r="J40" s="811"/>
      <c r="K40" s="811"/>
      <c r="L40" s="811"/>
      <c r="M40" s="811"/>
      <c r="N40" s="811"/>
      <c r="O40" s="811"/>
      <c r="P40" s="811"/>
      <c r="Q40" s="811"/>
      <c r="R40" s="811"/>
      <c r="S40" s="811"/>
      <c r="T40" s="811"/>
      <c r="U40" s="811"/>
      <c r="V40" s="811"/>
      <c r="W40" s="811"/>
      <c r="X40" s="811"/>
      <c r="Y40" s="811"/>
      <c r="Z40" s="29"/>
      <c r="AA40" s="811"/>
      <c r="AB40" s="811"/>
      <c r="AC40" s="811"/>
      <c r="AD40" s="811"/>
      <c r="AE40" s="746"/>
      <c r="AF40" s="746"/>
      <c r="AG40" s="811"/>
      <c r="AH40" s="746"/>
      <c r="AI40" s="811"/>
      <c r="AJ40" s="811"/>
      <c r="AK40" s="811"/>
      <c r="AL40" s="746"/>
      <c r="AM40" s="811"/>
      <c r="AN40" s="746"/>
      <c r="AO40" s="746"/>
      <c r="AP40" s="811"/>
      <c r="AQ40" s="19"/>
    </row>
    <row r="41" spans="2:43" x14ac:dyDescent="0.25">
      <c r="B41" s="667" t="s">
        <v>644</v>
      </c>
      <c r="C41" s="791" t="s">
        <v>645</v>
      </c>
      <c r="D41" s="752">
        <v>190</v>
      </c>
      <c r="E41" s="752">
        <v>190</v>
      </c>
      <c r="F41" s="756">
        <v>230</v>
      </c>
      <c r="G41" s="756">
        <v>230</v>
      </c>
      <c r="H41" s="756">
        <v>220</v>
      </c>
      <c r="I41" s="756">
        <v>220</v>
      </c>
      <c r="J41" s="811">
        <v>190</v>
      </c>
      <c r="K41" s="811">
        <v>140</v>
      </c>
      <c r="L41" s="811">
        <v>90</v>
      </c>
      <c r="M41" s="811">
        <v>110</v>
      </c>
      <c r="N41" s="811">
        <v>70</v>
      </c>
      <c r="O41" s="811">
        <v>130</v>
      </c>
      <c r="P41" s="811"/>
      <c r="Q41" s="811">
        <v>190</v>
      </c>
      <c r="R41" s="811">
        <v>80</v>
      </c>
      <c r="S41" s="811">
        <v>0</v>
      </c>
      <c r="T41" s="811">
        <v>0</v>
      </c>
      <c r="U41" s="811">
        <v>0</v>
      </c>
      <c r="V41" s="811">
        <v>0</v>
      </c>
      <c r="W41" s="811">
        <v>50</v>
      </c>
      <c r="X41" s="811">
        <v>80</v>
      </c>
      <c r="Y41" s="756">
        <v>110</v>
      </c>
      <c r="Z41" s="29">
        <v>130</v>
      </c>
      <c r="AA41" s="811">
        <v>140</v>
      </c>
      <c r="AB41" s="811">
        <v>70</v>
      </c>
      <c r="AC41" s="811">
        <v>25</v>
      </c>
      <c r="AD41" s="811">
        <v>110</v>
      </c>
      <c r="AE41" s="811">
        <v>80</v>
      </c>
      <c r="AF41" s="811">
        <v>160</v>
      </c>
      <c r="AG41" s="811">
        <v>156</v>
      </c>
      <c r="AH41" s="746"/>
      <c r="AI41" s="811">
        <v>160</v>
      </c>
      <c r="AJ41" s="811">
        <v>477</v>
      </c>
      <c r="AK41" s="811">
        <v>130</v>
      </c>
      <c r="AL41" s="746"/>
      <c r="AM41" s="811"/>
      <c r="AN41" s="811">
        <v>2210</v>
      </c>
      <c r="AO41" s="811">
        <v>9335</v>
      </c>
      <c r="AP41" s="811">
        <v>291</v>
      </c>
      <c r="AQ41" s="19">
        <v>325</v>
      </c>
    </row>
    <row r="42" spans="2:43" x14ac:dyDescent="0.25">
      <c r="B42" s="667" t="s">
        <v>646</v>
      </c>
      <c r="C42" s="791" t="s">
        <v>647</v>
      </c>
      <c r="D42" s="808">
        <v>7</v>
      </c>
      <c r="E42" s="808">
        <v>7</v>
      </c>
      <c r="F42" s="808">
        <v>7</v>
      </c>
      <c r="G42" s="808">
        <v>7</v>
      </c>
      <c r="H42" s="808">
        <v>7</v>
      </c>
      <c r="I42" s="808">
        <v>7</v>
      </c>
      <c r="J42" s="808">
        <v>8.5</v>
      </c>
      <c r="K42" s="808">
        <v>8.5</v>
      </c>
      <c r="L42" s="808">
        <v>8.5</v>
      </c>
      <c r="M42" s="808">
        <v>8.5</v>
      </c>
      <c r="N42" s="808">
        <v>8.5</v>
      </c>
      <c r="O42" s="808">
        <v>9</v>
      </c>
      <c r="P42" s="808"/>
      <c r="Q42" s="808">
        <v>14</v>
      </c>
      <c r="R42" s="808">
        <v>14</v>
      </c>
      <c r="S42" s="811">
        <v>11</v>
      </c>
      <c r="T42" s="811">
        <v>11</v>
      </c>
      <c r="U42" s="811">
        <v>11</v>
      </c>
      <c r="V42" s="811">
        <v>9</v>
      </c>
      <c r="W42" s="809">
        <v>14</v>
      </c>
      <c r="X42" s="809">
        <v>14</v>
      </c>
      <c r="Y42" s="808">
        <v>8.5</v>
      </c>
      <c r="Z42" s="830">
        <v>7.8</v>
      </c>
      <c r="AA42" s="808">
        <v>7.8</v>
      </c>
      <c r="AB42" s="808"/>
      <c r="AC42" s="808">
        <v>15</v>
      </c>
      <c r="AD42" s="808">
        <v>14</v>
      </c>
      <c r="AE42" s="808">
        <v>87.5</v>
      </c>
      <c r="AF42" s="808"/>
      <c r="AG42" s="811">
        <v>0.8</v>
      </c>
      <c r="AH42" s="746"/>
      <c r="AI42" s="811">
        <v>1</v>
      </c>
      <c r="AJ42" s="811"/>
      <c r="AK42" s="811"/>
      <c r="AL42" s="746"/>
      <c r="AM42" s="811"/>
      <c r="AN42" s="746"/>
      <c r="AO42" s="746"/>
      <c r="AP42" s="811"/>
      <c r="AQ42" s="19"/>
    </row>
    <row r="43" spans="2:43" x14ac:dyDescent="0.25">
      <c r="B43" s="667" t="s">
        <v>648</v>
      </c>
      <c r="C43" s="791" t="s">
        <v>647</v>
      </c>
      <c r="D43" s="808">
        <v>10.5</v>
      </c>
      <c r="E43" s="808">
        <v>10.5</v>
      </c>
      <c r="F43" s="808">
        <v>10.5</v>
      </c>
      <c r="G43" s="808">
        <v>10.5</v>
      </c>
      <c r="H43" s="808">
        <v>10.5</v>
      </c>
      <c r="I43" s="808">
        <v>10.5</v>
      </c>
      <c r="J43" s="808">
        <v>12</v>
      </c>
      <c r="K43" s="808">
        <v>10.5</v>
      </c>
      <c r="L43" s="808">
        <v>10.5</v>
      </c>
      <c r="M43" s="808">
        <v>12</v>
      </c>
      <c r="N43" s="808">
        <v>12</v>
      </c>
      <c r="O43" s="808">
        <v>16.5</v>
      </c>
      <c r="P43" s="808"/>
      <c r="Q43" s="808">
        <v>11</v>
      </c>
      <c r="R43" s="808">
        <v>11</v>
      </c>
      <c r="S43" s="811">
        <v>12</v>
      </c>
      <c r="T43" s="811">
        <v>12</v>
      </c>
      <c r="U43" s="811">
        <v>12</v>
      </c>
      <c r="V43" s="811">
        <v>10</v>
      </c>
      <c r="W43" s="809">
        <v>11</v>
      </c>
      <c r="X43" s="809">
        <v>11</v>
      </c>
      <c r="Y43" s="808">
        <v>12</v>
      </c>
      <c r="Z43" s="830">
        <v>5.6</v>
      </c>
      <c r="AA43" s="808">
        <v>5.6</v>
      </c>
      <c r="AB43" s="808"/>
      <c r="AC43" s="808">
        <v>15</v>
      </c>
      <c r="AD43" s="808">
        <v>11</v>
      </c>
      <c r="AE43" s="808">
        <v>87.5</v>
      </c>
      <c r="AF43" s="808"/>
      <c r="AG43" s="811">
        <v>1.7</v>
      </c>
      <c r="AH43" s="746"/>
      <c r="AI43" s="811">
        <v>5.8</v>
      </c>
      <c r="AJ43" s="811"/>
      <c r="AK43" s="811"/>
      <c r="AL43" s="746"/>
      <c r="AM43" s="811"/>
      <c r="AN43" s="746"/>
      <c r="AO43" s="746"/>
      <c r="AP43" s="811"/>
      <c r="AQ43" s="19"/>
    </row>
    <row r="44" spans="2:43" x14ac:dyDescent="0.25">
      <c r="B44" s="667" t="s">
        <v>646</v>
      </c>
      <c r="C44" s="791" t="s">
        <v>639</v>
      </c>
      <c r="D44" s="752">
        <v>89.644456770567672</v>
      </c>
      <c r="E44" s="752">
        <v>84.052771664750779</v>
      </c>
      <c r="F44" s="752">
        <v>84.92806415507718</v>
      </c>
      <c r="G44" s="752">
        <v>79.779284800216075</v>
      </c>
      <c r="H44" s="752">
        <v>88.465358616695042</v>
      </c>
      <c r="I44" s="752">
        <v>82.98439994861711</v>
      </c>
      <c r="J44" s="752">
        <v>51.276118954508739</v>
      </c>
      <c r="K44" s="752">
        <v>61.821103523815701</v>
      </c>
      <c r="L44" s="752">
        <v>57.349953317175228</v>
      </c>
      <c r="M44" s="752">
        <v>50.165711642790654</v>
      </c>
      <c r="N44" s="752">
        <v>48.840394407609288</v>
      </c>
      <c r="O44" s="752">
        <v>50.125795316628007</v>
      </c>
      <c r="P44" s="752"/>
      <c r="Q44" s="752">
        <v>48.046625563389561</v>
      </c>
      <c r="R44" s="752">
        <v>31.230306616203219</v>
      </c>
      <c r="S44" s="752">
        <v>43.92465</v>
      </c>
      <c r="T44" s="752">
        <v>39.741349999999997</v>
      </c>
      <c r="U44" s="752">
        <v>39.741349999999997</v>
      </c>
      <c r="V44" s="752">
        <v>33.69</v>
      </c>
      <c r="W44" s="752">
        <v>24.5</v>
      </c>
      <c r="X44" s="752">
        <v>31.5</v>
      </c>
      <c r="Y44" s="752">
        <v>40.132569314232526</v>
      </c>
      <c r="Z44" s="773">
        <v>35.1</v>
      </c>
      <c r="AA44" s="752">
        <v>42.9</v>
      </c>
      <c r="AB44" s="752">
        <v>0</v>
      </c>
      <c r="AC44" s="752">
        <v>45</v>
      </c>
      <c r="AD44" s="752">
        <v>105</v>
      </c>
      <c r="AE44" s="752">
        <v>35</v>
      </c>
      <c r="AF44" s="752">
        <v>60</v>
      </c>
      <c r="AG44" s="752">
        <v>59.657040316830177</v>
      </c>
      <c r="AH44" s="746"/>
      <c r="AI44" s="752">
        <v>46.325000000000003</v>
      </c>
      <c r="AJ44" s="752"/>
      <c r="AK44" s="811"/>
      <c r="AL44" s="746"/>
      <c r="AM44" s="811"/>
      <c r="AN44" s="746"/>
      <c r="AO44" s="746"/>
      <c r="AP44" s="811"/>
      <c r="AQ44" s="19"/>
    </row>
    <row r="45" spans="2:43" x14ac:dyDescent="0.25">
      <c r="B45" s="667" t="s">
        <v>648</v>
      </c>
      <c r="C45" s="791" t="s">
        <v>639</v>
      </c>
      <c r="D45" s="752">
        <v>126.79118515585151</v>
      </c>
      <c r="E45" s="752">
        <v>118.40365749712616</v>
      </c>
      <c r="F45" s="752">
        <v>119.71659623261576</v>
      </c>
      <c r="G45" s="752">
        <v>111.99342720032412</v>
      </c>
      <c r="H45" s="752">
        <v>125.02253792504256</v>
      </c>
      <c r="I45" s="752">
        <v>116.80109992292566</v>
      </c>
      <c r="J45" s="752">
        <v>115.21781499460056</v>
      </c>
      <c r="K45" s="752">
        <v>76.367245529419392</v>
      </c>
      <c r="L45" s="752">
        <v>70.844059980039987</v>
      </c>
      <c r="M45" s="752">
        <v>70.82218114276327</v>
      </c>
      <c r="N45" s="752">
        <v>68.951145046036643</v>
      </c>
      <c r="O45" s="752">
        <v>91.89729141381801</v>
      </c>
      <c r="P45" s="752"/>
      <c r="Q45" s="752">
        <v>37.75092008552037</v>
      </c>
      <c r="R45" s="752">
        <v>24.538098055588243</v>
      </c>
      <c r="S45" s="752">
        <v>47.9178</v>
      </c>
      <c r="T45" s="752">
        <v>43.354199999999999</v>
      </c>
      <c r="U45" s="752">
        <v>43.354199999999999</v>
      </c>
      <c r="V45" s="752">
        <v>37.43333333333333</v>
      </c>
      <c r="W45" s="752">
        <v>19.25</v>
      </c>
      <c r="X45" s="752">
        <v>24.75</v>
      </c>
      <c r="Y45" s="752">
        <v>56.657744914210625</v>
      </c>
      <c r="Z45" s="773">
        <v>25.2</v>
      </c>
      <c r="AA45" s="752">
        <v>30.799999999999997</v>
      </c>
      <c r="AB45" s="752">
        <v>0</v>
      </c>
      <c r="AC45" s="752">
        <v>45</v>
      </c>
      <c r="AD45" s="752">
        <v>82.5</v>
      </c>
      <c r="AE45" s="752">
        <v>35</v>
      </c>
      <c r="AF45" s="752">
        <v>75</v>
      </c>
      <c r="AG45" s="752">
        <v>126.77121067326411</v>
      </c>
      <c r="AH45" s="746"/>
      <c r="AI45" s="752">
        <v>268.685</v>
      </c>
      <c r="AJ45" s="752"/>
      <c r="AK45" s="811"/>
      <c r="AL45" s="746"/>
      <c r="AM45" s="811"/>
      <c r="AN45" s="746"/>
      <c r="AO45" s="746"/>
      <c r="AP45" s="811"/>
      <c r="AQ45" s="19"/>
    </row>
    <row r="46" spans="2:43" x14ac:dyDescent="0.25">
      <c r="B46" s="667" t="s">
        <v>649</v>
      </c>
      <c r="C46" s="791" t="s">
        <v>538</v>
      </c>
      <c r="D46" s="809">
        <v>2.2003352891869237</v>
      </c>
      <c r="E46" s="809">
        <v>2.2003352891869237</v>
      </c>
      <c r="F46" s="809">
        <v>2.2003352891869237</v>
      </c>
      <c r="G46" s="809">
        <v>2.2003352891869237</v>
      </c>
      <c r="H46" s="809">
        <v>2.2003352891869237</v>
      </c>
      <c r="I46" s="809">
        <v>2.2003352891869237</v>
      </c>
      <c r="J46" s="809">
        <v>2.8846153846153846</v>
      </c>
      <c r="K46" s="809">
        <v>2.2925764192139741</v>
      </c>
      <c r="L46" s="809">
        <v>2.2925764192139741</v>
      </c>
      <c r="M46" s="809">
        <v>1.8672199170124482</v>
      </c>
      <c r="N46" s="809">
        <v>1.8672199170124482</v>
      </c>
      <c r="O46" s="809">
        <v>1.1848341232227488</v>
      </c>
      <c r="P46" s="809"/>
      <c r="Q46" s="809">
        <v>1.9072164948453609</v>
      </c>
      <c r="R46" s="809">
        <v>-7.9174664107485609E-2</v>
      </c>
      <c r="S46" s="809">
        <v>0.59171597633136097</v>
      </c>
      <c r="T46" s="809">
        <v>0.59171597633136097</v>
      </c>
      <c r="U46" s="809">
        <v>0.59171597633136097</v>
      </c>
      <c r="V46" s="809">
        <v>0.67567567567567566</v>
      </c>
      <c r="W46" s="809">
        <v>1.1363636363636365</v>
      </c>
      <c r="X46" s="809">
        <v>1.1363636363636365</v>
      </c>
      <c r="Y46" s="809">
        <v>1.8672199170124482</v>
      </c>
      <c r="Z46" s="35">
        <v>0</v>
      </c>
      <c r="AA46" s="809">
        <v>0</v>
      </c>
      <c r="AB46" s="809">
        <v>4.383116883116883</v>
      </c>
      <c r="AC46" s="809">
        <v>1.1363636363636365</v>
      </c>
      <c r="AD46" s="809">
        <v>1.1363636363636365</v>
      </c>
      <c r="AE46" s="809">
        <v>1.1363636363636365</v>
      </c>
      <c r="AF46" s="809">
        <v>1.9061583577712611</v>
      </c>
      <c r="AG46" s="809">
        <v>7.0000000000000009</v>
      </c>
      <c r="AH46" s="746"/>
      <c r="AI46" s="809">
        <v>0</v>
      </c>
      <c r="AJ46" s="809"/>
      <c r="AK46" s="811"/>
      <c r="AL46" s="746"/>
      <c r="AM46" s="811"/>
      <c r="AN46" s="746"/>
      <c r="AO46" s="746"/>
      <c r="AP46" s="811"/>
      <c r="AQ46" s="19"/>
    </row>
    <row r="47" spans="2:43" x14ac:dyDescent="0.25">
      <c r="B47" s="668" t="s">
        <v>650</v>
      </c>
      <c r="C47" s="791"/>
      <c r="D47" s="752"/>
      <c r="E47" s="811"/>
      <c r="F47" s="811"/>
      <c r="G47" s="811"/>
      <c r="H47" s="811"/>
      <c r="I47" s="811"/>
      <c r="J47" s="811"/>
      <c r="K47" s="811"/>
      <c r="L47" s="811"/>
      <c r="M47" s="811"/>
      <c r="N47" s="811"/>
      <c r="O47" s="811"/>
      <c r="P47" s="811"/>
      <c r="Q47" s="811"/>
      <c r="R47" s="811"/>
      <c r="S47" s="811"/>
      <c r="T47" s="811"/>
      <c r="U47" s="811"/>
      <c r="V47" s="811"/>
      <c r="W47" s="811"/>
      <c r="X47" s="811"/>
      <c r="Y47" s="811"/>
      <c r="Z47" s="29"/>
      <c r="AA47" s="811"/>
      <c r="AB47" s="811"/>
      <c r="AC47" s="811"/>
      <c r="AD47" s="811"/>
      <c r="AE47" s="746"/>
      <c r="AF47" s="746"/>
      <c r="AG47" s="811"/>
      <c r="AH47" s="746"/>
      <c r="AI47" s="811"/>
      <c r="AJ47" s="811"/>
      <c r="AK47" s="811"/>
      <c r="AL47" s="746"/>
      <c r="AM47" s="811"/>
      <c r="AN47" s="746"/>
      <c r="AO47" s="746"/>
      <c r="AP47" s="811"/>
      <c r="AQ47" s="19"/>
    </row>
    <row r="48" spans="2:43" x14ac:dyDescent="0.25">
      <c r="B48" s="670" t="s">
        <v>651</v>
      </c>
      <c r="C48" s="791" t="s">
        <v>538</v>
      </c>
      <c r="D48" s="752">
        <v>103</v>
      </c>
      <c r="E48" s="807">
        <v>103</v>
      </c>
      <c r="F48" s="807">
        <v>103</v>
      </c>
      <c r="G48" s="807">
        <v>103</v>
      </c>
      <c r="H48" s="807">
        <v>103</v>
      </c>
      <c r="I48" s="807">
        <v>103</v>
      </c>
      <c r="J48" s="807">
        <v>65</v>
      </c>
      <c r="K48" s="807">
        <v>81</v>
      </c>
      <c r="L48" s="807">
        <v>81</v>
      </c>
      <c r="M48" s="807">
        <v>65</v>
      </c>
      <c r="N48" s="807">
        <v>65</v>
      </c>
      <c r="O48" s="807">
        <v>59</v>
      </c>
      <c r="P48" s="807"/>
      <c r="Q48" s="807">
        <v>113</v>
      </c>
      <c r="R48" s="807">
        <v>54</v>
      </c>
      <c r="S48" s="807">
        <v>65</v>
      </c>
      <c r="T48" s="807">
        <v>65</v>
      </c>
      <c r="U48" s="807">
        <v>65</v>
      </c>
      <c r="V48" s="807">
        <v>81</v>
      </c>
      <c r="W48" s="807">
        <v>23.44736842105263</v>
      </c>
      <c r="X48" s="807">
        <v>38.63247863247863</v>
      </c>
      <c r="Y48" s="807">
        <v>32.5</v>
      </c>
      <c r="Z48" s="29"/>
      <c r="AA48" s="811"/>
      <c r="AB48" s="811"/>
      <c r="AC48" s="811"/>
      <c r="AD48" s="811"/>
      <c r="AE48" s="746"/>
      <c r="AF48" s="811"/>
      <c r="AG48" s="807">
        <v>173</v>
      </c>
      <c r="AH48" s="746"/>
      <c r="AI48" s="807">
        <v>32</v>
      </c>
      <c r="AJ48" s="807"/>
      <c r="AK48" s="811"/>
      <c r="AL48" s="746"/>
      <c r="AM48" s="811"/>
      <c r="AN48" s="746"/>
      <c r="AO48" s="746"/>
      <c r="AP48" s="811"/>
      <c r="AQ48" s="19"/>
    </row>
    <row r="49" spans="2:43" x14ac:dyDescent="0.25">
      <c r="B49" s="670" t="s">
        <v>652</v>
      </c>
      <c r="C49" s="791" t="s">
        <v>538</v>
      </c>
      <c r="D49" s="807">
        <v>121</v>
      </c>
      <c r="E49" s="807">
        <v>121</v>
      </c>
      <c r="F49" s="807">
        <v>127</v>
      </c>
      <c r="G49" s="807">
        <v>127</v>
      </c>
      <c r="H49" s="807">
        <v>127</v>
      </c>
      <c r="I49" s="807">
        <v>127</v>
      </c>
      <c r="J49" s="807">
        <v>55</v>
      </c>
      <c r="K49" s="807">
        <v>83</v>
      </c>
      <c r="L49" s="807">
        <v>83</v>
      </c>
      <c r="M49" s="807">
        <v>55</v>
      </c>
      <c r="N49" s="807">
        <v>55</v>
      </c>
      <c r="O49" s="807">
        <v>46</v>
      </c>
      <c r="P49" s="807"/>
      <c r="Q49" s="807">
        <v>80</v>
      </c>
      <c r="R49" s="807">
        <v>57</v>
      </c>
      <c r="S49" s="807">
        <v>50</v>
      </c>
      <c r="T49" s="807">
        <v>44</v>
      </c>
      <c r="U49" s="807">
        <v>44</v>
      </c>
      <c r="V49" s="807">
        <v>55</v>
      </c>
      <c r="W49" s="807">
        <v>24.75</v>
      </c>
      <c r="X49" s="807">
        <v>27.350427350427353</v>
      </c>
      <c r="Y49" s="807">
        <v>27.5</v>
      </c>
      <c r="Z49" s="29"/>
      <c r="AA49" s="811"/>
      <c r="AB49" s="811"/>
      <c r="AC49" s="811"/>
      <c r="AD49" s="811"/>
      <c r="AE49" s="746"/>
      <c r="AF49" s="811"/>
      <c r="AG49" s="807">
        <v>50</v>
      </c>
      <c r="AH49" s="746"/>
      <c r="AI49" s="807">
        <v>198</v>
      </c>
      <c r="AJ49" s="807"/>
      <c r="AK49" s="811"/>
      <c r="AL49" s="746"/>
      <c r="AM49" s="811"/>
      <c r="AN49" s="746"/>
      <c r="AO49" s="746"/>
      <c r="AP49" s="811"/>
      <c r="AQ49" s="19"/>
    </row>
    <row r="50" spans="2:43" x14ac:dyDescent="0.25">
      <c r="B50" s="670" t="s">
        <v>653</v>
      </c>
      <c r="C50" s="791" t="s">
        <v>538</v>
      </c>
      <c r="D50" s="807">
        <v>8</v>
      </c>
      <c r="E50" s="807">
        <v>8</v>
      </c>
      <c r="F50" s="807">
        <v>8</v>
      </c>
      <c r="G50" s="807">
        <v>8</v>
      </c>
      <c r="H50" s="807">
        <v>8</v>
      </c>
      <c r="I50" s="807">
        <v>8</v>
      </c>
      <c r="J50" s="807">
        <v>8</v>
      </c>
      <c r="K50" s="807">
        <v>8</v>
      </c>
      <c r="L50" s="807">
        <v>8</v>
      </c>
      <c r="M50" s="807">
        <v>8</v>
      </c>
      <c r="N50" s="807">
        <v>8</v>
      </c>
      <c r="O50" s="807">
        <v>8</v>
      </c>
      <c r="P50" s="807"/>
      <c r="Q50" s="807">
        <v>8</v>
      </c>
      <c r="R50" s="807">
        <v>8</v>
      </c>
      <c r="S50" s="807">
        <v>8</v>
      </c>
      <c r="T50" s="807">
        <v>11</v>
      </c>
      <c r="U50" s="807">
        <v>11</v>
      </c>
      <c r="V50" s="807">
        <v>11</v>
      </c>
      <c r="W50" s="807">
        <v>3.4736842105263155</v>
      </c>
      <c r="X50" s="807">
        <v>2.7350427350427351</v>
      </c>
      <c r="Y50" s="807">
        <v>2.7350427350427351</v>
      </c>
      <c r="Z50" s="29"/>
      <c r="AA50" s="811"/>
      <c r="AB50" s="811"/>
      <c r="AC50" s="811"/>
      <c r="AD50" s="811"/>
      <c r="AE50" s="746"/>
      <c r="AF50" s="811"/>
      <c r="AG50" s="807">
        <v>11</v>
      </c>
      <c r="AH50" s="746"/>
      <c r="AI50" s="807">
        <v>50</v>
      </c>
      <c r="AJ50" s="807"/>
      <c r="AK50" s="811"/>
      <c r="AL50" s="746"/>
      <c r="AM50" s="811"/>
      <c r="AN50" s="746"/>
      <c r="AO50" s="746"/>
      <c r="AP50" s="811"/>
      <c r="AQ50" s="19"/>
    </row>
    <row r="51" spans="2:43" x14ac:dyDescent="0.25">
      <c r="B51" s="670" t="s">
        <v>654</v>
      </c>
      <c r="C51" s="791" t="s">
        <v>538</v>
      </c>
      <c r="D51" s="807">
        <v>18</v>
      </c>
      <c r="E51" s="807">
        <v>18</v>
      </c>
      <c r="F51" s="807">
        <v>18</v>
      </c>
      <c r="G51" s="807">
        <v>18</v>
      </c>
      <c r="H51" s="807">
        <v>18</v>
      </c>
      <c r="I51" s="807">
        <v>18</v>
      </c>
      <c r="J51" s="807">
        <v>18</v>
      </c>
      <c r="K51" s="807">
        <v>18</v>
      </c>
      <c r="L51" s="807">
        <v>18</v>
      </c>
      <c r="M51" s="807">
        <v>18</v>
      </c>
      <c r="N51" s="807">
        <v>18</v>
      </c>
      <c r="O51" s="807">
        <v>18</v>
      </c>
      <c r="P51" s="807"/>
      <c r="Q51" s="807">
        <v>18</v>
      </c>
      <c r="R51" s="807">
        <v>18</v>
      </c>
      <c r="S51" s="807">
        <v>0</v>
      </c>
      <c r="T51" s="807">
        <v>0</v>
      </c>
      <c r="U51" s="807">
        <v>0</v>
      </c>
      <c r="V51" s="807">
        <v>0</v>
      </c>
      <c r="W51" s="807">
        <v>7.8157894736842097</v>
      </c>
      <c r="X51" s="807">
        <v>6.1538461538461542</v>
      </c>
      <c r="Y51" s="807">
        <v>6.1538461538461542</v>
      </c>
      <c r="Z51" s="29"/>
      <c r="AA51" s="811"/>
      <c r="AB51" s="811"/>
      <c r="AC51" s="811"/>
      <c r="AD51" s="811"/>
      <c r="AE51" s="746"/>
      <c r="AF51" s="811"/>
      <c r="AG51" s="807">
        <v>0</v>
      </c>
      <c r="AH51" s="746"/>
      <c r="AI51" s="807">
        <v>0</v>
      </c>
      <c r="AJ51" s="807"/>
      <c r="AK51" s="811"/>
      <c r="AL51" s="746"/>
      <c r="AM51" s="811"/>
      <c r="AN51" s="746"/>
      <c r="AO51" s="746"/>
      <c r="AP51" s="811"/>
      <c r="AQ51" s="19"/>
    </row>
    <row r="52" spans="2:43" x14ac:dyDescent="0.25">
      <c r="B52" s="670" t="s">
        <v>655</v>
      </c>
      <c r="C52" s="791" t="s">
        <v>538</v>
      </c>
      <c r="D52" s="807">
        <v>6</v>
      </c>
      <c r="E52" s="807">
        <v>6</v>
      </c>
      <c r="F52" s="807">
        <v>9</v>
      </c>
      <c r="G52" s="807">
        <v>9</v>
      </c>
      <c r="H52" s="807">
        <v>9</v>
      </c>
      <c r="I52" s="807">
        <v>9</v>
      </c>
      <c r="J52" s="807">
        <v>6</v>
      </c>
      <c r="K52" s="807">
        <v>6</v>
      </c>
      <c r="L52" s="807">
        <v>6</v>
      </c>
      <c r="M52" s="807">
        <v>6</v>
      </c>
      <c r="N52" s="807">
        <v>6</v>
      </c>
      <c r="O52" s="807">
        <v>6</v>
      </c>
      <c r="P52" s="807"/>
      <c r="Q52" s="807">
        <v>15</v>
      </c>
      <c r="R52" s="807">
        <v>15</v>
      </c>
      <c r="S52" s="807">
        <v>10</v>
      </c>
      <c r="T52" s="807">
        <v>10</v>
      </c>
      <c r="U52" s="807">
        <v>10</v>
      </c>
      <c r="V52" s="807">
        <v>10</v>
      </c>
      <c r="W52" s="807">
        <v>6.5131578947368425</v>
      </c>
      <c r="X52" s="807">
        <v>5.1282051282051277</v>
      </c>
      <c r="Y52" s="807">
        <v>5.1282051282051277</v>
      </c>
      <c r="Z52" s="29">
        <v>85</v>
      </c>
      <c r="AA52" s="811">
        <v>137</v>
      </c>
      <c r="AB52" s="811">
        <v>54</v>
      </c>
      <c r="AC52" s="811">
        <v>80</v>
      </c>
      <c r="AD52" s="811">
        <v>20</v>
      </c>
      <c r="AE52" s="811">
        <v>50</v>
      </c>
      <c r="AF52" s="811">
        <v>180</v>
      </c>
      <c r="AG52" s="807">
        <v>17</v>
      </c>
      <c r="AH52" s="746"/>
      <c r="AI52" s="807">
        <v>503</v>
      </c>
      <c r="AJ52" s="807">
        <v>245</v>
      </c>
      <c r="AK52" s="811">
        <v>880</v>
      </c>
      <c r="AL52" s="746"/>
      <c r="AM52" s="811">
        <v>1964</v>
      </c>
      <c r="AN52" s="811">
        <v>698</v>
      </c>
      <c r="AO52" s="811">
        <v>1443</v>
      </c>
      <c r="AP52" s="811">
        <v>850</v>
      </c>
      <c r="AQ52" s="19">
        <v>300</v>
      </c>
    </row>
    <row r="53" spans="2:43" x14ac:dyDescent="0.25">
      <c r="B53" s="667" t="s">
        <v>656</v>
      </c>
      <c r="C53" s="791" t="s">
        <v>538</v>
      </c>
      <c r="D53" s="752">
        <v>25</v>
      </c>
      <c r="E53" s="756">
        <v>22</v>
      </c>
      <c r="F53" s="756">
        <v>23</v>
      </c>
      <c r="G53" s="756">
        <v>24</v>
      </c>
      <c r="H53" s="756">
        <v>23</v>
      </c>
      <c r="I53" s="756">
        <v>24</v>
      </c>
      <c r="J53" s="756">
        <v>15</v>
      </c>
      <c r="K53" s="756">
        <v>20</v>
      </c>
      <c r="L53" s="756">
        <v>18</v>
      </c>
      <c r="M53" s="756">
        <v>16</v>
      </c>
      <c r="N53" s="756">
        <v>16</v>
      </c>
      <c r="O53" s="756">
        <v>20</v>
      </c>
      <c r="P53" s="756"/>
      <c r="Q53" s="756">
        <v>20</v>
      </c>
      <c r="R53" s="756">
        <v>13</v>
      </c>
      <c r="S53" s="756">
        <v>18</v>
      </c>
      <c r="T53" s="756">
        <v>17</v>
      </c>
      <c r="U53" s="756">
        <v>17</v>
      </c>
      <c r="V53" s="756">
        <v>15</v>
      </c>
      <c r="W53" s="756">
        <v>9</v>
      </c>
      <c r="X53" s="756">
        <v>11</v>
      </c>
      <c r="Y53" s="756">
        <v>9</v>
      </c>
      <c r="Z53" s="20">
        <v>17</v>
      </c>
      <c r="AA53" s="756">
        <v>15</v>
      </c>
      <c r="AB53" s="756">
        <v>168</v>
      </c>
      <c r="AC53" s="756">
        <v>12</v>
      </c>
      <c r="AD53" s="756"/>
      <c r="AE53" s="811"/>
      <c r="AF53" s="811"/>
      <c r="AG53" s="756">
        <v>0</v>
      </c>
      <c r="AH53" s="811">
        <v>7950</v>
      </c>
      <c r="AI53" s="756">
        <v>537.37</v>
      </c>
      <c r="AJ53" s="756">
        <v>305</v>
      </c>
      <c r="AK53" s="811">
        <v>3059</v>
      </c>
      <c r="AL53" s="746">
        <v>1500</v>
      </c>
      <c r="AM53" s="811">
        <v>35000</v>
      </c>
      <c r="AN53" s="746"/>
      <c r="AO53" s="746"/>
      <c r="AP53" s="811">
        <v>3119</v>
      </c>
      <c r="AQ53" s="19">
        <v>1093</v>
      </c>
    </row>
    <row r="54" spans="2:43" x14ac:dyDescent="0.25">
      <c r="B54" s="667" t="s">
        <v>657</v>
      </c>
      <c r="C54" s="791" t="s">
        <v>538</v>
      </c>
      <c r="D54" s="752"/>
      <c r="E54" s="756"/>
      <c r="F54" s="756"/>
      <c r="G54" s="756"/>
      <c r="H54" s="756"/>
      <c r="I54" s="756"/>
      <c r="J54" s="756"/>
      <c r="K54" s="756"/>
      <c r="L54" s="756"/>
      <c r="M54" s="756"/>
      <c r="N54" s="756"/>
      <c r="O54" s="756"/>
      <c r="P54" s="756"/>
      <c r="Q54" s="756"/>
      <c r="R54" s="756"/>
      <c r="S54" s="756"/>
      <c r="T54" s="756"/>
      <c r="U54" s="756"/>
      <c r="V54" s="756"/>
      <c r="W54" s="756"/>
      <c r="X54" s="756"/>
      <c r="Y54" s="756"/>
      <c r="Z54" s="20"/>
      <c r="AA54" s="756"/>
      <c r="AB54" s="756"/>
      <c r="AC54" s="756"/>
      <c r="AD54" s="756"/>
      <c r="AE54" s="746"/>
      <c r="AF54" s="746"/>
      <c r="AG54" s="756">
        <v>0</v>
      </c>
      <c r="AH54" s="746"/>
      <c r="AI54" s="756">
        <v>1042.3125</v>
      </c>
      <c r="AJ54" s="756">
        <v>1735</v>
      </c>
      <c r="AK54" s="811">
        <v>222</v>
      </c>
      <c r="AL54" s="746"/>
      <c r="AM54" s="811">
        <v>35250</v>
      </c>
      <c r="AN54" s="746"/>
      <c r="AO54" s="746"/>
      <c r="AP54" s="811"/>
      <c r="AQ54" s="19">
        <v>1080</v>
      </c>
    </row>
    <row r="55" spans="2:43" x14ac:dyDescent="0.25">
      <c r="B55" s="667" t="s">
        <v>658</v>
      </c>
      <c r="C55" s="791" t="s">
        <v>538</v>
      </c>
      <c r="D55" s="752"/>
      <c r="E55" s="756"/>
      <c r="F55" s="756"/>
      <c r="G55" s="756"/>
      <c r="H55" s="756"/>
      <c r="I55" s="756"/>
      <c r="J55" s="756"/>
      <c r="K55" s="756"/>
      <c r="L55" s="756"/>
      <c r="M55" s="756"/>
      <c r="N55" s="756"/>
      <c r="O55" s="756"/>
      <c r="P55" s="756"/>
      <c r="Q55" s="756"/>
      <c r="R55" s="756"/>
      <c r="S55" s="756"/>
      <c r="T55" s="756"/>
      <c r="U55" s="756"/>
      <c r="V55" s="756"/>
      <c r="W55" s="756"/>
      <c r="X55" s="756"/>
      <c r="Y55" s="756"/>
      <c r="Z55" s="20"/>
      <c r="AA55" s="756"/>
      <c r="AB55" s="756"/>
      <c r="AC55" s="756"/>
      <c r="AD55" s="756">
        <v>171</v>
      </c>
      <c r="AE55" s="811">
        <v>85</v>
      </c>
      <c r="AF55" s="811">
        <v>228</v>
      </c>
      <c r="AG55" s="756">
        <v>195</v>
      </c>
      <c r="AH55" s="746"/>
      <c r="AI55" s="756">
        <v>1590</v>
      </c>
      <c r="AJ55" s="756"/>
      <c r="AK55" s="811">
        <v>4650</v>
      </c>
      <c r="AL55" s="746">
        <v>1600</v>
      </c>
      <c r="AM55" s="811"/>
      <c r="AN55" s="811">
        <v>5385</v>
      </c>
      <c r="AO55" s="811">
        <v>34262</v>
      </c>
      <c r="AP55" s="811"/>
      <c r="AQ55" s="19"/>
    </row>
    <row r="56" spans="2:43" x14ac:dyDescent="0.25">
      <c r="B56" s="668" t="s">
        <v>659</v>
      </c>
      <c r="C56" s="791"/>
      <c r="D56" s="752"/>
      <c r="E56" s="811"/>
      <c r="F56" s="811"/>
      <c r="G56" s="811"/>
      <c r="H56" s="811"/>
      <c r="I56" s="811"/>
      <c r="J56" s="811"/>
      <c r="K56" s="811"/>
      <c r="L56" s="811"/>
      <c r="M56" s="811"/>
      <c r="N56" s="811"/>
      <c r="O56" s="811"/>
      <c r="P56" s="811"/>
      <c r="Q56" s="811"/>
      <c r="R56" s="811"/>
      <c r="S56" s="811"/>
      <c r="T56" s="811"/>
      <c r="U56" s="811"/>
      <c r="V56" s="811"/>
      <c r="W56" s="811"/>
      <c r="X56" s="811"/>
      <c r="Y56" s="811"/>
      <c r="Z56" s="29"/>
      <c r="AA56" s="811"/>
      <c r="AB56" s="811"/>
      <c r="AC56" s="811"/>
      <c r="AD56" s="811"/>
      <c r="AE56" s="746"/>
      <c r="AF56" s="746"/>
      <c r="AG56" s="811"/>
      <c r="AH56" s="746"/>
      <c r="AI56" s="811"/>
      <c r="AJ56" s="811"/>
      <c r="AK56" s="811"/>
      <c r="AL56" s="746"/>
      <c r="AM56" s="811"/>
      <c r="AN56" s="746"/>
      <c r="AO56" s="746"/>
      <c r="AP56" s="811"/>
      <c r="AQ56" s="19"/>
    </row>
    <row r="57" spans="2:43" x14ac:dyDescent="0.25">
      <c r="B57" s="667" t="s">
        <v>636</v>
      </c>
      <c r="C57" s="791" t="s">
        <v>538</v>
      </c>
      <c r="D57" s="756">
        <v>65.641625000000005</v>
      </c>
      <c r="E57" s="756">
        <v>88.357500000000016</v>
      </c>
      <c r="F57" s="756">
        <v>63.034999999999997</v>
      </c>
      <c r="G57" s="756">
        <v>96.288500000000013</v>
      </c>
      <c r="H57" s="756">
        <v>57.758749999999999</v>
      </c>
      <c r="I57" s="756">
        <v>88.559625000000011</v>
      </c>
      <c r="J57" s="756">
        <v>78.959999999999994</v>
      </c>
      <c r="K57" s="756">
        <v>58.668750000000003</v>
      </c>
      <c r="L57" s="756">
        <v>62.212499999999999</v>
      </c>
      <c r="M57" s="756">
        <v>57.548750000000005</v>
      </c>
      <c r="N57" s="756">
        <v>59.141249999999999</v>
      </c>
      <c r="O57" s="756">
        <v>60.077500000000001</v>
      </c>
      <c r="P57" s="756"/>
      <c r="Q57" s="756">
        <v>35.728000000000002</v>
      </c>
      <c r="R57" s="756">
        <v>43.515999999999998</v>
      </c>
      <c r="S57" s="756">
        <v>85.625</v>
      </c>
      <c r="T57" s="756">
        <v>91.025000000000006</v>
      </c>
      <c r="U57" s="756">
        <v>90.6875</v>
      </c>
      <c r="V57" s="756">
        <v>83.1</v>
      </c>
      <c r="W57" s="756">
        <v>90</v>
      </c>
      <c r="X57" s="756">
        <v>94.5</v>
      </c>
      <c r="Y57" s="756">
        <v>57.548750000000005</v>
      </c>
      <c r="Z57" s="20">
        <v>60.64</v>
      </c>
      <c r="AA57" s="756">
        <v>87.75</v>
      </c>
      <c r="AB57" s="756">
        <v>190</v>
      </c>
      <c r="AC57" s="756">
        <v>152</v>
      </c>
      <c r="AD57" s="756">
        <v>137</v>
      </c>
      <c r="AE57" s="756">
        <v>170</v>
      </c>
      <c r="AF57" s="756">
        <v>53.999999999999993</v>
      </c>
      <c r="AG57" s="756">
        <v>206.99999999999997</v>
      </c>
      <c r="AH57" s="746"/>
      <c r="AI57" s="756">
        <v>968.59999999999991</v>
      </c>
      <c r="AJ57" s="756">
        <v>1100</v>
      </c>
      <c r="AK57" s="756">
        <v>80</v>
      </c>
      <c r="AL57" s="756">
        <v>0</v>
      </c>
      <c r="AM57" s="756">
        <v>16400</v>
      </c>
      <c r="AN57" s="756">
        <v>12830</v>
      </c>
      <c r="AO57" s="756">
        <v>74188</v>
      </c>
      <c r="AP57" s="756">
        <v>840</v>
      </c>
      <c r="AQ57" s="22">
        <v>787.95</v>
      </c>
    </row>
    <row r="58" spans="2:43" x14ac:dyDescent="0.25">
      <c r="B58" s="667" t="s">
        <v>660</v>
      </c>
      <c r="C58" s="791" t="s">
        <v>538</v>
      </c>
      <c r="D58" s="752">
        <v>228.30328948045926</v>
      </c>
      <c r="E58" s="752">
        <v>221.90931912032949</v>
      </c>
      <c r="F58" s="752">
        <v>249.57686372158679</v>
      </c>
      <c r="G58" s="752">
        <v>243.68934645928908</v>
      </c>
      <c r="H58" s="752">
        <v>246.95501637407446</v>
      </c>
      <c r="I58" s="752">
        <v>240.68765928840273</v>
      </c>
      <c r="J58" s="752">
        <v>203.50586400265965</v>
      </c>
      <c r="K58" s="752">
        <v>159.77123379247581</v>
      </c>
      <c r="L58" s="752">
        <v>121.79865330099912</v>
      </c>
      <c r="M58" s="752">
        <v>130.79339942635909</v>
      </c>
      <c r="N58" s="752">
        <v>102.65803721492492</v>
      </c>
      <c r="O58" s="752">
        <v>151.85269741880143</v>
      </c>
      <c r="P58" s="752"/>
      <c r="Q58" s="752">
        <v>169.78654769756236</v>
      </c>
      <c r="R58" s="752">
        <v>80.042390617658555</v>
      </c>
      <c r="S58" s="752">
        <v>43.630928367635711</v>
      </c>
      <c r="T58" s="752">
        <v>39.531955758940057</v>
      </c>
      <c r="U58" s="752">
        <v>39.531955758940057</v>
      </c>
      <c r="V58" s="752">
        <v>33.958791617704662</v>
      </c>
      <c r="W58" s="752">
        <v>55.484914361001323</v>
      </c>
      <c r="X58" s="752">
        <v>81.4892621870883</v>
      </c>
      <c r="Y58" s="752">
        <v>119.67483019115642</v>
      </c>
      <c r="Z58" s="773">
        <v>115.8227536231884</v>
      </c>
      <c r="AA58" s="752">
        <v>128.96855072463768</v>
      </c>
      <c r="AB58" s="752">
        <v>51.049783549783555</v>
      </c>
      <c r="AC58" s="752">
        <v>60.259552042160742</v>
      </c>
      <c r="AD58" s="752">
        <v>164.53491436100131</v>
      </c>
      <c r="AE58" s="752">
        <v>87.491436100131764</v>
      </c>
      <c r="AF58" s="752">
        <v>171.18152067661188</v>
      </c>
      <c r="AG58" s="752">
        <v>194.13078878932205</v>
      </c>
      <c r="AH58" s="746"/>
      <c r="AI58" s="752">
        <v>239.3172971014493</v>
      </c>
      <c r="AJ58" s="752">
        <v>477</v>
      </c>
      <c r="AK58" s="752">
        <v>130</v>
      </c>
      <c r="AL58" s="752">
        <v>0</v>
      </c>
      <c r="AM58" s="752">
        <v>0</v>
      </c>
      <c r="AN58" s="752">
        <v>2210</v>
      </c>
      <c r="AO58" s="752">
        <v>9335</v>
      </c>
      <c r="AP58" s="752">
        <v>291</v>
      </c>
      <c r="AQ58" s="677">
        <v>325</v>
      </c>
    </row>
    <row r="59" spans="2:43" x14ac:dyDescent="0.25">
      <c r="B59" s="667" t="s">
        <v>661</v>
      </c>
      <c r="C59" s="791" t="s">
        <v>538</v>
      </c>
      <c r="D59" s="752">
        <v>256</v>
      </c>
      <c r="E59" s="752">
        <v>256</v>
      </c>
      <c r="F59" s="752">
        <v>265</v>
      </c>
      <c r="G59" s="752">
        <v>265</v>
      </c>
      <c r="H59" s="752">
        <v>265</v>
      </c>
      <c r="I59" s="752">
        <v>265</v>
      </c>
      <c r="J59" s="752">
        <v>152</v>
      </c>
      <c r="K59" s="752">
        <v>196</v>
      </c>
      <c r="L59" s="752">
        <v>196</v>
      </c>
      <c r="M59" s="752">
        <v>152</v>
      </c>
      <c r="N59" s="752">
        <v>152</v>
      </c>
      <c r="O59" s="752">
        <v>137</v>
      </c>
      <c r="P59" s="752"/>
      <c r="Q59" s="752">
        <v>234</v>
      </c>
      <c r="R59" s="752">
        <v>152</v>
      </c>
      <c r="S59" s="752">
        <v>133</v>
      </c>
      <c r="T59" s="752">
        <v>130</v>
      </c>
      <c r="U59" s="752">
        <v>130</v>
      </c>
      <c r="V59" s="752">
        <v>157</v>
      </c>
      <c r="W59" s="752">
        <v>66</v>
      </c>
      <c r="X59" s="752">
        <v>80</v>
      </c>
      <c r="Y59" s="752">
        <v>74.01709401709401</v>
      </c>
      <c r="Z59" s="773">
        <v>85</v>
      </c>
      <c r="AA59" s="752">
        <v>137</v>
      </c>
      <c r="AB59" s="752">
        <v>54</v>
      </c>
      <c r="AC59" s="752">
        <v>80</v>
      </c>
      <c r="AD59" s="752">
        <v>20</v>
      </c>
      <c r="AE59" s="752">
        <v>50</v>
      </c>
      <c r="AF59" s="752">
        <v>180</v>
      </c>
      <c r="AG59" s="752">
        <v>251</v>
      </c>
      <c r="AH59" s="746"/>
      <c r="AI59" s="752">
        <v>783</v>
      </c>
      <c r="AJ59" s="752">
        <v>245</v>
      </c>
      <c r="AK59" s="752">
        <v>880</v>
      </c>
      <c r="AL59" s="752">
        <v>0</v>
      </c>
      <c r="AM59" s="752">
        <v>1964</v>
      </c>
      <c r="AN59" s="752">
        <v>698</v>
      </c>
      <c r="AO59" s="752">
        <v>1443</v>
      </c>
      <c r="AP59" s="752">
        <v>850</v>
      </c>
      <c r="AQ59" s="677">
        <v>300</v>
      </c>
    </row>
    <row r="60" spans="2:43" x14ac:dyDescent="0.25">
      <c r="B60" s="667" t="s">
        <v>662</v>
      </c>
      <c r="C60" s="791" t="s">
        <v>538</v>
      </c>
      <c r="D60" s="756">
        <v>25</v>
      </c>
      <c r="E60" s="756">
        <v>22</v>
      </c>
      <c r="F60" s="756">
        <v>23</v>
      </c>
      <c r="G60" s="756">
        <v>24</v>
      </c>
      <c r="H60" s="756">
        <v>23</v>
      </c>
      <c r="I60" s="756">
        <v>24</v>
      </c>
      <c r="J60" s="756">
        <v>15</v>
      </c>
      <c r="K60" s="756">
        <v>20</v>
      </c>
      <c r="L60" s="756">
        <v>18</v>
      </c>
      <c r="M60" s="756">
        <v>16</v>
      </c>
      <c r="N60" s="756">
        <v>16</v>
      </c>
      <c r="O60" s="756">
        <v>20</v>
      </c>
      <c r="P60" s="756"/>
      <c r="Q60" s="756">
        <v>20</v>
      </c>
      <c r="R60" s="756">
        <v>13</v>
      </c>
      <c r="S60" s="756">
        <v>18</v>
      </c>
      <c r="T60" s="756">
        <v>17</v>
      </c>
      <c r="U60" s="756">
        <v>17</v>
      </c>
      <c r="V60" s="756">
        <v>15</v>
      </c>
      <c r="W60" s="756">
        <v>9</v>
      </c>
      <c r="X60" s="756">
        <v>11</v>
      </c>
      <c r="Y60" s="756">
        <v>9</v>
      </c>
      <c r="Z60" s="20">
        <v>17</v>
      </c>
      <c r="AA60" s="756">
        <v>15</v>
      </c>
      <c r="AB60" s="756">
        <v>168</v>
      </c>
      <c r="AC60" s="756">
        <v>12</v>
      </c>
      <c r="AD60" s="756">
        <v>0</v>
      </c>
      <c r="AE60" s="756">
        <v>0</v>
      </c>
      <c r="AF60" s="756">
        <v>0</v>
      </c>
      <c r="AG60" s="756">
        <v>0</v>
      </c>
      <c r="AH60" s="756">
        <v>7950</v>
      </c>
      <c r="AI60" s="756">
        <v>537.37</v>
      </c>
      <c r="AJ60" s="756">
        <v>305</v>
      </c>
      <c r="AK60" s="756">
        <v>3059</v>
      </c>
      <c r="AL60" s="756">
        <v>1500</v>
      </c>
      <c r="AM60" s="756">
        <v>35000</v>
      </c>
      <c r="AN60" s="756">
        <v>0</v>
      </c>
      <c r="AO60" s="756">
        <v>0</v>
      </c>
      <c r="AP60" s="756">
        <v>3119</v>
      </c>
      <c r="AQ60" s="22">
        <v>1093</v>
      </c>
    </row>
    <row r="61" spans="2:43" x14ac:dyDescent="0.25">
      <c r="B61" s="667" t="s">
        <v>663</v>
      </c>
      <c r="C61" s="791" t="s">
        <v>538</v>
      </c>
      <c r="D61" s="756"/>
      <c r="E61" s="756"/>
      <c r="F61" s="756"/>
      <c r="G61" s="756"/>
      <c r="H61" s="756"/>
      <c r="I61" s="756"/>
      <c r="J61" s="756"/>
      <c r="K61" s="756"/>
      <c r="L61" s="756"/>
      <c r="M61" s="756"/>
      <c r="N61" s="756"/>
      <c r="O61" s="756"/>
      <c r="P61" s="756"/>
      <c r="Q61" s="756"/>
      <c r="R61" s="756"/>
      <c r="S61" s="756"/>
      <c r="T61" s="756"/>
      <c r="U61" s="756"/>
      <c r="V61" s="756"/>
      <c r="W61" s="756"/>
      <c r="X61" s="756"/>
      <c r="Y61" s="756"/>
      <c r="Z61" s="20"/>
      <c r="AA61" s="756"/>
      <c r="AB61" s="756"/>
      <c r="AC61" s="756"/>
      <c r="AD61" s="756"/>
      <c r="AE61" s="756"/>
      <c r="AF61" s="756"/>
      <c r="AG61" s="756">
        <v>0</v>
      </c>
      <c r="AH61" s="756"/>
      <c r="AI61" s="756">
        <v>1042.3125</v>
      </c>
      <c r="AJ61" s="756">
        <v>1735</v>
      </c>
      <c r="AK61" s="756">
        <v>222</v>
      </c>
      <c r="AL61" s="756">
        <v>0</v>
      </c>
      <c r="AM61" s="756">
        <v>35250</v>
      </c>
      <c r="AN61" s="756">
        <v>0</v>
      </c>
      <c r="AO61" s="756">
        <v>0</v>
      </c>
      <c r="AP61" s="811"/>
      <c r="AQ61" s="22">
        <v>1080</v>
      </c>
    </row>
    <row r="62" spans="2:43" x14ac:dyDescent="0.25">
      <c r="B62" s="667" t="s">
        <v>664</v>
      </c>
      <c r="C62" s="791" t="s">
        <v>538</v>
      </c>
      <c r="D62" s="756">
        <v>0</v>
      </c>
      <c r="E62" s="756">
        <v>0</v>
      </c>
      <c r="F62" s="756">
        <v>0</v>
      </c>
      <c r="G62" s="756">
        <v>0</v>
      </c>
      <c r="H62" s="756">
        <v>0</v>
      </c>
      <c r="I62" s="756">
        <v>0</v>
      </c>
      <c r="J62" s="756">
        <v>0</v>
      </c>
      <c r="K62" s="756">
        <v>0</v>
      </c>
      <c r="L62" s="756">
        <v>0</v>
      </c>
      <c r="M62" s="756">
        <v>0</v>
      </c>
      <c r="N62" s="756">
        <v>0</v>
      </c>
      <c r="O62" s="756">
        <v>0</v>
      </c>
      <c r="P62" s="756"/>
      <c r="Q62" s="756">
        <v>0</v>
      </c>
      <c r="R62" s="756">
        <v>0</v>
      </c>
      <c r="S62" s="756">
        <v>0</v>
      </c>
      <c r="T62" s="756">
        <v>0</v>
      </c>
      <c r="U62" s="756">
        <v>0</v>
      </c>
      <c r="V62" s="756">
        <v>0</v>
      </c>
      <c r="W62" s="756">
        <v>0</v>
      </c>
      <c r="X62" s="756">
        <v>0</v>
      </c>
      <c r="Y62" s="756">
        <v>0</v>
      </c>
      <c r="Z62" s="20">
        <v>0</v>
      </c>
      <c r="AA62" s="756">
        <v>0</v>
      </c>
      <c r="AB62" s="756">
        <v>0</v>
      </c>
      <c r="AC62" s="756">
        <v>0</v>
      </c>
      <c r="AD62" s="756">
        <v>171</v>
      </c>
      <c r="AE62" s="756">
        <v>85</v>
      </c>
      <c r="AF62" s="756">
        <v>228</v>
      </c>
      <c r="AG62" s="756">
        <v>195</v>
      </c>
      <c r="AH62" s="746"/>
      <c r="AI62" s="756">
        <v>1590</v>
      </c>
      <c r="AJ62" s="756">
        <v>0</v>
      </c>
      <c r="AK62" s="756">
        <v>4650</v>
      </c>
      <c r="AL62" s="756">
        <v>1600</v>
      </c>
      <c r="AM62" s="756">
        <v>0</v>
      </c>
      <c r="AN62" s="756">
        <v>5385</v>
      </c>
      <c r="AO62" s="756">
        <v>34262</v>
      </c>
      <c r="AP62" s="811"/>
      <c r="AQ62" s="19"/>
    </row>
    <row r="63" spans="2:43" x14ac:dyDescent="0.25">
      <c r="B63" s="675" t="s">
        <v>665</v>
      </c>
      <c r="C63" s="791" t="s">
        <v>538</v>
      </c>
      <c r="D63" s="439">
        <v>574.94491448045926</v>
      </c>
      <c r="E63" s="439">
        <v>588.2668191203295</v>
      </c>
      <c r="F63" s="439">
        <v>600.61186372158681</v>
      </c>
      <c r="G63" s="439">
        <v>628.97784645928914</v>
      </c>
      <c r="H63" s="439">
        <v>592.71376637407445</v>
      </c>
      <c r="I63" s="439">
        <v>618.24728428840274</v>
      </c>
      <c r="J63" s="439">
        <v>449.46586400265966</v>
      </c>
      <c r="K63" s="439">
        <v>434.4399837924758</v>
      </c>
      <c r="L63" s="439">
        <v>398.01115330099913</v>
      </c>
      <c r="M63" s="439">
        <v>356.34214942635913</v>
      </c>
      <c r="N63" s="439">
        <v>329.7992872149249</v>
      </c>
      <c r="O63" s="439">
        <v>368.93019741880141</v>
      </c>
      <c r="P63" s="439"/>
      <c r="Q63" s="439">
        <v>459.51454769756236</v>
      </c>
      <c r="R63" s="439">
        <v>288.55839061765857</v>
      </c>
      <c r="S63" s="439">
        <v>280.2559283676357</v>
      </c>
      <c r="T63" s="439">
        <v>277.55695575894003</v>
      </c>
      <c r="U63" s="439">
        <v>277.21945575894006</v>
      </c>
      <c r="V63" s="439">
        <v>289.05879161770463</v>
      </c>
      <c r="W63" s="439">
        <v>220.48491436100133</v>
      </c>
      <c r="X63" s="439">
        <v>266.98926218708829</v>
      </c>
      <c r="Y63" s="439">
        <v>260.24067420825043</v>
      </c>
      <c r="Z63" s="77">
        <v>278.46275362318841</v>
      </c>
      <c r="AA63" s="439">
        <v>368.71855072463768</v>
      </c>
      <c r="AB63" s="439">
        <v>463.04978354978357</v>
      </c>
      <c r="AC63" s="439">
        <v>304.25955204216075</v>
      </c>
      <c r="AD63" s="439">
        <v>492.53491436100131</v>
      </c>
      <c r="AE63" s="439">
        <v>392.49143610013175</v>
      </c>
      <c r="AF63" s="439">
        <v>633.18152067661185</v>
      </c>
      <c r="AG63" s="439">
        <v>847.13078878932197</v>
      </c>
      <c r="AH63" s="439">
        <v>7950</v>
      </c>
      <c r="AI63" s="439">
        <v>5160.5997971014494</v>
      </c>
      <c r="AJ63" s="439">
        <v>3862</v>
      </c>
      <c r="AK63" s="439">
        <v>9021</v>
      </c>
      <c r="AL63" s="439">
        <v>3100</v>
      </c>
      <c r="AM63" s="439">
        <v>88614</v>
      </c>
      <c r="AN63" s="439">
        <v>21123</v>
      </c>
      <c r="AO63" s="439">
        <v>119228</v>
      </c>
      <c r="AP63" s="439">
        <v>5100</v>
      </c>
      <c r="AQ63" s="78">
        <v>3585.95</v>
      </c>
    </row>
    <row r="64" spans="2:43" x14ac:dyDescent="0.25">
      <c r="B64" s="675" t="s">
        <v>666</v>
      </c>
      <c r="C64" s="791" t="s">
        <v>538</v>
      </c>
      <c r="D64" s="439">
        <v>872.31973060313373</v>
      </c>
      <c r="E64" s="439">
        <v>739.17600226718719</v>
      </c>
      <c r="F64" s="439">
        <v>855.2433536259357</v>
      </c>
      <c r="G64" s="439">
        <v>706.24882600291608</v>
      </c>
      <c r="H64" s="439">
        <v>854.29821481940292</v>
      </c>
      <c r="I64" s="439">
        <v>708.96660030279975</v>
      </c>
      <c r="J64" s="439">
        <v>711.17360759021471</v>
      </c>
      <c r="K64" s="439">
        <v>700.96031757456615</v>
      </c>
      <c r="L64" s="439">
        <v>810.16895307672246</v>
      </c>
      <c r="M64" s="439">
        <v>613.79199471547327</v>
      </c>
      <c r="N64" s="439">
        <v>769.30352713738796</v>
      </c>
      <c r="O64" s="439">
        <v>546.72660107878403</v>
      </c>
      <c r="P64" s="439"/>
      <c r="Q64" s="439">
        <v>741.65109138717662</v>
      </c>
      <c r="R64" s="439">
        <v>492.19927478742193</v>
      </c>
      <c r="S64" s="439">
        <v>458.47682163236431</v>
      </c>
      <c r="T64" s="439">
        <v>401.65884424105991</v>
      </c>
      <c r="U64" s="439">
        <v>391.15779424105995</v>
      </c>
      <c r="V64" s="439">
        <v>403.45787504896191</v>
      </c>
      <c r="W64" s="439">
        <v>479.5150856389987</v>
      </c>
      <c r="X64" s="439">
        <v>633.01073781291166</v>
      </c>
      <c r="Y64" s="439">
        <v>358.2730411052155</v>
      </c>
      <c r="Z64" s="77">
        <v>545.34924637681161</v>
      </c>
      <c r="AA64" s="439">
        <v>682.59344927536222</v>
      </c>
      <c r="AB64" s="439">
        <v>774.45021645021643</v>
      </c>
      <c r="AC64" s="439">
        <v>475.74044795783925</v>
      </c>
      <c r="AD64" s="439">
        <v>594.96508563899874</v>
      </c>
      <c r="AE64" s="439">
        <v>767.50856389986825</v>
      </c>
      <c r="AF64" s="439">
        <v>796.81847932338815</v>
      </c>
      <c r="AG64" s="439">
        <v>768.08357778885488</v>
      </c>
      <c r="AH64" s="439">
        <v>4349.9999999999982</v>
      </c>
      <c r="AI64" s="439">
        <v>2714.6502028985515</v>
      </c>
      <c r="AJ64" s="439">
        <v>1058</v>
      </c>
      <c r="AK64" s="439">
        <v>10979</v>
      </c>
      <c r="AL64" s="439">
        <v>15650</v>
      </c>
      <c r="AM64" s="439">
        <v>16386</v>
      </c>
      <c r="AN64" s="439">
        <v>51877</v>
      </c>
      <c r="AO64" s="439">
        <v>174700</v>
      </c>
      <c r="AP64" s="439">
        <v>8550</v>
      </c>
      <c r="AQ64" s="78">
        <v>3539.05</v>
      </c>
    </row>
    <row r="65" spans="2:45" ht="11" thickBot="1" x14ac:dyDescent="0.3">
      <c r="B65" s="678" t="s">
        <v>667</v>
      </c>
      <c r="C65" s="794"/>
      <c r="D65" s="810" t="s">
        <v>668</v>
      </c>
      <c r="E65" s="813" t="s">
        <v>668</v>
      </c>
      <c r="F65" s="813" t="s">
        <v>668</v>
      </c>
      <c r="G65" s="813" t="s">
        <v>668</v>
      </c>
      <c r="H65" s="813" t="s">
        <v>668</v>
      </c>
      <c r="I65" s="813" t="s">
        <v>668</v>
      </c>
      <c r="J65" s="813" t="s">
        <v>669</v>
      </c>
      <c r="K65" s="813" t="s">
        <v>668</v>
      </c>
      <c r="L65" s="813" t="s">
        <v>668</v>
      </c>
      <c r="M65" s="813" t="s">
        <v>669</v>
      </c>
      <c r="N65" s="813" t="s">
        <v>669</v>
      </c>
      <c r="O65" s="813" t="s">
        <v>668</v>
      </c>
      <c r="P65" s="813" t="s">
        <v>669</v>
      </c>
      <c r="Q65" s="813" t="s">
        <v>668</v>
      </c>
      <c r="R65" s="813" t="s">
        <v>669</v>
      </c>
      <c r="S65" s="813" t="s">
        <v>668</v>
      </c>
      <c r="T65" s="813" t="s">
        <v>669</v>
      </c>
      <c r="U65" s="813" t="s">
        <v>669</v>
      </c>
      <c r="V65" s="813" t="s">
        <v>669</v>
      </c>
      <c r="W65" s="813" t="s">
        <v>669</v>
      </c>
      <c r="X65" s="813" t="s">
        <v>668</v>
      </c>
      <c r="Y65" s="813" t="s">
        <v>669</v>
      </c>
      <c r="Z65" s="831" t="s">
        <v>669</v>
      </c>
      <c r="AA65" s="813" t="s">
        <v>669</v>
      </c>
      <c r="AB65" s="813" t="s">
        <v>669</v>
      </c>
      <c r="AC65" s="813" t="s">
        <v>669</v>
      </c>
      <c r="AD65" s="813" t="s">
        <v>669</v>
      </c>
      <c r="AE65" s="813" t="s">
        <v>669</v>
      </c>
      <c r="AF65" s="813" t="s">
        <v>669</v>
      </c>
      <c r="AG65" s="813" t="s">
        <v>668</v>
      </c>
      <c r="AH65" s="813" t="s">
        <v>668</v>
      </c>
      <c r="AI65" s="813" t="s">
        <v>668</v>
      </c>
      <c r="AJ65" s="813" t="s">
        <v>668</v>
      </c>
      <c r="AK65" s="813" t="s">
        <v>668</v>
      </c>
      <c r="AL65" s="813" t="s">
        <v>668</v>
      </c>
      <c r="AM65" s="813" t="s">
        <v>668</v>
      </c>
      <c r="AN65" s="813" t="s">
        <v>668</v>
      </c>
      <c r="AO65" s="813" t="s">
        <v>668</v>
      </c>
      <c r="AP65" s="813" t="s">
        <v>668</v>
      </c>
      <c r="AQ65" s="679" t="s">
        <v>668</v>
      </c>
    </row>
    <row r="66" spans="2:45" s="238" customFormat="1" ht="11" thickBot="1" x14ac:dyDescent="0.3">
      <c r="Z66" s="837"/>
      <c r="AA66" s="837"/>
      <c r="AB66" s="837"/>
      <c r="AC66" s="837"/>
      <c r="AD66" s="837"/>
      <c r="AE66" s="837"/>
      <c r="AF66" s="837"/>
      <c r="AG66" s="837"/>
      <c r="AH66" s="837"/>
      <c r="AI66" s="837"/>
      <c r="AJ66" s="837"/>
      <c r="AK66" s="837"/>
      <c r="AL66" s="837"/>
      <c r="AM66" s="837"/>
      <c r="AN66" s="837"/>
      <c r="AO66" s="837"/>
      <c r="AP66" s="837"/>
    </row>
    <row r="67" spans="2:45" s="238" customFormat="1" x14ac:dyDescent="0.25">
      <c r="B67" s="1068" t="s">
        <v>670</v>
      </c>
      <c r="C67" s="1073" t="s">
        <v>618</v>
      </c>
      <c r="D67" s="1074">
        <f>Forage!$E$40</f>
        <v>0.66666666666666674</v>
      </c>
      <c r="E67" s="1074">
        <f>Forage!$E$40</f>
        <v>0.66666666666666674</v>
      </c>
      <c r="F67" s="1074">
        <f>Forage!$E$40</f>
        <v>0.66666666666666674</v>
      </c>
      <c r="G67" s="1074">
        <f>Forage!$E$40</f>
        <v>0.66666666666666674</v>
      </c>
      <c r="H67" s="1074">
        <f>Forage!$E$40</f>
        <v>0.66666666666666674</v>
      </c>
      <c r="I67" s="1074">
        <f>Forage!$E$40</f>
        <v>0.66666666666666674</v>
      </c>
      <c r="J67" s="1074">
        <f>Forage!$E$40</f>
        <v>0.66666666666666674</v>
      </c>
      <c r="K67" s="1074">
        <f>Forage!$E$40</f>
        <v>0.66666666666666674</v>
      </c>
      <c r="L67" s="1074">
        <f>Forage!$E$40</f>
        <v>0.66666666666666674</v>
      </c>
      <c r="M67" s="1074">
        <f>Forage!$E$40</f>
        <v>0.66666666666666674</v>
      </c>
      <c r="N67" s="1074">
        <f>Forage!$E$40</f>
        <v>0.66666666666666674</v>
      </c>
      <c r="O67" s="1074">
        <f>Forage!$E$40</f>
        <v>0.66666666666666674</v>
      </c>
      <c r="P67" s="1074">
        <f>Forage!$E$40</f>
        <v>0.66666666666666674</v>
      </c>
      <c r="Q67" s="1074">
        <f>Forage!$E$40</f>
        <v>0.66666666666666674</v>
      </c>
      <c r="R67" s="1074">
        <f>Forage!$E$40</f>
        <v>0.66666666666666674</v>
      </c>
      <c r="S67" s="1074">
        <f>Forage!$E$40</f>
        <v>0.66666666666666674</v>
      </c>
      <c r="T67" s="1074">
        <f>Forage!$E$40</f>
        <v>0.66666666666666674</v>
      </c>
      <c r="U67" s="1074">
        <f>Forage!$E$40</f>
        <v>0.66666666666666674</v>
      </c>
      <c r="V67" s="1074">
        <f>Forage!$E$40</f>
        <v>0.66666666666666674</v>
      </c>
      <c r="W67" s="1074">
        <f>Forage!$E$40</f>
        <v>0.66666666666666674</v>
      </c>
      <c r="X67" s="1074">
        <f>Forage!$E$40</f>
        <v>0.66666666666666674</v>
      </c>
      <c r="Y67" s="1074">
        <f>Forage!$E$40</f>
        <v>0.66666666666666674</v>
      </c>
      <c r="Z67" s="1074">
        <f>Forage!$E$40</f>
        <v>0.66666666666666674</v>
      </c>
      <c r="AA67" s="1074">
        <f>Forage!$E$40</f>
        <v>0.66666666666666674</v>
      </c>
      <c r="AB67" s="1074">
        <f>Forage!$E$40</f>
        <v>0.66666666666666674</v>
      </c>
      <c r="AC67" s="1074">
        <f>Forage!$E$40</f>
        <v>0.66666666666666674</v>
      </c>
      <c r="AD67" s="1074">
        <f>Forage!$E$40</f>
        <v>0.66666666666666674</v>
      </c>
      <c r="AE67" s="1074">
        <f>Forage!$E$40</f>
        <v>0.66666666666666674</v>
      </c>
      <c r="AF67" s="1074">
        <f>Forage!$E$40</f>
        <v>0.66666666666666674</v>
      </c>
      <c r="AG67" s="1074">
        <f>Forage!$E$40</f>
        <v>0.66666666666666674</v>
      </c>
      <c r="AH67" s="1074">
        <f>Forage!$E$40</f>
        <v>0.66666666666666674</v>
      </c>
      <c r="AI67" s="1074">
        <f>Forage!$E$40</f>
        <v>0.66666666666666674</v>
      </c>
      <c r="AJ67" s="1074">
        <f>Forage!$E$40</f>
        <v>0.66666666666666674</v>
      </c>
      <c r="AK67" s="1074">
        <f>Forage!$E$40</f>
        <v>0.66666666666666674</v>
      </c>
      <c r="AL67" s="1074">
        <f>Forage!$E$40</f>
        <v>0.66666666666666674</v>
      </c>
      <c r="AM67" s="1074">
        <f>Forage!$E$40</f>
        <v>0.66666666666666674</v>
      </c>
      <c r="AN67" s="1074">
        <f>Forage!$E$40</f>
        <v>0.66666666666666674</v>
      </c>
      <c r="AO67" s="1074">
        <f>Forage!$E$40</f>
        <v>0.66666666666666674</v>
      </c>
      <c r="AP67" s="1074">
        <f>Forage!$E$40</f>
        <v>0.66666666666666674</v>
      </c>
      <c r="AQ67" s="1075">
        <f>Forage!$E$40</f>
        <v>0.66666666666666674</v>
      </c>
    </row>
    <row r="68" spans="2:45" s="238" customFormat="1" x14ac:dyDescent="0.25">
      <c r="B68" s="1076" t="s">
        <v>671</v>
      </c>
      <c r="C68" s="1036" t="s">
        <v>449</v>
      </c>
      <c r="D68" s="1067">
        <f t="shared" ref="D68:AQ68" si="0">$C$133</f>
        <v>1.96</v>
      </c>
      <c r="E68" s="1067">
        <f t="shared" si="0"/>
        <v>1.96</v>
      </c>
      <c r="F68" s="1067">
        <f t="shared" si="0"/>
        <v>1.96</v>
      </c>
      <c r="G68" s="1067">
        <f t="shared" si="0"/>
        <v>1.96</v>
      </c>
      <c r="H68" s="1067">
        <f t="shared" si="0"/>
        <v>1.96</v>
      </c>
      <c r="I68" s="1067">
        <f t="shared" si="0"/>
        <v>1.96</v>
      </c>
      <c r="J68" s="1067">
        <f t="shared" si="0"/>
        <v>1.96</v>
      </c>
      <c r="K68" s="1067">
        <f t="shared" si="0"/>
        <v>1.96</v>
      </c>
      <c r="L68" s="1067">
        <f t="shared" si="0"/>
        <v>1.96</v>
      </c>
      <c r="M68" s="1067">
        <f t="shared" si="0"/>
        <v>1.96</v>
      </c>
      <c r="N68" s="1067">
        <f t="shared" si="0"/>
        <v>1.96</v>
      </c>
      <c r="O68" s="1067">
        <f t="shared" si="0"/>
        <v>1.96</v>
      </c>
      <c r="P68" s="1067">
        <f t="shared" si="0"/>
        <v>1.96</v>
      </c>
      <c r="Q68" s="1067">
        <f t="shared" si="0"/>
        <v>1.96</v>
      </c>
      <c r="R68" s="1067">
        <f t="shared" si="0"/>
        <v>1.96</v>
      </c>
      <c r="S68" s="1067">
        <f t="shared" si="0"/>
        <v>1.96</v>
      </c>
      <c r="T68" s="1067">
        <f t="shared" si="0"/>
        <v>1.96</v>
      </c>
      <c r="U68" s="1067">
        <f t="shared" si="0"/>
        <v>1.96</v>
      </c>
      <c r="V68" s="1067">
        <f t="shared" si="0"/>
        <v>1.96</v>
      </c>
      <c r="W68" s="1067">
        <f t="shared" si="0"/>
        <v>1.96</v>
      </c>
      <c r="X68" s="1067">
        <f t="shared" si="0"/>
        <v>1.96</v>
      </c>
      <c r="Y68" s="1067">
        <f t="shared" si="0"/>
        <v>1.96</v>
      </c>
      <c r="Z68" s="1067">
        <f t="shared" si="0"/>
        <v>1.96</v>
      </c>
      <c r="AA68" s="1067">
        <f t="shared" si="0"/>
        <v>1.96</v>
      </c>
      <c r="AB68" s="1067">
        <f t="shared" si="0"/>
        <v>1.96</v>
      </c>
      <c r="AC68" s="1067">
        <f t="shared" si="0"/>
        <v>1.96</v>
      </c>
      <c r="AD68" s="1067">
        <f t="shared" si="0"/>
        <v>1.96</v>
      </c>
      <c r="AE68" s="1067">
        <f t="shared" si="0"/>
        <v>1.96</v>
      </c>
      <c r="AF68" s="1067">
        <f t="shared" si="0"/>
        <v>1.96</v>
      </c>
      <c r="AG68" s="1067">
        <f t="shared" si="0"/>
        <v>1.96</v>
      </c>
      <c r="AH68" s="1067">
        <f t="shared" si="0"/>
        <v>1.96</v>
      </c>
      <c r="AI68" s="1067">
        <f t="shared" si="0"/>
        <v>1.96</v>
      </c>
      <c r="AJ68" s="1067">
        <f t="shared" si="0"/>
        <v>1.96</v>
      </c>
      <c r="AK68" s="1067">
        <f t="shared" si="0"/>
        <v>1.96</v>
      </c>
      <c r="AL68" s="1067">
        <f t="shared" si="0"/>
        <v>1.96</v>
      </c>
      <c r="AM68" s="1067">
        <f t="shared" si="0"/>
        <v>1.96</v>
      </c>
      <c r="AN68" s="1067">
        <f t="shared" si="0"/>
        <v>1.96</v>
      </c>
      <c r="AO68" s="1067">
        <f t="shared" si="0"/>
        <v>1.96</v>
      </c>
      <c r="AP68" s="1067">
        <f t="shared" si="0"/>
        <v>1.96</v>
      </c>
      <c r="AQ68" s="1077">
        <f t="shared" si="0"/>
        <v>1.96</v>
      </c>
      <c r="AR68" s="1035"/>
      <c r="AS68" s="1035"/>
    </row>
    <row r="69" spans="2:45" s="238" customFormat="1" x14ac:dyDescent="0.25">
      <c r="B69" s="1076" t="s">
        <v>672</v>
      </c>
      <c r="C69" s="1036" t="s">
        <v>538</v>
      </c>
      <c r="D69" s="1111">
        <f>Forage!$E$40*'Cropping GMs - N cost Grain £'!$C$133*'Cropping GMs - N cost Grain £'!D41</f>
        <v>248.26666666666671</v>
      </c>
      <c r="E69" s="1072">
        <f>E67*'Cropping GMs - N cost Grain £'!$F$68*'Cropping GMs - N cost Grain £'!E41</f>
        <v>248.26666666666671</v>
      </c>
      <c r="F69" s="1072">
        <f>F67*'Cropping GMs - N cost Grain £'!$F$68*'Cropping GMs - N cost Grain £'!F41</f>
        <v>300.53333333333336</v>
      </c>
      <c r="G69" s="1072">
        <f>G67*'Cropping GMs - N cost Grain £'!$E$68*'Cropping GMs - N cost Grain £'!G41</f>
        <v>300.53333333333336</v>
      </c>
      <c r="H69" s="1072">
        <f>H67*'Cropping GMs - N cost Grain £'!$E$68*'Cropping GMs - N cost Grain £'!H41</f>
        <v>287.4666666666667</v>
      </c>
      <c r="I69" s="1072">
        <f>I67*'Cropping GMs - N cost Grain £'!$E$68*'Cropping GMs - N cost Grain £'!I41</f>
        <v>287.4666666666667</v>
      </c>
      <c r="J69" s="1072">
        <f>J67*'Cropping GMs - N cost Grain £'!$E$68*'Cropping GMs - N cost Grain £'!J41</f>
        <v>248.26666666666671</v>
      </c>
      <c r="K69" s="1072">
        <f>K67*'Cropping GMs - N cost Grain £'!$E$68*'Cropping GMs - N cost Grain £'!K41</f>
        <v>182.93333333333337</v>
      </c>
      <c r="L69" s="1072">
        <f>L67*'Cropping GMs - N cost Grain £'!$E$68*'Cropping GMs - N cost Grain £'!L41</f>
        <v>117.60000000000002</v>
      </c>
      <c r="M69" s="1072">
        <f>M67*'Cropping GMs - N cost Grain £'!$E$68*'Cropping GMs - N cost Grain £'!M41</f>
        <v>143.73333333333335</v>
      </c>
      <c r="N69" s="1072">
        <f>N67*'Cropping GMs - N cost Grain £'!$E$68*'Cropping GMs - N cost Grain £'!N41</f>
        <v>91.466666666666683</v>
      </c>
      <c r="O69" s="1072">
        <f>O67*'Cropping GMs - N cost Grain £'!$E$68*'Cropping GMs - N cost Grain £'!O41</f>
        <v>169.8666666666667</v>
      </c>
      <c r="P69" s="1072">
        <f>P67*'Cropping GMs - N cost Grain £'!$E$68*'Cropping GMs - N cost Grain £'!P41</f>
        <v>0</v>
      </c>
      <c r="Q69" s="1072">
        <f>Q67*'Cropping GMs - N cost Grain £'!$E$68*'Cropping GMs - N cost Grain £'!Q41</f>
        <v>248.26666666666671</v>
      </c>
      <c r="R69" s="1072">
        <f>R67*'Cropping GMs - N cost Grain £'!$E$68*'Cropping GMs - N cost Grain £'!R41</f>
        <v>104.53333333333335</v>
      </c>
      <c r="S69" s="1072">
        <f>S67*'Cropping GMs - N cost Grain £'!$E$68*'Cropping GMs - N cost Grain £'!S41</f>
        <v>0</v>
      </c>
      <c r="T69" s="1072">
        <f>T67*'Cropping GMs - N cost Grain £'!$E$68*'Cropping GMs - N cost Grain £'!T41</f>
        <v>0</v>
      </c>
      <c r="U69" s="1072">
        <f>U67*'Cropping GMs - N cost Grain £'!$E$68*'Cropping GMs - N cost Grain £'!U41</f>
        <v>0</v>
      </c>
      <c r="V69" s="1072">
        <f>V67*'Cropping GMs - N cost Grain £'!$E$68*'Cropping GMs - N cost Grain £'!V41</f>
        <v>0</v>
      </c>
      <c r="W69" s="1072">
        <f>W67*'Cropping GMs - N cost Grain £'!$E$68*'Cropping GMs - N cost Grain £'!W41</f>
        <v>65.333333333333343</v>
      </c>
      <c r="X69" s="1072">
        <f>X67*'Cropping GMs - N cost Grain £'!$E$68*'Cropping GMs - N cost Grain £'!X41</f>
        <v>104.53333333333335</v>
      </c>
      <c r="Y69" s="1072">
        <f>Y67*'Cropping GMs - N cost Grain £'!$E$68*'Cropping GMs - N cost Grain £'!Y41</f>
        <v>143.73333333333335</v>
      </c>
      <c r="Z69" s="1072">
        <f>Z67*'Cropping GMs - N cost Grain £'!$E$68*'Cropping GMs - N cost Grain £'!Z41</f>
        <v>169.8666666666667</v>
      </c>
      <c r="AA69" s="1072">
        <f>AA67*'Cropping GMs - N cost Grain £'!$E$68*'Cropping GMs - N cost Grain £'!AA41</f>
        <v>182.93333333333337</v>
      </c>
      <c r="AB69" s="1072">
        <f>AB67*'Cropping GMs - N cost Grain £'!$E$68*'Cropping GMs - N cost Grain £'!AB41</f>
        <v>91.466666666666683</v>
      </c>
      <c r="AC69" s="1072">
        <f>AC67*'Cropping GMs - N cost Grain £'!$E$68*'Cropping GMs - N cost Grain £'!AC41</f>
        <v>32.666666666666671</v>
      </c>
      <c r="AD69" s="1072">
        <f>AD67*'Cropping GMs - N cost Grain £'!$E$68*'Cropping GMs - N cost Grain £'!AD41</f>
        <v>143.73333333333335</v>
      </c>
      <c r="AE69" s="1072">
        <f>AE67*'Cropping GMs - N cost Grain £'!$E$68*'Cropping GMs - N cost Grain £'!AE41</f>
        <v>104.53333333333335</v>
      </c>
      <c r="AF69" s="1072">
        <f>AF67*'Cropping GMs - N cost Grain £'!$E$68*'Cropping GMs - N cost Grain £'!AF41</f>
        <v>209.06666666666669</v>
      </c>
      <c r="AG69" s="1072">
        <f>AG67*'Cropping GMs - N cost Grain £'!$E$68*'Cropping GMs - N cost Grain £'!AG41</f>
        <v>203.84000000000003</v>
      </c>
      <c r="AH69" s="1072">
        <f>AH67*'Cropping GMs - N cost Grain £'!$E$68*'Cropping GMs - N cost Grain £'!AH41</f>
        <v>0</v>
      </c>
      <c r="AI69" s="1072">
        <f>AI67*'Cropping GMs - N cost Grain £'!$E$68*'Cropping GMs - N cost Grain £'!AI41</f>
        <v>209.06666666666669</v>
      </c>
      <c r="AJ69" s="1072">
        <f>AJ67*'Cropping GMs - N cost Grain £'!$E$68*'Cropping GMs - N cost Grain £'!AJ41</f>
        <v>623.28000000000009</v>
      </c>
      <c r="AK69" s="1072">
        <f>AK67*'Cropping GMs - N cost Grain £'!$E$68*'Cropping GMs - N cost Grain £'!AK41</f>
        <v>169.8666666666667</v>
      </c>
      <c r="AL69" s="1072">
        <f>AL67*'Cropping GMs - N cost Grain £'!$E$68*'Cropping GMs - N cost Grain £'!AL41</f>
        <v>0</v>
      </c>
      <c r="AM69" s="1072">
        <f>AM67*'Cropping GMs - N cost Grain £'!$E$68*'Cropping GMs - N cost Grain £'!AM41</f>
        <v>0</v>
      </c>
      <c r="AN69" s="1072">
        <f>AN67*'Cropping GMs - N cost Grain £'!$E$68*'Cropping GMs - N cost Grain £'!AN41</f>
        <v>2887.7333333333336</v>
      </c>
      <c r="AO69" s="1072">
        <f>AO67*'Cropping GMs - N cost Grain £'!$E$68*'Cropping GMs - N cost Grain £'!AO41</f>
        <v>12197.733333333335</v>
      </c>
      <c r="AP69" s="1072">
        <f>AP67*'Cropping GMs - N cost Grain £'!$E$68*'Cropping GMs - N cost Grain £'!AP41</f>
        <v>380.24000000000007</v>
      </c>
      <c r="AQ69" s="1078">
        <f>AQ67*'Cropping GMs - N cost Grain £'!$E$68*'Cropping GMs - N cost Grain £'!AQ41</f>
        <v>424.66666666666674</v>
      </c>
    </row>
    <row r="70" spans="2:45" s="238" customFormat="1" ht="21" x14ac:dyDescent="0.25">
      <c r="B70" s="1108" t="s">
        <v>673</v>
      </c>
      <c r="C70" s="1081" t="s">
        <v>538</v>
      </c>
      <c r="D70" s="1082">
        <f>D63-(D67*D41)+D69</f>
        <v>696.54491448045928</v>
      </c>
      <c r="E70" s="1082">
        <f>E63-(E67*E41)+E69</f>
        <v>709.86681912032952</v>
      </c>
      <c r="F70" s="1082">
        <f t="shared" ref="F70:AQ70" si="1">F63-(F67*F41)+F69</f>
        <v>747.81186372158686</v>
      </c>
      <c r="G70" s="1082">
        <f>G63-(G67*G41)+G69</f>
        <v>776.17784645928919</v>
      </c>
      <c r="H70" s="1082">
        <f t="shared" si="1"/>
        <v>733.51376637407452</v>
      </c>
      <c r="I70" s="1082">
        <f t="shared" si="1"/>
        <v>759.04728428840281</v>
      </c>
      <c r="J70" s="1082">
        <f t="shared" si="1"/>
        <v>571.06586400265974</v>
      </c>
      <c r="K70" s="1082">
        <f t="shared" si="1"/>
        <v>524.03998379247582</v>
      </c>
      <c r="L70" s="1082">
        <f t="shared" si="1"/>
        <v>455.61115330099915</v>
      </c>
      <c r="M70" s="1082">
        <f t="shared" si="1"/>
        <v>426.74214942635911</v>
      </c>
      <c r="N70" s="1082">
        <f t="shared" si="1"/>
        <v>374.59928721492491</v>
      </c>
      <c r="O70" s="1082">
        <f t="shared" si="1"/>
        <v>452.13019741880146</v>
      </c>
      <c r="P70" s="1082">
        <f t="shared" si="1"/>
        <v>0</v>
      </c>
      <c r="Q70" s="1082">
        <f t="shared" si="1"/>
        <v>581.11454769756233</v>
      </c>
      <c r="R70" s="1082">
        <f t="shared" si="1"/>
        <v>339.75839061765856</v>
      </c>
      <c r="S70" s="1082">
        <f t="shared" si="1"/>
        <v>280.2559283676357</v>
      </c>
      <c r="T70" s="1082">
        <f t="shared" si="1"/>
        <v>277.55695575894003</v>
      </c>
      <c r="U70" s="1082">
        <f t="shared" si="1"/>
        <v>277.21945575894006</v>
      </c>
      <c r="V70" s="1082">
        <f t="shared" si="1"/>
        <v>289.05879161770463</v>
      </c>
      <c r="W70" s="1082">
        <f t="shared" si="1"/>
        <v>252.48491436100133</v>
      </c>
      <c r="X70" s="1082">
        <f t="shared" si="1"/>
        <v>318.18926218708827</v>
      </c>
      <c r="Y70" s="1082">
        <f t="shared" si="1"/>
        <v>330.6406742082504</v>
      </c>
      <c r="Z70" s="1082">
        <f t="shared" si="1"/>
        <v>361.66275362318845</v>
      </c>
      <c r="AA70" s="1082">
        <f t="shared" si="1"/>
        <v>458.3185507246377</v>
      </c>
      <c r="AB70" s="1082">
        <f t="shared" si="1"/>
        <v>507.84978354978358</v>
      </c>
      <c r="AC70" s="1082">
        <f t="shared" si="1"/>
        <v>320.25955204216075</v>
      </c>
      <c r="AD70" s="1082">
        <f t="shared" si="1"/>
        <v>562.93491436100135</v>
      </c>
      <c r="AE70" s="1082">
        <f t="shared" si="1"/>
        <v>443.69143610013174</v>
      </c>
      <c r="AF70" s="1082">
        <f t="shared" si="1"/>
        <v>735.58152067661183</v>
      </c>
      <c r="AG70" s="1082">
        <f t="shared" si="1"/>
        <v>946.970788789322</v>
      </c>
      <c r="AH70" s="1082">
        <f t="shared" si="1"/>
        <v>7950</v>
      </c>
      <c r="AI70" s="1082">
        <f t="shared" si="1"/>
        <v>5262.9997971014491</v>
      </c>
      <c r="AJ70" s="1082">
        <f t="shared" si="1"/>
        <v>4167.28</v>
      </c>
      <c r="AK70" s="1082">
        <f t="shared" si="1"/>
        <v>9104.2000000000007</v>
      </c>
      <c r="AL70" s="1082">
        <f t="shared" si="1"/>
        <v>3100</v>
      </c>
      <c r="AM70" s="1082">
        <f t="shared" si="1"/>
        <v>88614</v>
      </c>
      <c r="AN70" s="1082">
        <f t="shared" si="1"/>
        <v>22537.4</v>
      </c>
      <c r="AO70" s="1082">
        <f t="shared" si="1"/>
        <v>125202.40000000001</v>
      </c>
      <c r="AP70" s="1082">
        <f t="shared" si="1"/>
        <v>5286.24</v>
      </c>
      <c r="AQ70" s="1082">
        <f t="shared" si="1"/>
        <v>3793.95</v>
      </c>
    </row>
    <row r="71" spans="2:45" s="238" customFormat="1" x14ac:dyDescent="0.25">
      <c r="B71" s="1107"/>
      <c r="C71" s="1081"/>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c r="AB71" s="1082"/>
      <c r="AC71" s="1082"/>
      <c r="AD71" s="1082"/>
      <c r="AE71" s="1082"/>
      <c r="AF71" s="1082"/>
      <c r="AG71" s="1082"/>
      <c r="AH71" s="1082"/>
      <c r="AI71" s="1082"/>
      <c r="AJ71" s="1082"/>
      <c r="AK71" s="1082"/>
      <c r="AL71" s="1082"/>
      <c r="AM71" s="1082"/>
      <c r="AN71" s="1082"/>
      <c r="AO71" s="1082"/>
      <c r="AP71" s="1082"/>
      <c r="AQ71" s="1082"/>
    </row>
    <row r="72" spans="2:45" s="238" customFormat="1" x14ac:dyDescent="0.25">
      <c r="B72" s="1107" t="s">
        <v>674</v>
      </c>
      <c r="C72" s="1103" t="str">
        <f>C5</f>
        <v>£/t</v>
      </c>
      <c r="D72" s="1103">
        <f t="shared" ref="D72:AQ72" si="2">D5</f>
        <v>150</v>
      </c>
      <c r="E72" s="1103">
        <f t="shared" si="2"/>
        <v>150</v>
      </c>
      <c r="F72" s="1103">
        <f t="shared" si="2"/>
        <v>164</v>
      </c>
      <c r="G72" s="1103">
        <f t="shared" si="2"/>
        <v>164</v>
      </c>
      <c r="H72" s="1103">
        <f t="shared" si="2"/>
        <v>153</v>
      </c>
      <c r="I72" s="1103">
        <f t="shared" si="2"/>
        <v>153</v>
      </c>
      <c r="J72" s="1103">
        <f t="shared" si="2"/>
        <v>164</v>
      </c>
      <c r="K72" s="1103">
        <f t="shared" si="2"/>
        <v>131</v>
      </c>
      <c r="L72" s="1103">
        <f t="shared" si="2"/>
        <v>152</v>
      </c>
      <c r="M72" s="1103">
        <f t="shared" si="2"/>
        <v>131</v>
      </c>
      <c r="N72" s="1103">
        <f t="shared" si="2"/>
        <v>157</v>
      </c>
      <c r="O72" s="1103">
        <f t="shared" si="2"/>
        <v>131</v>
      </c>
      <c r="P72" s="1103">
        <f t="shared" si="2"/>
        <v>0</v>
      </c>
      <c r="Q72" s="1103">
        <f t="shared" si="2"/>
        <v>350</v>
      </c>
      <c r="R72" s="1103">
        <f t="shared" si="2"/>
        <v>350</v>
      </c>
      <c r="S72" s="1103">
        <f t="shared" si="2"/>
        <v>185</v>
      </c>
      <c r="T72" s="1103">
        <f t="shared" si="2"/>
        <v>188</v>
      </c>
      <c r="U72" s="1103">
        <f t="shared" si="2"/>
        <v>185</v>
      </c>
      <c r="V72" s="1103">
        <f t="shared" si="2"/>
        <v>185</v>
      </c>
      <c r="W72" s="1103">
        <f t="shared" si="2"/>
        <v>400</v>
      </c>
      <c r="X72" s="1103">
        <f t="shared" si="2"/>
        <v>400</v>
      </c>
      <c r="Y72" s="1103">
        <f t="shared" si="2"/>
        <v>131</v>
      </c>
      <c r="Z72" s="1103">
        <f t="shared" si="2"/>
        <v>145</v>
      </c>
      <c r="AA72" s="1103">
        <f t="shared" si="2"/>
        <v>160</v>
      </c>
      <c r="AB72" s="1103">
        <f t="shared" si="2"/>
        <v>165</v>
      </c>
      <c r="AC72" s="1103">
        <f t="shared" si="2"/>
        <v>260</v>
      </c>
      <c r="AD72" s="1103">
        <f t="shared" si="2"/>
        <v>145</v>
      </c>
      <c r="AE72" s="1103">
        <f t="shared" si="2"/>
        <v>2900</v>
      </c>
      <c r="AF72" s="1103">
        <f t="shared" si="2"/>
        <v>1100</v>
      </c>
      <c r="AG72" s="1103">
        <f t="shared" si="2"/>
        <v>21.66</v>
      </c>
      <c r="AH72" s="1103">
        <f t="shared" si="2"/>
        <v>8.1999999999999993</v>
      </c>
      <c r="AI72" s="1103">
        <f t="shared" si="2"/>
        <v>170</v>
      </c>
      <c r="AJ72" s="1103">
        <f t="shared" si="2"/>
        <v>410</v>
      </c>
      <c r="AK72" s="1103">
        <f t="shared" si="2"/>
        <v>800</v>
      </c>
      <c r="AL72" s="1103">
        <f t="shared" si="2"/>
        <v>2500</v>
      </c>
      <c r="AM72" s="1103">
        <f t="shared" si="2"/>
        <v>3500</v>
      </c>
      <c r="AN72" s="1103">
        <f t="shared" si="2"/>
        <v>73000</v>
      </c>
      <c r="AO72" s="1103">
        <f t="shared" si="2"/>
        <v>293928</v>
      </c>
      <c r="AP72" s="1103">
        <f t="shared" si="2"/>
        <v>325</v>
      </c>
      <c r="AQ72" s="1103">
        <f t="shared" si="2"/>
        <v>750</v>
      </c>
    </row>
    <row r="73" spans="2:45" s="238" customFormat="1" x14ac:dyDescent="0.25">
      <c r="B73" s="1107" t="s">
        <v>675</v>
      </c>
      <c r="C73" s="1081" t="s">
        <v>449</v>
      </c>
      <c r="D73" s="1104">
        <f t="shared" ref="D73:AQ73" si="3">$E$133</f>
        <v>2.15</v>
      </c>
      <c r="E73" s="1104">
        <f t="shared" si="3"/>
        <v>2.15</v>
      </c>
      <c r="F73" s="1104">
        <f t="shared" si="3"/>
        <v>2.15</v>
      </c>
      <c r="G73" s="1104">
        <f t="shared" si="3"/>
        <v>2.15</v>
      </c>
      <c r="H73" s="1104">
        <f t="shared" si="3"/>
        <v>2.15</v>
      </c>
      <c r="I73" s="1104">
        <f t="shared" si="3"/>
        <v>2.15</v>
      </c>
      <c r="J73" s="1104">
        <f t="shared" si="3"/>
        <v>2.15</v>
      </c>
      <c r="K73" s="1104">
        <f t="shared" si="3"/>
        <v>2.15</v>
      </c>
      <c r="L73" s="1104">
        <f t="shared" si="3"/>
        <v>2.15</v>
      </c>
      <c r="M73" s="1104">
        <f t="shared" si="3"/>
        <v>2.15</v>
      </c>
      <c r="N73" s="1104">
        <f t="shared" si="3"/>
        <v>2.15</v>
      </c>
      <c r="O73" s="1104">
        <f t="shared" si="3"/>
        <v>2.15</v>
      </c>
      <c r="P73" s="1104">
        <f t="shared" si="3"/>
        <v>2.15</v>
      </c>
      <c r="Q73" s="1104">
        <f t="shared" si="3"/>
        <v>2.15</v>
      </c>
      <c r="R73" s="1104">
        <f t="shared" si="3"/>
        <v>2.15</v>
      </c>
      <c r="S73" s="1104">
        <f t="shared" si="3"/>
        <v>2.15</v>
      </c>
      <c r="T73" s="1104">
        <f t="shared" si="3"/>
        <v>2.15</v>
      </c>
      <c r="U73" s="1104">
        <f t="shared" si="3"/>
        <v>2.15</v>
      </c>
      <c r="V73" s="1104">
        <f t="shared" si="3"/>
        <v>2.15</v>
      </c>
      <c r="W73" s="1104">
        <f t="shared" si="3"/>
        <v>2.15</v>
      </c>
      <c r="X73" s="1104">
        <f t="shared" si="3"/>
        <v>2.15</v>
      </c>
      <c r="Y73" s="1104">
        <f t="shared" si="3"/>
        <v>2.15</v>
      </c>
      <c r="Z73" s="1104">
        <f t="shared" si="3"/>
        <v>2.15</v>
      </c>
      <c r="AA73" s="1104">
        <f t="shared" si="3"/>
        <v>2.15</v>
      </c>
      <c r="AB73" s="1104">
        <f t="shared" si="3"/>
        <v>2.15</v>
      </c>
      <c r="AC73" s="1104">
        <f t="shared" si="3"/>
        <v>2.15</v>
      </c>
      <c r="AD73" s="1104">
        <f t="shared" si="3"/>
        <v>2.15</v>
      </c>
      <c r="AE73" s="1104">
        <f t="shared" si="3"/>
        <v>2.15</v>
      </c>
      <c r="AF73" s="1104">
        <f t="shared" si="3"/>
        <v>2.15</v>
      </c>
      <c r="AG73" s="1104">
        <f t="shared" si="3"/>
        <v>2.15</v>
      </c>
      <c r="AH73" s="1104">
        <f t="shared" si="3"/>
        <v>2.15</v>
      </c>
      <c r="AI73" s="1104">
        <f t="shared" si="3"/>
        <v>2.15</v>
      </c>
      <c r="AJ73" s="1104">
        <f t="shared" si="3"/>
        <v>2.15</v>
      </c>
      <c r="AK73" s="1104">
        <f t="shared" si="3"/>
        <v>2.15</v>
      </c>
      <c r="AL73" s="1104">
        <f t="shared" si="3"/>
        <v>2.15</v>
      </c>
      <c r="AM73" s="1104">
        <f t="shared" si="3"/>
        <v>2.15</v>
      </c>
      <c r="AN73" s="1104">
        <f t="shared" si="3"/>
        <v>2.15</v>
      </c>
      <c r="AO73" s="1104">
        <f t="shared" si="3"/>
        <v>2.15</v>
      </c>
      <c r="AP73" s="1104">
        <f t="shared" si="3"/>
        <v>2.15</v>
      </c>
      <c r="AQ73" s="1104">
        <f t="shared" si="3"/>
        <v>2.15</v>
      </c>
    </row>
    <row r="74" spans="2:45" s="238" customFormat="1" x14ac:dyDescent="0.25">
      <c r="B74" s="1107" t="s">
        <v>676</v>
      </c>
      <c r="C74" s="1081" t="s">
        <v>495</v>
      </c>
      <c r="D74" s="1105">
        <f>D72*D73</f>
        <v>322.5</v>
      </c>
      <c r="E74" s="1105">
        <f t="shared" ref="E74:AQ74" si="4">E72*E73</f>
        <v>322.5</v>
      </c>
      <c r="F74" s="1105">
        <f t="shared" si="4"/>
        <v>352.59999999999997</v>
      </c>
      <c r="G74" s="1105">
        <f t="shared" si="4"/>
        <v>352.59999999999997</v>
      </c>
      <c r="H74" s="1105">
        <f t="shared" si="4"/>
        <v>328.95</v>
      </c>
      <c r="I74" s="1105">
        <f t="shared" si="4"/>
        <v>328.95</v>
      </c>
      <c r="J74" s="1105">
        <f t="shared" si="4"/>
        <v>352.59999999999997</v>
      </c>
      <c r="K74" s="1105">
        <f t="shared" si="4"/>
        <v>281.64999999999998</v>
      </c>
      <c r="L74" s="1105">
        <f t="shared" si="4"/>
        <v>326.8</v>
      </c>
      <c r="M74" s="1105">
        <f t="shared" si="4"/>
        <v>281.64999999999998</v>
      </c>
      <c r="N74" s="1105">
        <f t="shared" si="4"/>
        <v>337.55</v>
      </c>
      <c r="O74" s="1105">
        <f t="shared" si="4"/>
        <v>281.64999999999998</v>
      </c>
      <c r="P74" s="1105">
        <f t="shared" si="4"/>
        <v>0</v>
      </c>
      <c r="Q74" s="1105">
        <f t="shared" si="4"/>
        <v>752.5</v>
      </c>
      <c r="R74" s="1105">
        <f t="shared" si="4"/>
        <v>752.5</v>
      </c>
      <c r="S74" s="1105">
        <f t="shared" si="4"/>
        <v>397.75</v>
      </c>
      <c r="T74" s="1105">
        <f t="shared" si="4"/>
        <v>404.2</v>
      </c>
      <c r="U74" s="1105">
        <f t="shared" si="4"/>
        <v>397.75</v>
      </c>
      <c r="V74" s="1105">
        <f t="shared" si="4"/>
        <v>397.75</v>
      </c>
      <c r="W74" s="1105">
        <f t="shared" si="4"/>
        <v>860</v>
      </c>
      <c r="X74" s="1105">
        <f t="shared" si="4"/>
        <v>860</v>
      </c>
      <c r="Y74" s="1105">
        <f t="shared" si="4"/>
        <v>281.64999999999998</v>
      </c>
      <c r="Z74" s="1105">
        <f t="shared" si="4"/>
        <v>311.75</v>
      </c>
      <c r="AA74" s="1105">
        <f t="shared" si="4"/>
        <v>344</v>
      </c>
      <c r="AB74" s="1105">
        <f t="shared" si="4"/>
        <v>354.75</v>
      </c>
      <c r="AC74" s="1105">
        <f t="shared" si="4"/>
        <v>559</v>
      </c>
      <c r="AD74" s="1105">
        <f t="shared" si="4"/>
        <v>311.75</v>
      </c>
      <c r="AE74" s="1105">
        <f t="shared" si="4"/>
        <v>6235</v>
      </c>
      <c r="AF74" s="1105">
        <f t="shared" si="4"/>
        <v>2365</v>
      </c>
      <c r="AG74" s="1105">
        <f t="shared" si="4"/>
        <v>46.568999999999996</v>
      </c>
      <c r="AH74" s="1105">
        <f t="shared" si="4"/>
        <v>17.63</v>
      </c>
      <c r="AI74" s="1105">
        <f t="shared" si="4"/>
        <v>365.5</v>
      </c>
      <c r="AJ74" s="1105">
        <f t="shared" si="4"/>
        <v>881.5</v>
      </c>
      <c r="AK74" s="1105">
        <f t="shared" si="4"/>
        <v>1720</v>
      </c>
      <c r="AL74" s="1105">
        <f t="shared" si="4"/>
        <v>5375</v>
      </c>
      <c r="AM74" s="1105">
        <f t="shared" si="4"/>
        <v>7525</v>
      </c>
      <c r="AN74" s="1105">
        <f t="shared" si="4"/>
        <v>156950</v>
      </c>
      <c r="AO74" s="1105">
        <f t="shared" si="4"/>
        <v>631945.19999999995</v>
      </c>
      <c r="AP74" s="1105">
        <f t="shared" si="4"/>
        <v>698.75</v>
      </c>
      <c r="AQ74" s="1105">
        <f t="shared" si="4"/>
        <v>1612.5</v>
      </c>
    </row>
    <row r="75" spans="2:45" s="238" customFormat="1" ht="21" x14ac:dyDescent="0.25">
      <c r="B75" s="1108" t="s">
        <v>677</v>
      </c>
      <c r="C75" s="1081" t="s">
        <v>538</v>
      </c>
      <c r="D75" s="1106">
        <f>D74*D8+D20*D19*D21</f>
        <v>2914.6101869297249</v>
      </c>
      <c r="E75" s="1106">
        <f t="shared" ref="E75:AQ75" si="5">E74*E8+E20*E19*E21</f>
        <v>2656.9932659831611</v>
      </c>
      <c r="F75" s="1106">
        <f t="shared" si="5"/>
        <v>2933.0799172971729</v>
      </c>
      <c r="G75" s="1106">
        <f t="shared" si="5"/>
        <v>2673.728545793741</v>
      </c>
      <c r="H75" s="1106">
        <f t="shared" si="5"/>
        <v>2914.066959565976</v>
      </c>
      <c r="I75" s="1106">
        <f t="shared" si="5"/>
        <v>2656.5010518710851</v>
      </c>
      <c r="J75" s="1106">
        <f t="shared" si="5"/>
        <v>2298.3660639246796</v>
      </c>
      <c r="K75" s="1106">
        <f t="shared" si="5"/>
        <v>2231.0884479391402</v>
      </c>
      <c r="L75" s="1106">
        <f t="shared" si="5"/>
        <v>2387.565028712102</v>
      </c>
      <c r="M75" s="1106">
        <f t="shared" si="5"/>
        <v>1859.2476099049395</v>
      </c>
      <c r="N75" s="1106">
        <f t="shared" si="5"/>
        <v>2136.5302508574728</v>
      </c>
      <c r="O75" s="1106">
        <f t="shared" si="5"/>
        <v>1754.7069167698085</v>
      </c>
      <c r="P75" s="1106">
        <f t="shared" si="5"/>
        <v>0</v>
      </c>
      <c r="Q75" s="1106">
        <f t="shared" si="5"/>
        <v>2582.5061240321888</v>
      </c>
      <c r="R75" s="1106">
        <f t="shared" si="5"/>
        <v>1678.6289806209229</v>
      </c>
      <c r="S75" s="1106">
        <f t="shared" si="5"/>
        <v>1588.2754124999999</v>
      </c>
      <c r="T75" s="1106">
        <f t="shared" si="5"/>
        <v>1460.3139699999999</v>
      </c>
      <c r="U75" s="1106">
        <f t="shared" si="5"/>
        <v>1437.0110875</v>
      </c>
      <c r="V75" s="1106">
        <f t="shared" si="5"/>
        <v>1488.9108333333331</v>
      </c>
      <c r="W75" s="1106">
        <f t="shared" si="5"/>
        <v>1505</v>
      </c>
      <c r="X75" s="1106">
        <f t="shared" si="5"/>
        <v>1935</v>
      </c>
      <c r="Y75" s="1106">
        <f t="shared" si="5"/>
        <v>1329.8044879239517</v>
      </c>
      <c r="Z75" s="1106">
        <f t="shared" si="5"/>
        <v>1574.1869999999999</v>
      </c>
      <c r="AA75" s="1106">
        <f t="shared" si="5"/>
        <v>2063.3119999999999</v>
      </c>
      <c r="AB75" s="1106">
        <f t="shared" si="5"/>
        <v>2660.625</v>
      </c>
      <c r="AC75" s="1106">
        <f t="shared" si="5"/>
        <v>1677</v>
      </c>
      <c r="AD75" s="1106">
        <f t="shared" si="5"/>
        <v>2338.125</v>
      </c>
      <c r="AE75" s="1106">
        <f t="shared" si="5"/>
        <v>2494</v>
      </c>
      <c r="AF75" s="1106">
        <f t="shared" si="5"/>
        <v>3074.5</v>
      </c>
      <c r="AG75" s="1106">
        <f t="shared" si="5"/>
        <v>3472.71088814308</v>
      </c>
      <c r="AH75" s="1106">
        <f t="shared" si="5"/>
        <v>26445</v>
      </c>
      <c r="AI75" s="1106">
        <f t="shared" si="5"/>
        <v>16931.787500000002</v>
      </c>
      <c r="AJ75" s="1106">
        <f t="shared" si="5"/>
        <v>10578</v>
      </c>
      <c r="AK75" s="1106">
        <f t="shared" si="5"/>
        <v>43000</v>
      </c>
      <c r="AL75" s="1106">
        <f t="shared" si="5"/>
        <v>40312.5</v>
      </c>
      <c r="AM75" s="1106">
        <f t="shared" si="5"/>
        <v>225750</v>
      </c>
      <c r="AN75" s="1106">
        <f t="shared" si="5"/>
        <v>156950</v>
      </c>
      <c r="AO75" s="1106">
        <f t="shared" si="5"/>
        <v>631945.19999999995</v>
      </c>
      <c r="AP75" s="1106">
        <f t="shared" si="5"/>
        <v>29347.5</v>
      </c>
      <c r="AQ75" s="1106">
        <f t="shared" si="5"/>
        <v>15318.75</v>
      </c>
    </row>
    <row r="76" spans="2:45" s="238" customFormat="1" x14ac:dyDescent="0.25">
      <c r="B76" s="1107"/>
      <c r="C76" s="1081"/>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c r="AA76" s="1082"/>
      <c r="AB76" s="1082"/>
      <c r="AC76" s="1082"/>
      <c r="AD76" s="1082"/>
      <c r="AE76" s="1082"/>
      <c r="AF76" s="1082"/>
      <c r="AG76" s="1082"/>
      <c r="AH76" s="1082"/>
      <c r="AI76" s="1082"/>
      <c r="AJ76" s="1082"/>
      <c r="AK76" s="1082"/>
      <c r="AL76" s="1082"/>
      <c r="AM76" s="1082"/>
      <c r="AN76" s="1082"/>
      <c r="AO76" s="1082"/>
      <c r="AP76" s="1082"/>
      <c r="AQ76" s="1082"/>
    </row>
    <row r="77" spans="2:45" s="238" customFormat="1" ht="21" x14ac:dyDescent="0.25">
      <c r="B77" s="1108" t="s">
        <v>678</v>
      </c>
      <c r="C77" s="1110" t="s">
        <v>538</v>
      </c>
      <c r="D77" s="1106">
        <f>D75-D70</f>
        <v>2218.0652724492656</v>
      </c>
      <c r="E77" s="1106">
        <f t="shared" ref="E77:AQ77" si="6">E75-E70</f>
        <v>1947.1264468628315</v>
      </c>
      <c r="F77" s="1106">
        <f t="shared" si="6"/>
        <v>2185.2680535755862</v>
      </c>
      <c r="G77" s="1106">
        <f t="shared" si="6"/>
        <v>1897.5506993344518</v>
      </c>
      <c r="H77" s="1106">
        <f t="shared" si="6"/>
        <v>2180.5531931919013</v>
      </c>
      <c r="I77" s="1106">
        <f t="shared" si="6"/>
        <v>1897.4537675826823</v>
      </c>
      <c r="J77" s="1106">
        <f t="shared" si="6"/>
        <v>1727.3001999220198</v>
      </c>
      <c r="K77" s="1106">
        <f t="shared" si="6"/>
        <v>1707.0484641466644</v>
      </c>
      <c r="L77" s="1106">
        <f t="shared" si="6"/>
        <v>1931.9538754111029</v>
      </c>
      <c r="M77" s="1106">
        <f t="shared" si="6"/>
        <v>1432.5054604785805</v>
      </c>
      <c r="N77" s="1106">
        <f t="shared" si="6"/>
        <v>1761.9309636425478</v>
      </c>
      <c r="O77" s="1106">
        <f t="shared" si="6"/>
        <v>1302.5767193510069</v>
      </c>
      <c r="P77" s="1106">
        <f t="shared" si="6"/>
        <v>0</v>
      </c>
      <c r="Q77" s="1106">
        <f t="shared" si="6"/>
        <v>2001.3915763346265</v>
      </c>
      <c r="R77" s="1106">
        <f t="shared" si="6"/>
        <v>1338.8705900032644</v>
      </c>
      <c r="S77" s="1106">
        <f t="shared" si="6"/>
        <v>1308.0194841323641</v>
      </c>
      <c r="T77" s="1106">
        <f t="shared" si="6"/>
        <v>1182.75701424106</v>
      </c>
      <c r="U77" s="1106">
        <f t="shared" si="6"/>
        <v>1159.79163174106</v>
      </c>
      <c r="V77" s="1106">
        <f t="shared" si="6"/>
        <v>1199.8520417156285</v>
      </c>
      <c r="W77" s="1106">
        <f t="shared" si="6"/>
        <v>1252.5150856389987</v>
      </c>
      <c r="X77" s="1106">
        <f t="shared" si="6"/>
        <v>1616.8107378129116</v>
      </c>
      <c r="Y77" s="1106">
        <f t="shared" si="6"/>
        <v>999.16381371570128</v>
      </c>
      <c r="Z77" s="1106">
        <f t="shared" si="6"/>
        <v>1212.5242463768113</v>
      </c>
      <c r="AA77" s="1106">
        <f t="shared" si="6"/>
        <v>1604.9934492753623</v>
      </c>
      <c r="AB77" s="1106">
        <f t="shared" si="6"/>
        <v>2152.7752164502162</v>
      </c>
      <c r="AC77" s="1106">
        <f t="shared" si="6"/>
        <v>1356.7404479578393</v>
      </c>
      <c r="AD77" s="1106">
        <f t="shared" si="6"/>
        <v>1775.1900856389987</v>
      </c>
      <c r="AE77" s="1106">
        <f t="shared" si="6"/>
        <v>2050.3085638998682</v>
      </c>
      <c r="AF77" s="1106">
        <f t="shared" si="6"/>
        <v>2338.9184793233881</v>
      </c>
      <c r="AG77" s="1106">
        <f t="shared" si="6"/>
        <v>2525.7400993537581</v>
      </c>
      <c r="AH77" s="1106">
        <f t="shared" si="6"/>
        <v>18495</v>
      </c>
      <c r="AI77" s="1106">
        <f t="shared" si="6"/>
        <v>11668.787702898553</v>
      </c>
      <c r="AJ77" s="1106">
        <f t="shared" si="6"/>
        <v>6410.72</v>
      </c>
      <c r="AK77" s="1106">
        <f t="shared" si="6"/>
        <v>33895.800000000003</v>
      </c>
      <c r="AL77" s="1106">
        <f t="shared" si="6"/>
        <v>37212.5</v>
      </c>
      <c r="AM77" s="1106">
        <f t="shared" si="6"/>
        <v>137136</v>
      </c>
      <c r="AN77" s="1106">
        <f t="shared" si="6"/>
        <v>134412.6</v>
      </c>
      <c r="AO77" s="1106">
        <f t="shared" si="6"/>
        <v>506742.79999999993</v>
      </c>
      <c r="AP77" s="1106">
        <f t="shared" si="6"/>
        <v>24061.260000000002</v>
      </c>
      <c r="AQ77" s="1106">
        <f t="shared" si="6"/>
        <v>11524.8</v>
      </c>
    </row>
    <row r="78" spans="2:45" s="238" customFormat="1" ht="21.5" thickBot="1" x14ac:dyDescent="0.3">
      <c r="B78" s="1080" t="s">
        <v>679</v>
      </c>
      <c r="C78" s="1109" t="s">
        <v>538</v>
      </c>
      <c r="D78" s="1079">
        <f>D26-D70</f>
        <v>750.71973060313371</v>
      </c>
      <c r="E78" s="1079">
        <f>E26-E70</f>
        <v>617.57600226718716</v>
      </c>
      <c r="F78" s="1079">
        <f t="shared" ref="F78:AQ78" si="7">F26-F70</f>
        <v>708.04335362593565</v>
      </c>
      <c r="G78" s="1079">
        <f>G26-G70</f>
        <v>559.04882600291603</v>
      </c>
      <c r="H78" s="1079">
        <f t="shared" si="7"/>
        <v>713.49821481940285</v>
      </c>
      <c r="I78" s="1079">
        <f t="shared" si="7"/>
        <v>568.16660030279968</v>
      </c>
      <c r="J78" s="1079">
        <f t="shared" si="7"/>
        <v>589.57360759021458</v>
      </c>
      <c r="K78" s="1079">
        <f t="shared" si="7"/>
        <v>611.36031757456612</v>
      </c>
      <c r="L78" s="1079">
        <f t="shared" si="7"/>
        <v>752.56895307672244</v>
      </c>
      <c r="M78" s="1079">
        <f t="shared" si="7"/>
        <v>543.39199471547329</v>
      </c>
      <c r="N78" s="1079">
        <f t="shared" si="7"/>
        <v>724.50352713738789</v>
      </c>
      <c r="O78" s="1079">
        <f t="shared" si="7"/>
        <v>463.52660107878398</v>
      </c>
      <c r="P78" s="1079">
        <f t="shared" si="7"/>
        <v>0</v>
      </c>
      <c r="Q78" s="1079">
        <f t="shared" si="7"/>
        <v>620.05109138717671</v>
      </c>
      <c r="R78" s="1079">
        <f t="shared" si="7"/>
        <v>440.99927478742194</v>
      </c>
      <c r="S78" s="1079">
        <f t="shared" si="7"/>
        <v>458.47682163236431</v>
      </c>
      <c r="T78" s="1079">
        <f t="shared" si="7"/>
        <v>401.65884424105991</v>
      </c>
      <c r="U78" s="1079">
        <f t="shared" si="7"/>
        <v>391.15779424105995</v>
      </c>
      <c r="V78" s="1079">
        <f t="shared" si="7"/>
        <v>403.45787504896191</v>
      </c>
      <c r="W78" s="1079">
        <f t="shared" si="7"/>
        <v>447.5150856389987</v>
      </c>
      <c r="X78" s="1079">
        <f t="shared" si="7"/>
        <v>581.81073781291173</v>
      </c>
      <c r="Y78" s="1079">
        <f t="shared" si="7"/>
        <v>287.87304110521552</v>
      </c>
      <c r="Z78" s="1079">
        <f t="shared" si="7"/>
        <v>462.14924637681156</v>
      </c>
      <c r="AA78" s="1079">
        <f t="shared" si="7"/>
        <v>592.9934492753622</v>
      </c>
      <c r="AB78" s="1079">
        <f t="shared" si="7"/>
        <v>729.65021645021648</v>
      </c>
      <c r="AC78" s="1079">
        <f t="shared" si="7"/>
        <v>459.74044795783925</v>
      </c>
      <c r="AD78" s="1079">
        <f t="shared" si="7"/>
        <v>524.56508563899865</v>
      </c>
      <c r="AE78" s="1079">
        <f t="shared" si="7"/>
        <v>716.3085638998682</v>
      </c>
      <c r="AF78" s="1079">
        <f t="shared" si="7"/>
        <v>694.41847932338817</v>
      </c>
      <c r="AG78" s="1079">
        <f t="shared" si="7"/>
        <v>668.24357778885485</v>
      </c>
      <c r="AH78" s="1079">
        <f t="shared" si="7"/>
        <v>4349.9999999999982</v>
      </c>
      <c r="AI78" s="1079">
        <f t="shared" si="7"/>
        <v>2612.2502028985518</v>
      </c>
      <c r="AJ78" s="1079">
        <f t="shared" si="7"/>
        <v>752.72000000000025</v>
      </c>
      <c r="AK78" s="1079">
        <f t="shared" si="7"/>
        <v>10895.8</v>
      </c>
      <c r="AL78" s="1079">
        <f t="shared" si="7"/>
        <v>15650</v>
      </c>
      <c r="AM78" s="1079">
        <f t="shared" si="7"/>
        <v>16386</v>
      </c>
      <c r="AN78" s="1079">
        <f t="shared" si="7"/>
        <v>50462.6</v>
      </c>
      <c r="AO78" s="1079">
        <f t="shared" si="7"/>
        <v>168725.59999999998</v>
      </c>
      <c r="AP78" s="1079">
        <f t="shared" si="7"/>
        <v>8363.76</v>
      </c>
      <c r="AQ78" s="1079">
        <f t="shared" si="7"/>
        <v>3331.05</v>
      </c>
    </row>
    <row r="79" spans="2:45" s="238" customFormat="1" x14ac:dyDescent="0.25"/>
    <row r="82" spans="2:45" s="238" customFormat="1" ht="11" thickBot="1" x14ac:dyDescent="0.3"/>
    <row r="83" spans="2:45" ht="32" thickBot="1" x14ac:dyDescent="0.3">
      <c r="B83" s="778" t="s">
        <v>680</v>
      </c>
      <c r="C83" s="779"/>
      <c r="D83" s="780" t="s">
        <v>541</v>
      </c>
      <c r="E83" s="781"/>
      <c r="F83" s="781"/>
      <c r="G83" s="781"/>
      <c r="H83" s="781"/>
      <c r="I83" s="781"/>
      <c r="J83" s="780" t="s">
        <v>551</v>
      </c>
      <c r="K83" s="780" t="s">
        <v>552</v>
      </c>
      <c r="L83" s="782"/>
      <c r="M83" s="780" t="s">
        <v>555</v>
      </c>
      <c r="N83" s="782"/>
      <c r="O83" s="783" t="s">
        <v>559</v>
      </c>
      <c r="P83" s="784" t="s">
        <v>561</v>
      </c>
      <c r="Q83" s="782"/>
      <c r="R83" s="782"/>
      <c r="S83" s="780" t="s">
        <v>563</v>
      </c>
      <c r="T83" s="780" t="s">
        <v>566</v>
      </c>
      <c r="U83" s="780" t="s">
        <v>567</v>
      </c>
      <c r="V83" s="784" t="s">
        <v>568</v>
      </c>
      <c r="W83" s="985"/>
      <c r="X83" s="986"/>
      <c r="Y83" s="986"/>
      <c r="Z83" s="986"/>
      <c r="AA83" s="986"/>
      <c r="AB83" s="986"/>
      <c r="AC83" s="986"/>
      <c r="AD83" s="986"/>
      <c r="AE83" s="986"/>
      <c r="AF83" s="986"/>
      <c r="AG83" s="986"/>
      <c r="AH83" s="986"/>
      <c r="AI83" s="780" t="s">
        <v>681</v>
      </c>
      <c r="AJ83" s="987"/>
      <c r="AK83" s="987"/>
      <c r="AL83" s="987"/>
      <c r="AM83" s="987"/>
      <c r="AN83" s="987"/>
      <c r="AO83" s="987"/>
      <c r="AP83" s="987"/>
      <c r="AQ83" s="987"/>
      <c r="AR83" s="988" t="s">
        <v>682</v>
      </c>
      <c r="AS83" s="1016" t="s">
        <v>683</v>
      </c>
    </row>
    <row r="84" spans="2:45" x14ac:dyDescent="0.25">
      <c r="B84" s="680" t="s">
        <v>684</v>
      </c>
      <c r="C84" s="661" t="s">
        <v>538</v>
      </c>
      <c r="D84" s="715">
        <f>D120</f>
        <v>791.154</v>
      </c>
      <c r="E84" s="681"/>
      <c r="F84" s="681"/>
      <c r="G84" s="681"/>
      <c r="H84" s="681"/>
      <c r="I84" s="681"/>
      <c r="J84" s="715">
        <f t="shared" ref="J84:V84" si="8">J120</f>
        <v>476.60750000000007</v>
      </c>
      <c r="K84" s="715">
        <f t="shared" si="8"/>
        <v>466.04899999999998</v>
      </c>
      <c r="L84" s="681"/>
      <c r="M84" s="715">
        <f t="shared" si="8"/>
        <v>464.11249999999995</v>
      </c>
      <c r="N84" s="681"/>
      <c r="O84" s="680">
        <f t="shared" si="8"/>
        <v>515.69010000000003</v>
      </c>
      <c r="P84" s="682">
        <f t="shared" si="8"/>
        <v>429.61</v>
      </c>
      <c r="Q84" s="681"/>
      <c r="R84" s="681"/>
      <c r="S84" s="715">
        <f t="shared" si="8"/>
        <v>351.26499999999999</v>
      </c>
      <c r="T84" s="715">
        <f t="shared" si="8"/>
        <v>-46.75</v>
      </c>
      <c r="U84" s="715">
        <f t="shared" si="8"/>
        <v>41.25</v>
      </c>
      <c r="V84" s="682">
        <f t="shared" si="8"/>
        <v>-12.438420025000028</v>
      </c>
      <c r="W84" s="973"/>
      <c r="X84" s="972"/>
      <c r="Y84" s="972"/>
      <c r="Z84" s="972"/>
      <c r="AA84" s="972"/>
      <c r="AB84" s="972"/>
      <c r="AC84" s="972"/>
      <c r="AD84" s="972"/>
      <c r="AE84" s="972"/>
      <c r="AF84" s="972"/>
      <c r="AG84" s="972"/>
      <c r="AH84" s="972"/>
      <c r="AI84" s="715">
        <f>AI120</f>
        <v>210</v>
      </c>
      <c r="AJ84" s="972"/>
      <c r="AK84" s="972"/>
      <c r="AL84" s="972"/>
      <c r="AM84" s="972"/>
      <c r="AN84" s="972"/>
      <c r="AO84" s="972"/>
      <c r="AP84" s="972"/>
      <c r="AQ84" s="972"/>
      <c r="AR84" s="715">
        <f>AR120</f>
        <v>-1260</v>
      </c>
      <c r="AS84" s="1013"/>
    </row>
    <row r="85" spans="2:45" x14ac:dyDescent="0.25">
      <c r="B85" s="680" t="s">
        <v>412</v>
      </c>
      <c r="C85" s="661" t="s">
        <v>538</v>
      </c>
      <c r="D85" s="715">
        <f>D118</f>
        <v>638.154</v>
      </c>
      <c r="E85" s="681"/>
      <c r="F85" s="681"/>
      <c r="G85" s="681"/>
      <c r="H85" s="681"/>
      <c r="I85" s="681"/>
      <c r="J85" s="715">
        <f t="shared" ref="J85:T85" si="9">J118</f>
        <v>371.64750000000004</v>
      </c>
      <c r="K85" s="715">
        <f t="shared" si="9"/>
        <v>376.96900000000005</v>
      </c>
      <c r="L85" s="681"/>
      <c r="M85" s="715">
        <f t="shared" si="9"/>
        <v>375.03250000000003</v>
      </c>
      <c r="N85" s="681"/>
      <c r="O85" s="680">
        <f t="shared" si="9"/>
        <v>421.37009999999998</v>
      </c>
      <c r="P85" s="682"/>
      <c r="Q85" s="681"/>
      <c r="R85" s="681"/>
      <c r="S85" s="715">
        <f t="shared" si="9"/>
        <v>221.76499999999999</v>
      </c>
      <c r="T85" s="715">
        <f t="shared" si="9"/>
        <v>-103.14999999999998</v>
      </c>
      <c r="U85" s="715"/>
      <c r="V85" s="682"/>
      <c r="W85" s="973"/>
      <c r="X85" s="972"/>
      <c r="Y85" s="972"/>
      <c r="Z85" s="972"/>
      <c r="AA85" s="972"/>
      <c r="AB85" s="972"/>
      <c r="AC85" s="972"/>
      <c r="AD85" s="972"/>
      <c r="AE85" s="972"/>
      <c r="AF85" s="972"/>
      <c r="AG85" s="972"/>
      <c r="AH85" s="972"/>
      <c r="AI85" s="715">
        <f>AI118</f>
        <v>-571.99999999999955</v>
      </c>
      <c r="AJ85" s="972"/>
      <c r="AK85" s="972"/>
      <c r="AL85" s="972"/>
      <c r="AM85" s="972"/>
      <c r="AN85" s="972"/>
      <c r="AO85" s="972"/>
      <c r="AP85" s="972"/>
      <c r="AQ85" s="972"/>
      <c r="AR85" s="715">
        <f>AR118</f>
        <v>3100</v>
      </c>
      <c r="AS85" s="1012"/>
    </row>
    <row r="86" spans="2:45" x14ac:dyDescent="0.25">
      <c r="B86" s="680" t="s">
        <v>414</v>
      </c>
      <c r="C86" s="661" t="s">
        <v>538</v>
      </c>
      <c r="D86" s="715">
        <f>D119</f>
        <v>944.15399999999988</v>
      </c>
      <c r="E86" s="681"/>
      <c r="F86" s="681"/>
      <c r="G86" s="681"/>
      <c r="H86" s="681"/>
      <c r="I86" s="681"/>
      <c r="J86" s="715">
        <f t="shared" ref="J86:T86" si="10">J119</f>
        <v>581.5675</v>
      </c>
      <c r="K86" s="715">
        <f t="shared" si="10"/>
        <v>555.12900000000002</v>
      </c>
      <c r="L86" s="681"/>
      <c r="M86" s="715">
        <f t="shared" si="10"/>
        <v>553.1925</v>
      </c>
      <c r="N86" s="681"/>
      <c r="O86" s="680">
        <f t="shared" si="10"/>
        <v>610.01010000000008</v>
      </c>
      <c r="P86" s="682"/>
      <c r="Q86" s="681"/>
      <c r="R86" s="681"/>
      <c r="S86" s="715">
        <f t="shared" si="10"/>
        <v>480.76499999999999</v>
      </c>
      <c r="T86" s="715">
        <f t="shared" si="10"/>
        <v>9.6499999999999773</v>
      </c>
      <c r="U86" s="715"/>
      <c r="V86" s="682"/>
      <c r="W86" s="973"/>
      <c r="X86" s="972"/>
      <c r="Y86" s="972"/>
      <c r="Z86" s="972"/>
      <c r="AA86" s="972"/>
      <c r="AB86" s="972"/>
      <c r="AC86" s="972"/>
      <c r="AD86" s="972"/>
      <c r="AE86" s="972"/>
      <c r="AF86" s="972"/>
      <c r="AG86" s="972"/>
      <c r="AH86" s="972"/>
      <c r="AI86" s="715">
        <f>AI119</f>
        <v>992</v>
      </c>
      <c r="AJ86" s="972"/>
      <c r="AK86" s="972"/>
      <c r="AL86" s="972"/>
      <c r="AM86" s="972"/>
      <c r="AN86" s="972"/>
      <c r="AO86" s="972"/>
      <c r="AP86" s="972"/>
      <c r="AQ86" s="972"/>
      <c r="AR86" s="715">
        <f>AR119</f>
        <v>7780</v>
      </c>
      <c r="AS86" s="1014"/>
    </row>
    <row r="87" spans="2:45" x14ac:dyDescent="0.25">
      <c r="B87" s="680" t="s">
        <v>216</v>
      </c>
      <c r="C87" s="661" t="s">
        <v>538</v>
      </c>
      <c r="D87" s="715">
        <f>D122</f>
        <v>4.4746944000000006</v>
      </c>
      <c r="E87" s="681"/>
      <c r="F87" s="681"/>
      <c r="G87" s="681"/>
      <c r="H87" s="681"/>
      <c r="I87" s="681"/>
      <c r="J87" s="715">
        <f t="shared" ref="J87:V87" si="11">J122</f>
        <v>4.8768500000000001</v>
      </c>
      <c r="K87" s="715">
        <f t="shared" si="11"/>
        <v>4.4444664000000005</v>
      </c>
      <c r="L87" s="681"/>
      <c r="M87" s="715">
        <f t="shared" si="11"/>
        <v>3.3757500000000005</v>
      </c>
      <c r="N87" s="681"/>
      <c r="O87" s="680">
        <f t="shared" si="11"/>
        <v>3.618198</v>
      </c>
      <c r="P87" s="682">
        <f t="shared" si="11"/>
        <v>5.1478000000000002</v>
      </c>
      <c r="Q87" s="681"/>
      <c r="R87" s="681"/>
      <c r="S87" s="715">
        <f t="shared" si="11"/>
        <v>7.8206040000000012</v>
      </c>
      <c r="T87" s="715">
        <f t="shared" si="11"/>
        <v>8.6790000000000003</v>
      </c>
      <c r="U87" s="715">
        <f t="shared" si="11"/>
        <v>6.5750000000000002</v>
      </c>
      <c r="V87" s="682">
        <f t="shared" si="11"/>
        <v>7.6487684005000007</v>
      </c>
      <c r="W87" s="973"/>
      <c r="X87" s="972"/>
      <c r="Y87" s="972"/>
      <c r="Z87" s="972"/>
      <c r="AA87" s="972"/>
      <c r="AB87" s="972"/>
      <c r="AC87" s="972"/>
      <c r="AD87" s="972"/>
      <c r="AE87" s="972"/>
      <c r="AF87" s="972"/>
      <c r="AG87" s="972"/>
      <c r="AH87" s="972"/>
      <c r="AI87" s="715">
        <f>AI122</f>
        <v>74</v>
      </c>
      <c r="AJ87" s="972"/>
      <c r="AK87" s="972"/>
      <c r="AL87" s="972"/>
      <c r="AM87" s="972"/>
      <c r="AN87" s="972"/>
      <c r="AO87" s="972"/>
      <c r="AP87" s="972"/>
      <c r="AQ87" s="972"/>
      <c r="AR87" s="715">
        <f>AR122</f>
        <v>125.2</v>
      </c>
      <c r="AS87" s="1014"/>
    </row>
    <row r="88" spans="2:45" x14ac:dyDescent="0.25">
      <c r="B88" s="683"/>
      <c r="C88" s="684"/>
      <c r="D88" s="716"/>
      <c r="E88" s="685"/>
      <c r="F88" s="685"/>
      <c r="G88" s="685"/>
      <c r="H88" s="685"/>
      <c r="I88" s="1"/>
      <c r="J88" s="758"/>
      <c r="K88" s="758"/>
      <c r="L88" s="685"/>
      <c r="M88" s="758"/>
      <c r="N88" s="685"/>
      <c r="O88" s="5"/>
      <c r="P88" s="6"/>
      <c r="Q88" s="685"/>
      <c r="R88" s="685"/>
      <c r="S88" s="758"/>
      <c r="T88" s="758"/>
      <c r="U88" s="758"/>
      <c r="V88" s="6"/>
      <c r="W88" s="683"/>
      <c r="AA88" s="45"/>
      <c r="AB88" s="45"/>
      <c r="AC88" s="45"/>
      <c r="AD88" s="45"/>
      <c r="AE88" s="45"/>
      <c r="AF88" s="45"/>
      <c r="AG88" s="45"/>
      <c r="AH88" s="45"/>
      <c r="AI88" s="758"/>
      <c r="AJ88" s="45"/>
      <c r="AK88" s="45"/>
      <c r="AL88" s="45"/>
      <c r="AM88" s="45"/>
      <c r="AN88" s="45"/>
      <c r="AO88" s="45"/>
      <c r="AP88" s="45"/>
      <c r="AR88" s="758"/>
      <c r="AS88" s="746"/>
    </row>
    <row r="89" spans="2:45" x14ac:dyDescent="0.25">
      <c r="B89" s="665" t="s">
        <v>981</v>
      </c>
      <c r="C89" s="686" t="s">
        <v>495</v>
      </c>
      <c r="D89" s="744">
        <f>D5</f>
        <v>150</v>
      </c>
      <c r="E89" s="687"/>
      <c r="F89" s="687"/>
      <c r="G89" s="687"/>
      <c r="H89" s="259"/>
      <c r="I89" s="259"/>
      <c r="J89" s="744">
        <f t="shared" ref="J89:K89" si="12">J5</f>
        <v>164</v>
      </c>
      <c r="K89" s="744">
        <f t="shared" si="12"/>
        <v>131</v>
      </c>
      <c r="L89" s="687"/>
      <c r="M89" s="744">
        <f>M5</f>
        <v>131</v>
      </c>
      <c r="N89" s="687"/>
      <c r="O89" s="744">
        <f t="shared" ref="O89" si="13">O5</f>
        <v>131</v>
      </c>
      <c r="P89" s="744">
        <v>140</v>
      </c>
      <c r="Q89" s="687"/>
      <c r="R89" s="687"/>
      <c r="S89" s="744">
        <f t="shared" ref="S89:V89" si="14">S5</f>
        <v>185</v>
      </c>
      <c r="T89" s="744">
        <f t="shared" si="14"/>
        <v>188</v>
      </c>
      <c r="U89" s="744">
        <f t="shared" si="14"/>
        <v>185</v>
      </c>
      <c r="V89" s="744">
        <f t="shared" si="14"/>
        <v>185</v>
      </c>
      <c r="W89" s="974"/>
      <c r="AA89" s="45"/>
      <c r="AB89" s="45"/>
      <c r="AC89" s="45"/>
      <c r="AD89" s="45"/>
      <c r="AE89" s="45"/>
      <c r="AF89" s="45"/>
      <c r="AG89" s="45"/>
      <c r="AH89" s="45"/>
      <c r="AI89" s="744">
        <f>AI5</f>
        <v>170</v>
      </c>
      <c r="AJ89" s="45"/>
      <c r="AK89" s="45"/>
      <c r="AL89" s="45"/>
      <c r="AM89" s="45"/>
      <c r="AN89" s="45"/>
      <c r="AO89" s="45"/>
      <c r="AP89" s="45"/>
      <c r="AR89" s="744">
        <v>200</v>
      </c>
      <c r="AS89" s="744">
        <v>700</v>
      </c>
    </row>
    <row r="90" spans="2:45" x14ac:dyDescent="0.25">
      <c r="B90" s="667" t="s">
        <v>983</v>
      </c>
      <c r="C90" s="686" t="s">
        <v>449</v>
      </c>
      <c r="D90" s="745">
        <f>$E$133</f>
        <v>2.15</v>
      </c>
      <c r="E90" s="688"/>
      <c r="F90" s="688"/>
      <c r="G90" s="688"/>
      <c r="H90" s="258"/>
      <c r="I90" s="258"/>
      <c r="J90" s="745">
        <f>$E$133</f>
        <v>2.15</v>
      </c>
      <c r="K90" s="745">
        <f>$E$133</f>
        <v>2.15</v>
      </c>
      <c r="L90" s="688"/>
      <c r="M90" s="745">
        <f>$E$133</f>
        <v>2.15</v>
      </c>
      <c r="N90" s="688"/>
      <c r="O90" s="745">
        <f>$E$133</f>
        <v>2.15</v>
      </c>
      <c r="P90" s="745">
        <f>$E$133</f>
        <v>2.15</v>
      </c>
      <c r="Q90" s="688"/>
      <c r="R90" s="688"/>
      <c r="S90" s="745">
        <f t="shared" ref="S90:V91" si="15">$E$133</f>
        <v>2.15</v>
      </c>
      <c r="T90" s="745">
        <f t="shared" si="15"/>
        <v>2.15</v>
      </c>
      <c r="U90" s="745">
        <f t="shared" si="15"/>
        <v>2.15</v>
      </c>
      <c r="V90" s="745">
        <f t="shared" si="15"/>
        <v>2.15</v>
      </c>
      <c r="W90" s="975"/>
      <c r="AA90" s="45"/>
      <c r="AB90" s="45"/>
      <c r="AC90" s="45"/>
      <c r="AD90" s="45"/>
      <c r="AE90" s="45"/>
      <c r="AF90" s="45"/>
      <c r="AG90" s="45"/>
      <c r="AH90" s="45"/>
      <c r="AI90" s="745">
        <f>$E$133</f>
        <v>2.15</v>
      </c>
      <c r="AJ90" s="45"/>
      <c r="AK90" s="45"/>
      <c r="AL90" s="45"/>
      <c r="AM90" s="45"/>
      <c r="AN90" s="45"/>
      <c r="AO90" s="45"/>
      <c r="AP90" s="45"/>
      <c r="AR90" s="745">
        <f>$E$133</f>
        <v>2.15</v>
      </c>
      <c r="AS90" s="745">
        <f>$E$133</f>
        <v>2.15</v>
      </c>
    </row>
    <row r="91" spans="2:45" x14ac:dyDescent="0.25">
      <c r="B91" s="667" t="s">
        <v>687</v>
      </c>
      <c r="C91" s="686" t="s">
        <v>449</v>
      </c>
      <c r="D91" s="745">
        <f>$E$133</f>
        <v>2.15</v>
      </c>
      <c r="E91" s="688"/>
      <c r="F91" s="688"/>
      <c r="G91" s="688"/>
      <c r="H91" s="258"/>
      <c r="I91" s="258"/>
      <c r="J91" s="745">
        <f>$E$133</f>
        <v>2.15</v>
      </c>
      <c r="K91" s="745">
        <f>$E$133</f>
        <v>2.15</v>
      </c>
      <c r="L91" s="688"/>
      <c r="M91" s="745">
        <f>$E$133</f>
        <v>2.15</v>
      </c>
      <c r="N91" s="688"/>
      <c r="O91" s="745">
        <f>$E$133</f>
        <v>2.15</v>
      </c>
      <c r="P91" s="745">
        <f>$E$133</f>
        <v>2.15</v>
      </c>
      <c r="Q91" s="688"/>
      <c r="R91" s="688"/>
      <c r="S91" s="745">
        <f t="shared" si="15"/>
        <v>2.15</v>
      </c>
      <c r="T91" s="745">
        <f t="shared" si="15"/>
        <v>2.15</v>
      </c>
      <c r="U91" s="745">
        <f t="shared" si="15"/>
        <v>2.15</v>
      </c>
      <c r="V91" s="745">
        <f t="shared" si="15"/>
        <v>2.15</v>
      </c>
      <c r="W91" s="975"/>
      <c r="AA91" s="45"/>
      <c r="AB91" s="45"/>
      <c r="AC91" s="45"/>
      <c r="AD91" s="45"/>
      <c r="AE91" s="45"/>
      <c r="AF91" s="45"/>
      <c r="AG91" s="45"/>
      <c r="AH91" s="45"/>
      <c r="AI91" s="745"/>
      <c r="AJ91" s="45"/>
      <c r="AK91" s="45"/>
      <c r="AL91" s="45"/>
      <c r="AM91" s="45"/>
      <c r="AN91" s="45"/>
      <c r="AO91" s="45"/>
      <c r="AP91" s="45"/>
      <c r="AR91" s="745"/>
      <c r="AS91" s="745"/>
    </row>
    <row r="92" spans="2:45" x14ac:dyDescent="0.25">
      <c r="B92" s="668" t="s">
        <v>688</v>
      </c>
      <c r="C92" s="690"/>
      <c r="D92" s="746"/>
      <c r="E92" s="155"/>
      <c r="F92" s="155"/>
      <c r="G92" s="155"/>
      <c r="H92" s="155"/>
      <c r="I92" s="155"/>
      <c r="J92" s="746"/>
      <c r="K92" s="746"/>
      <c r="L92" s="155"/>
      <c r="M92" s="746"/>
      <c r="N92" s="155"/>
      <c r="O92" s="46"/>
      <c r="P92" s="153"/>
      <c r="Q92" s="155"/>
      <c r="R92" s="155"/>
      <c r="S92" s="746"/>
      <c r="T92" s="746"/>
      <c r="U92" s="746"/>
      <c r="V92" s="153"/>
      <c r="W92" s="46"/>
      <c r="AA92" s="45"/>
      <c r="AB92" s="45"/>
      <c r="AC92" s="45"/>
      <c r="AD92" s="45"/>
      <c r="AE92" s="45"/>
      <c r="AF92" s="45"/>
      <c r="AG92" s="45"/>
      <c r="AH92" s="45"/>
      <c r="AI92" s="811"/>
      <c r="AJ92" s="45"/>
      <c r="AK92" s="45"/>
      <c r="AL92" s="45"/>
      <c r="AM92" s="45"/>
      <c r="AN92" s="45"/>
      <c r="AO92" s="45"/>
      <c r="AP92" s="45"/>
      <c r="AR92" s="989"/>
      <c r="AS92" s="1019"/>
    </row>
    <row r="93" spans="2:45" x14ac:dyDescent="0.25">
      <c r="B93" s="670" t="s">
        <v>412</v>
      </c>
      <c r="C93" s="392" t="s">
        <v>539</v>
      </c>
      <c r="D93" s="747">
        <f>D95*80%</f>
        <v>4.08</v>
      </c>
      <c r="E93" s="692"/>
      <c r="F93" s="692"/>
      <c r="G93" s="692"/>
      <c r="H93" s="691"/>
      <c r="I93" s="691"/>
      <c r="J93" s="747">
        <f>J95*80%</f>
        <v>2.5600000000000005</v>
      </c>
      <c r="K93" s="747">
        <f>K95*80%</f>
        <v>2.72</v>
      </c>
      <c r="L93" s="692"/>
      <c r="M93" s="747">
        <f>M95*80%</f>
        <v>2.72</v>
      </c>
      <c r="N93" s="692"/>
      <c r="O93" s="763">
        <f>O95*80%</f>
        <v>2.8800000000000003</v>
      </c>
      <c r="P93" s="693"/>
      <c r="Q93" s="692"/>
      <c r="R93" s="692"/>
      <c r="S93" s="747">
        <f>S95*80%</f>
        <v>2.8000000000000003</v>
      </c>
      <c r="T93" s="747">
        <f>T95*80%</f>
        <v>1.2000000000000002</v>
      </c>
      <c r="U93" s="747"/>
      <c r="V93" s="693"/>
      <c r="W93" s="976"/>
      <c r="AA93" s="45"/>
      <c r="AB93" s="45"/>
      <c r="AC93" s="45"/>
      <c r="AD93" s="45"/>
      <c r="AE93" s="45"/>
      <c r="AF93" s="45"/>
      <c r="AG93" s="45"/>
      <c r="AH93" s="45"/>
      <c r="AI93" s="747">
        <f>AI95*80%</f>
        <v>18.400000000000002</v>
      </c>
      <c r="AJ93" s="45"/>
      <c r="AK93" s="45"/>
      <c r="AL93" s="45"/>
      <c r="AM93" s="45"/>
      <c r="AN93" s="45"/>
      <c r="AO93" s="45"/>
      <c r="AP93" s="45"/>
      <c r="AR93" s="747">
        <f>AR95*0.8</f>
        <v>20</v>
      </c>
      <c r="AS93" s="1018"/>
    </row>
    <row r="94" spans="2:45" x14ac:dyDescent="0.25">
      <c r="B94" s="670" t="s">
        <v>414</v>
      </c>
      <c r="C94" s="392" t="s">
        <v>539</v>
      </c>
      <c r="D94" s="747">
        <f>D95*120%</f>
        <v>6.1199999999999992</v>
      </c>
      <c r="E94" s="692"/>
      <c r="F94" s="692"/>
      <c r="G94" s="692"/>
      <c r="H94" s="691"/>
      <c r="I94" s="691"/>
      <c r="J94" s="747">
        <f>J95*120%</f>
        <v>3.84</v>
      </c>
      <c r="K94" s="747">
        <f>K95*120%</f>
        <v>4.08</v>
      </c>
      <c r="L94" s="692"/>
      <c r="M94" s="747">
        <f>M95*120%</f>
        <v>4.08</v>
      </c>
      <c r="N94" s="692"/>
      <c r="O94" s="763">
        <f>O95*120%</f>
        <v>4.32</v>
      </c>
      <c r="P94" s="693"/>
      <c r="Q94" s="692"/>
      <c r="R94" s="692"/>
      <c r="S94" s="747">
        <f>S95*120%</f>
        <v>4.2</v>
      </c>
      <c r="T94" s="747">
        <f>T95*120%</f>
        <v>1.7999999999999998</v>
      </c>
      <c r="U94" s="747"/>
      <c r="V94" s="693"/>
      <c r="W94" s="976"/>
      <c r="AA94" s="45"/>
      <c r="AB94" s="45"/>
      <c r="AC94" s="45"/>
      <c r="AD94" s="45"/>
      <c r="AE94" s="45"/>
      <c r="AF94" s="45"/>
      <c r="AG94" s="45"/>
      <c r="AH94" s="45"/>
      <c r="AI94" s="747">
        <f>AI95*120%</f>
        <v>27.599999999999998</v>
      </c>
      <c r="AJ94" s="45"/>
      <c r="AK94" s="45"/>
      <c r="AL94" s="45"/>
      <c r="AM94" s="45"/>
      <c r="AN94" s="45"/>
      <c r="AO94" s="45"/>
      <c r="AP94" s="45"/>
      <c r="AR94" s="747">
        <f>AR95*1.2</f>
        <v>30</v>
      </c>
      <c r="AS94" s="1018"/>
    </row>
    <row r="95" spans="2:45" x14ac:dyDescent="0.25">
      <c r="B95" s="667" t="s">
        <v>620</v>
      </c>
      <c r="C95" s="392" t="s">
        <v>539</v>
      </c>
      <c r="D95" s="748">
        <v>5.0999999999999996</v>
      </c>
      <c r="E95" s="695" t="s">
        <v>690</v>
      </c>
      <c r="F95" s="694"/>
      <c r="G95" s="694"/>
      <c r="H95" s="23"/>
      <c r="I95" s="23"/>
      <c r="J95" s="759">
        <v>3.2</v>
      </c>
      <c r="K95" s="759">
        <v>3.4</v>
      </c>
      <c r="L95" s="695" t="s">
        <v>690</v>
      </c>
      <c r="M95" s="759">
        <v>3.4</v>
      </c>
      <c r="N95" s="695" t="s">
        <v>690</v>
      </c>
      <c r="O95" s="764">
        <v>3.6</v>
      </c>
      <c r="P95" s="696">
        <v>3.3</v>
      </c>
      <c r="Q95" s="695"/>
      <c r="R95" s="694"/>
      <c r="S95" s="759">
        <v>3.5</v>
      </c>
      <c r="T95" s="759">
        <v>1.5</v>
      </c>
      <c r="U95" s="759">
        <v>2</v>
      </c>
      <c r="V95" s="696">
        <v>2</v>
      </c>
      <c r="W95" s="977"/>
      <c r="AA95" s="45"/>
      <c r="AB95" s="45"/>
      <c r="AC95" s="45"/>
      <c r="AD95" s="45"/>
      <c r="AE95" s="45"/>
      <c r="AF95" s="45"/>
      <c r="AG95" s="45"/>
      <c r="AH95" s="45"/>
      <c r="AI95" s="759">
        <v>23</v>
      </c>
      <c r="AJ95" s="45"/>
      <c r="AK95" s="45"/>
      <c r="AL95" s="45"/>
      <c r="AM95" s="45"/>
      <c r="AN95" s="45"/>
      <c r="AO95" s="45"/>
      <c r="AP95" s="45"/>
      <c r="AR95" s="760">
        <v>25</v>
      </c>
      <c r="AS95" s="1017">
        <v>11.9</v>
      </c>
    </row>
    <row r="96" spans="2:45" x14ac:dyDescent="0.25">
      <c r="B96" s="667" t="s">
        <v>625</v>
      </c>
      <c r="C96" s="392" t="s">
        <v>539</v>
      </c>
      <c r="D96" s="749">
        <v>3.01</v>
      </c>
      <c r="E96" s="697"/>
      <c r="F96" s="697"/>
      <c r="G96" s="697"/>
      <c r="H96" s="672"/>
      <c r="I96" s="672"/>
      <c r="J96" s="749">
        <v>3.01</v>
      </c>
      <c r="K96" s="749">
        <v>2.52</v>
      </c>
      <c r="L96" s="697"/>
      <c r="M96" s="749">
        <v>2.5</v>
      </c>
      <c r="N96" s="697"/>
      <c r="O96" s="765">
        <v>3</v>
      </c>
      <c r="P96" s="766">
        <v>3</v>
      </c>
      <c r="Q96" s="697"/>
      <c r="R96" s="697"/>
      <c r="S96" s="759">
        <v>0</v>
      </c>
      <c r="T96" s="759">
        <v>0</v>
      </c>
      <c r="U96" s="759"/>
      <c r="V96" s="696"/>
      <c r="W96" s="978"/>
      <c r="AA96" s="45"/>
      <c r="AB96" s="45"/>
      <c r="AC96" s="45"/>
      <c r="AD96" s="45"/>
      <c r="AE96" s="45"/>
      <c r="AF96" s="45"/>
      <c r="AG96" s="45"/>
      <c r="AH96" s="45"/>
      <c r="AI96" s="749"/>
      <c r="AJ96" s="45"/>
      <c r="AK96" s="45"/>
      <c r="AL96" s="45"/>
      <c r="AM96" s="45"/>
      <c r="AN96" s="45"/>
      <c r="AO96" s="45"/>
      <c r="AP96" s="45"/>
      <c r="AR96" s="989"/>
      <c r="AS96" s="746"/>
    </row>
    <row r="97" spans="2:46" x14ac:dyDescent="0.25">
      <c r="B97" s="667" t="s">
        <v>626</v>
      </c>
      <c r="C97" s="698" t="s">
        <v>495</v>
      </c>
      <c r="D97" s="750">
        <v>65</v>
      </c>
      <c r="E97" s="176"/>
      <c r="F97" s="699"/>
      <c r="G97" s="699"/>
      <c r="H97" s="700"/>
      <c r="I97" s="700"/>
      <c r="J97" s="750">
        <v>65</v>
      </c>
      <c r="K97" s="750">
        <v>75</v>
      </c>
      <c r="L97" s="699"/>
      <c r="M97" s="750">
        <v>75</v>
      </c>
      <c r="N97" s="699"/>
      <c r="O97" s="767">
        <v>75</v>
      </c>
      <c r="P97" s="768">
        <v>75</v>
      </c>
      <c r="Q97" s="699"/>
      <c r="R97" s="699"/>
      <c r="S97" s="776">
        <v>0</v>
      </c>
      <c r="T97" s="776">
        <v>0</v>
      </c>
      <c r="U97" s="776"/>
      <c r="V97" s="701"/>
      <c r="W97" s="979"/>
      <c r="AA97" s="45"/>
      <c r="AB97" s="45"/>
      <c r="AC97" s="45"/>
      <c r="AD97" s="45"/>
      <c r="AE97" s="45"/>
      <c r="AF97" s="45"/>
      <c r="AG97" s="45"/>
      <c r="AH97" s="45"/>
      <c r="AI97" s="776"/>
      <c r="AJ97" s="45"/>
      <c r="AK97" s="45"/>
      <c r="AL97" s="45"/>
      <c r="AM97" s="45"/>
      <c r="AN97" s="45"/>
      <c r="AO97" s="45"/>
      <c r="AP97" s="45"/>
      <c r="AR97" s="756"/>
      <c r="AS97" s="1011"/>
    </row>
    <row r="98" spans="2:46" x14ac:dyDescent="0.25">
      <c r="B98" s="702" t="s">
        <v>628</v>
      </c>
      <c r="C98" s="177" t="s">
        <v>538</v>
      </c>
      <c r="D98" s="751">
        <f>(D89*D93)+(D96*D97)</f>
        <v>807.65</v>
      </c>
      <c r="E98" s="178"/>
      <c r="F98" s="178"/>
      <c r="G98" s="178"/>
      <c r="H98" s="178"/>
      <c r="I98" s="178"/>
      <c r="J98" s="751">
        <f>(J89*J93)+(J96*J97)</f>
        <v>615.49</v>
      </c>
      <c r="K98" s="751">
        <f>(K89*K93)+(K96*K97)</f>
        <v>545.32000000000005</v>
      </c>
      <c r="L98" s="178"/>
      <c r="M98" s="751">
        <f>(M89*M93)+(M96*M97)</f>
        <v>543.82000000000005</v>
      </c>
      <c r="N98" s="178"/>
      <c r="O98" s="769">
        <f>(O89*O93)+(O96*O97)</f>
        <v>602.28</v>
      </c>
      <c r="P98" s="703">
        <f>(P89*P93)+(P96*P97)</f>
        <v>225</v>
      </c>
      <c r="Q98" s="178"/>
      <c r="R98" s="178"/>
      <c r="S98" s="751">
        <f>(S89*S93)+(S96*S97)</f>
        <v>518</v>
      </c>
      <c r="T98" s="751">
        <f>(T89*T93)+(T96*T97)</f>
        <v>225.60000000000002</v>
      </c>
      <c r="U98" s="751"/>
      <c r="V98" s="703"/>
      <c r="W98" s="980"/>
      <c r="AA98" s="45"/>
      <c r="AB98" s="45"/>
      <c r="AC98" s="45"/>
      <c r="AD98" s="45"/>
      <c r="AE98" s="45"/>
      <c r="AF98" s="45"/>
      <c r="AG98" s="45"/>
      <c r="AH98" s="45"/>
      <c r="AI98" s="751">
        <f>AI89*AI93</f>
        <v>3128.0000000000005</v>
      </c>
      <c r="AJ98" s="45"/>
      <c r="AK98" s="45"/>
      <c r="AL98" s="45"/>
      <c r="AM98" s="45"/>
      <c r="AN98" s="45"/>
      <c r="AO98" s="45"/>
      <c r="AP98" s="45"/>
      <c r="AR98" s="990">
        <v>9360</v>
      </c>
      <c r="AS98" s="1010"/>
    </row>
    <row r="99" spans="2:46" x14ac:dyDescent="0.25">
      <c r="B99" s="702" t="s">
        <v>629</v>
      </c>
      <c r="C99" s="177" t="s">
        <v>538</v>
      </c>
      <c r="D99" s="751">
        <f>(D89*D94)+(D96*D97)</f>
        <v>1113.6499999999999</v>
      </c>
      <c r="E99" s="178"/>
      <c r="F99" s="178"/>
      <c r="G99" s="178"/>
      <c r="H99" s="178"/>
      <c r="I99" s="178"/>
      <c r="J99" s="751">
        <f>(J89*J94)+(J96*J97)</f>
        <v>825.41</v>
      </c>
      <c r="K99" s="751">
        <f>(K89*K94)+(K96*K97)</f>
        <v>723.48</v>
      </c>
      <c r="L99" s="178"/>
      <c r="M99" s="751">
        <f>(M89*M94)+(M96*M97)</f>
        <v>721.98</v>
      </c>
      <c r="N99" s="178"/>
      <c r="O99" s="769">
        <f>(O89*O94)+(O96*O97)</f>
        <v>790.92000000000007</v>
      </c>
      <c r="P99" s="703">
        <f>(P89*P94)+(P96*P97)</f>
        <v>225</v>
      </c>
      <c r="Q99" s="178"/>
      <c r="R99" s="178"/>
      <c r="S99" s="751">
        <f>(S89*S94)+(S96*S97)</f>
        <v>777</v>
      </c>
      <c r="T99" s="751">
        <f>(T89*T94)+(T96*T97)</f>
        <v>338.4</v>
      </c>
      <c r="U99" s="751"/>
      <c r="V99" s="703"/>
      <c r="W99" s="980"/>
      <c r="AA99" s="45"/>
      <c r="AB99" s="45"/>
      <c r="AC99" s="45"/>
      <c r="AD99" s="45"/>
      <c r="AE99" s="45"/>
      <c r="AF99" s="45"/>
      <c r="AG99" s="45"/>
      <c r="AH99" s="45"/>
      <c r="AI99" s="751">
        <f>AI94*AI89</f>
        <v>4692</v>
      </c>
      <c r="AJ99" s="45"/>
      <c r="AK99" s="45"/>
      <c r="AL99" s="45"/>
      <c r="AM99" s="45"/>
      <c r="AN99" s="45"/>
      <c r="AO99" s="45"/>
      <c r="AP99" s="45"/>
      <c r="AR99" s="990">
        <v>14040</v>
      </c>
      <c r="AS99" s="1010"/>
    </row>
    <row r="100" spans="2:46" x14ac:dyDescent="0.25">
      <c r="B100" s="675" t="s">
        <v>630</v>
      </c>
      <c r="C100" s="179" t="s">
        <v>538</v>
      </c>
      <c r="D100" s="439">
        <f>(D89*D95)+(D96*D97)</f>
        <v>960.65</v>
      </c>
      <c r="E100" s="79"/>
      <c r="F100" s="79"/>
      <c r="G100" s="79"/>
      <c r="H100" s="79"/>
      <c r="I100" s="79"/>
      <c r="J100" s="439">
        <f>(J89*J95)+(J96*J97)</f>
        <v>720.45</v>
      </c>
      <c r="K100" s="439">
        <f>(K89*K95)+(K96*K97)</f>
        <v>634.4</v>
      </c>
      <c r="L100" s="79"/>
      <c r="M100" s="439">
        <f>(M89*M95)+(M96*M97)</f>
        <v>632.9</v>
      </c>
      <c r="N100" s="79"/>
      <c r="O100" s="77">
        <f>(O89*O95)+(O96*O97)</f>
        <v>696.6</v>
      </c>
      <c r="P100" s="78">
        <f>(P89*P95)+(P96*P97)</f>
        <v>687</v>
      </c>
      <c r="Q100" s="79"/>
      <c r="R100" s="79"/>
      <c r="S100" s="439">
        <f>(S89*S95)+(S96*S97)</f>
        <v>647.5</v>
      </c>
      <c r="T100" s="439">
        <f>(T89*T95)+(T96*T97)</f>
        <v>282</v>
      </c>
      <c r="U100" s="439">
        <f>(U89*U95)+(U96*U97)</f>
        <v>370</v>
      </c>
      <c r="V100" s="78">
        <f>(V89*V95)+(V96*V97)</f>
        <v>370</v>
      </c>
      <c r="W100" s="980"/>
      <c r="AA100" s="45"/>
      <c r="AB100" s="45"/>
      <c r="AC100" s="45"/>
      <c r="AD100" s="45"/>
      <c r="AE100" s="45"/>
      <c r="AF100" s="45"/>
      <c r="AG100" s="45"/>
      <c r="AH100" s="45"/>
      <c r="AI100" s="439">
        <f>AI89*AI95</f>
        <v>3910</v>
      </c>
      <c r="AJ100" s="45"/>
      <c r="AK100" s="45"/>
      <c r="AL100" s="45"/>
      <c r="AM100" s="45"/>
      <c r="AN100" s="45"/>
      <c r="AO100" s="45"/>
      <c r="AP100" s="45"/>
      <c r="AR100" s="991">
        <f>AR95*AR89</f>
        <v>5000</v>
      </c>
      <c r="AS100" s="439">
        <f>AS89*AS95</f>
        <v>8330</v>
      </c>
      <c r="AT100" s="1021"/>
    </row>
    <row r="101" spans="2:46" x14ac:dyDescent="0.25">
      <c r="B101" s="668" t="s">
        <v>631</v>
      </c>
      <c r="C101" s="690"/>
      <c r="D101" s="752"/>
      <c r="E101" s="1"/>
      <c r="F101" s="1"/>
      <c r="G101" s="1"/>
      <c r="H101" s="1"/>
      <c r="I101" s="1"/>
      <c r="J101" s="758"/>
      <c r="K101" s="758"/>
      <c r="L101" s="685"/>
      <c r="M101" s="758"/>
      <c r="N101" s="685"/>
      <c r="O101" s="5"/>
      <c r="P101" s="6"/>
      <c r="Q101" s="685"/>
      <c r="R101" s="685"/>
      <c r="S101" s="758"/>
      <c r="T101" s="758"/>
      <c r="U101" s="758"/>
      <c r="V101" s="6"/>
      <c r="W101" s="683"/>
      <c r="AA101" s="45"/>
      <c r="AB101" s="45"/>
      <c r="AC101" s="45"/>
      <c r="AD101" s="45"/>
      <c r="AE101" s="45"/>
      <c r="AF101" s="45"/>
      <c r="AG101" s="45"/>
      <c r="AH101" s="45"/>
      <c r="AI101" s="811"/>
      <c r="AJ101" s="45"/>
      <c r="AK101" s="45"/>
      <c r="AL101" s="45"/>
      <c r="AM101" s="45"/>
      <c r="AN101" s="45"/>
      <c r="AO101" s="45"/>
      <c r="AP101" s="45"/>
      <c r="AR101" s="811"/>
      <c r="AS101" s="746"/>
      <c r="AT101" s="1021"/>
    </row>
    <row r="102" spans="2:46" x14ac:dyDescent="0.25">
      <c r="B102" s="668"/>
      <c r="C102" s="690"/>
      <c r="D102" s="753"/>
      <c r="E102" s="1"/>
      <c r="F102" s="1"/>
      <c r="G102" s="1"/>
      <c r="H102" s="1"/>
      <c r="I102" s="1"/>
      <c r="J102" s="758"/>
      <c r="K102" s="758"/>
      <c r="L102" s="685"/>
      <c r="M102" s="758"/>
      <c r="N102" s="685"/>
      <c r="O102" s="5"/>
      <c r="P102" s="6"/>
      <c r="Q102" s="685"/>
      <c r="R102" s="685"/>
      <c r="S102" s="758"/>
      <c r="T102" s="758"/>
      <c r="U102" s="758"/>
      <c r="V102" s="6"/>
      <c r="W102" s="683"/>
      <c r="AA102" s="45"/>
      <c r="AB102" s="45"/>
      <c r="AC102" s="45"/>
      <c r="AD102" s="45"/>
      <c r="AE102" s="45"/>
      <c r="AF102" s="45"/>
      <c r="AG102" s="45"/>
      <c r="AH102" s="45"/>
      <c r="AI102" s="811"/>
      <c r="AJ102" s="45"/>
      <c r="AK102" s="45"/>
      <c r="AL102" s="45"/>
      <c r="AM102" s="45"/>
      <c r="AN102" s="45"/>
      <c r="AO102" s="45"/>
      <c r="AP102" s="45"/>
      <c r="AR102" s="811"/>
      <c r="AS102" s="776">
        <v>709.75168867187483</v>
      </c>
      <c r="AT102" s="1015" t="s">
        <v>692</v>
      </c>
    </row>
    <row r="103" spans="2:46" x14ac:dyDescent="0.25">
      <c r="B103" s="667" t="s">
        <v>693</v>
      </c>
      <c r="C103" s="698"/>
      <c r="D103" s="753">
        <v>200</v>
      </c>
      <c r="E103" s="704"/>
      <c r="F103" s="704"/>
      <c r="G103" s="704"/>
      <c r="H103" s="704"/>
      <c r="I103" s="704"/>
      <c r="J103" s="753">
        <v>250</v>
      </c>
      <c r="K103" s="753">
        <v>180</v>
      </c>
      <c r="L103" s="704"/>
      <c r="M103" s="753">
        <v>230</v>
      </c>
      <c r="N103" s="704"/>
      <c r="O103" s="770">
        <v>195</v>
      </c>
      <c r="P103" s="705">
        <v>220</v>
      </c>
      <c r="Q103" s="704"/>
      <c r="R103" s="704"/>
      <c r="S103" s="753">
        <v>210</v>
      </c>
      <c r="T103" s="753">
        <v>250</v>
      </c>
      <c r="U103" s="753">
        <v>250</v>
      </c>
      <c r="V103" s="705">
        <v>275</v>
      </c>
      <c r="W103" s="981"/>
      <c r="AA103" s="45"/>
      <c r="AB103" s="45"/>
      <c r="AC103" s="45"/>
      <c r="AD103" s="45"/>
      <c r="AE103" s="45"/>
      <c r="AF103" s="45"/>
      <c r="AG103" s="45"/>
      <c r="AH103" s="45"/>
      <c r="AI103" s="753">
        <v>200</v>
      </c>
      <c r="AJ103" s="45"/>
      <c r="AK103" s="45"/>
      <c r="AL103" s="45"/>
      <c r="AM103" s="45"/>
      <c r="AN103" s="45"/>
      <c r="AO103" s="45"/>
      <c r="AP103" s="45"/>
      <c r="AR103" s="811"/>
      <c r="AS103" s="776">
        <v>1116.5067388671873</v>
      </c>
      <c r="AT103" s="1015" t="s">
        <v>694</v>
      </c>
    </row>
    <row r="104" spans="2:46" x14ac:dyDescent="0.25">
      <c r="B104" s="667" t="s">
        <v>695</v>
      </c>
      <c r="C104" s="698"/>
      <c r="D104" s="752">
        <f>D37*D91</f>
        <v>903</v>
      </c>
      <c r="E104" s="704"/>
      <c r="F104" s="704"/>
      <c r="G104" s="704"/>
      <c r="H104" s="704"/>
      <c r="I104" s="704"/>
      <c r="J104" s="752">
        <f>J37*J91</f>
        <v>967.5</v>
      </c>
      <c r="K104" s="752">
        <f>K37*K91</f>
        <v>860</v>
      </c>
      <c r="L104" s="704"/>
      <c r="M104" s="752">
        <f>M37*M91</f>
        <v>924.5</v>
      </c>
      <c r="N104" s="704"/>
      <c r="O104" s="752">
        <f>O37*O91</f>
        <v>924.5</v>
      </c>
      <c r="P104" s="752">
        <f>O37*P91</f>
        <v>924.5</v>
      </c>
      <c r="Q104" s="704"/>
      <c r="R104" s="704"/>
      <c r="S104" s="752">
        <f>S37*S91</f>
        <v>1053.5</v>
      </c>
      <c r="T104" s="752">
        <f>T37*T91</f>
        <v>1075</v>
      </c>
      <c r="U104" s="752">
        <f>U37*U91</f>
        <v>1075</v>
      </c>
      <c r="V104" s="752">
        <f>V37*V91</f>
        <v>1096.5</v>
      </c>
      <c r="W104" s="981"/>
      <c r="AA104" s="45"/>
      <c r="AB104" s="45"/>
      <c r="AC104" s="45"/>
      <c r="AD104" s="45"/>
      <c r="AE104" s="45"/>
      <c r="AF104" s="45"/>
      <c r="AG104" s="45"/>
      <c r="AH104" s="45"/>
      <c r="AI104" s="753">
        <v>606</v>
      </c>
      <c r="AJ104" s="45"/>
      <c r="AK104" s="45"/>
      <c r="AL104" s="45"/>
      <c r="AM104" s="45"/>
      <c r="AN104" s="45"/>
      <c r="AO104" s="45"/>
      <c r="AP104" s="45"/>
      <c r="AR104" s="811"/>
      <c r="AS104" s="776">
        <v>1379.2142068359371</v>
      </c>
      <c r="AT104" s="1015" t="s">
        <v>696</v>
      </c>
    </row>
    <row r="105" spans="2:46" x14ac:dyDescent="0.25">
      <c r="B105" s="676" t="s">
        <v>641</v>
      </c>
      <c r="C105" s="706"/>
      <c r="D105" s="754">
        <v>0.4</v>
      </c>
      <c r="E105" s="707"/>
      <c r="F105" s="707"/>
      <c r="G105" s="707"/>
      <c r="H105" s="707"/>
      <c r="I105" s="707"/>
      <c r="J105" s="754">
        <v>0.35</v>
      </c>
      <c r="K105" s="754">
        <v>0.5</v>
      </c>
      <c r="L105" s="707"/>
      <c r="M105" s="754">
        <v>0.5</v>
      </c>
      <c r="N105" s="707"/>
      <c r="O105" s="771">
        <v>0.4</v>
      </c>
      <c r="P105" s="772"/>
      <c r="Q105" s="707"/>
      <c r="R105" s="707"/>
      <c r="S105" s="777">
        <v>0</v>
      </c>
      <c r="T105" s="754">
        <v>0</v>
      </c>
      <c r="U105" s="777"/>
      <c r="V105" s="708"/>
      <c r="W105" s="982"/>
      <c r="AA105" s="45"/>
      <c r="AB105" s="45"/>
      <c r="AC105" s="45"/>
      <c r="AD105" s="45"/>
      <c r="AE105" s="45"/>
      <c r="AF105" s="45"/>
      <c r="AG105" s="45"/>
      <c r="AH105" s="45"/>
      <c r="AI105" s="754">
        <v>0</v>
      </c>
      <c r="AJ105" s="45"/>
      <c r="AK105" s="45"/>
      <c r="AL105" s="45"/>
      <c r="AM105" s="45"/>
      <c r="AN105" s="45"/>
      <c r="AO105" s="45"/>
      <c r="AP105" s="45"/>
      <c r="AR105" s="811"/>
      <c r="AS105" s="776">
        <v>1026.2010467529294</v>
      </c>
      <c r="AT105" s="1015" t="s">
        <v>697</v>
      </c>
    </row>
    <row r="106" spans="2:46" x14ac:dyDescent="0.25">
      <c r="B106" s="667" t="s">
        <v>698</v>
      </c>
      <c r="C106" s="698"/>
      <c r="D106" s="752">
        <f>D89+10</f>
        <v>160</v>
      </c>
      <c r="E106" s="669"/>
      <c r="F106" s="669"/>
      <c r="G106" s="669"/>
      <c r="H106" s="669"/>
      <c r="I106" s="669"/>
      <c r="J106" s="752">
        <f>J89+10</f>
        <v>174</v>
      </c>
      <c r="K106" s="752">
        <f>K89+10</f>
        <v>141</v>
      </c>
      <c r="L106" s="669"/>
      <c r="M106" s="752">
        <f>M89+10</f>
        <v>141</v>
      </c>
      <c r="N106" s="669"/>
      <c r="O106" s="773">
        <f>O89+10</f>
        <v>141</v>
      </c>
      <c r="P106" s="677">
        <f>P89+10</f>
        <v>150</v>
      </c>
      <c r="Q106" s="669"/>
      <c r="R106" s="669"/>
      <c r="S106" s="752">
        <f>S89+10</f>
        <v>195</v>
      </c>
      <c r="T106" s="752">
        <f>T89+10</f>
        <v>198</v>
      </c>
      <c r="U106" s="752">
        <f>U89+10</f>
        <v>195</v>
      </c>
      <c r="V106" s="677">
        <f>V89+10</f>
        <v>195</v>
      </c>
      <c r="W106" s="981"/>
      <c r="AA106" s="45"/>
      <c r="AB106" s="45"/>
      <c r="AC106" s="45"/>
      <c r="AD106" s="45"/>
      <c r="AE106" s="45"/>
      <c r="AF106" s="45"/>
      <c r="AG106" s="45"/>
      <c r="AH106" s="45"/>
      <c r="AI106" s="752">
        <v>370</v>
      </c>
      <c r="AJ106" s="45"/>
      <c r="AK106" s="45"/>
      <c r="AL106" s="45"/>
      <c r="AM106" s="45"/>
      <c r="AN106" s="45"/>
      <c r="AO106" s="45"/>
      <c r="AP106" s="45"/>
      <c r="AR106" s="811"/>
      <c r="AS106" s="776">
        <v>1176.9294564999998</v>
      </c>
      <c r="AT106" s="1015" t="s">
        <v>699</v>
      </c>
    </row>
    <row r="107" spans="2:46" x14ac:dyDescent="0.25">
      <c r="B107" s="667" t="s">
        <v>700</v>
      </c>
      <c r="C107" s="698"/>
      <c r="D107" s="752">
        <f>D31/2+D32+D33</f>
        <v>104.2</v>
      </c>
      <c r="E107" s="704"/>
      <c r="F107" s="704"/>
      <c r="G107" s="704"/>
      <c r="H107" s="704"/>
      <c r="I107" s="704"/>
      <c r="J107" s="752">
        <f>J31+J32+J33</f>
        <v>141.69999999999999</v>
      </c>
      <c r="K107" s="752">
        <f>K31/2+K32+K33</f>
        <v>102.9</v>
      </c>
      <c r="L107" s="704"/>
      <c r="M107" s="753">
        <v>37</v>
      </c>
      <c r="N107" s="704"/>
      <c r="O107" s="770">
        <v>99.3</v>
      </c>
      <c r="P107" s="705">
        <v>99.3</v>
      </c>
      <c r="Q107" s="704"/>
      <c r="R107" s="704"/>
      <c r="S107" s="753">
        <v>89.3</v>
      </c>
      <c r="T107" s="753">
        <v>89.3</v>
      </c>
      <c r="U107" s="753"/>
      <c r="V107" s="705"/>
      <c r="W107" s="981"/>
      <c r="AA107" s="45"/>
      <c r="AB107" s="45"/>
      <c r="AC107" s="45"/>
      <c r="AD107" s="45"/>
      <c r="AE107" s="45"/>
      <c r="AF107" s="45"/>
      <c r="AG107" s="45"/>
      <c r="AH107" s="45"/>
      <c r="AI107" s="753">
        <v>0</v>
      </c>
      <c r="AJ107" s="45"/>
      <c r="AK107" s="45"/>
      <c r="AL107" s="45"/>
      <c r="AM107" s="45"/>
      <c r="AN107" s="45"/>
      <c r="AO107" s="45"/>
      <c r="AP107" s="45"/>
      <c r="AR107" s="811"/>
      <c r="AS107" s="776">
        <v>1444.8910738281247</v>
      </c>
      <c r="AT107" s="1015" t="s">
        <v>701</v>
      </c>
    </row>
    <row r="108" spans="2:46" x14ac:dyDescent="0.25">
      <c r="B108" s="668" t="s">
        <v>702</v>
      </c>
      <c r="C108" s="690" t="s">
        <v>538</v>
      </c>
      <c r="D108" s="752">
        <f>((D104*(1-D105))+((D106+D107)*D105))/1000*D103</f>
        <v>129.49600000000001</v>
      </c>
      <c r="E108" s="669"/>
      <c r="F108" s="669"/>
      <c r="G108" s="669"/>
      <c r="H108" s="669"/>
      <c r="I108" s="669"/>
      <c r="J108" s="752">
        <f t="shared" ref="J108:V108" si="16">((J104*(1-J105))+((J106+J107)*J105))/1000*J103</f>
        <v>184.8425</v>
      </c>
      <c r="K108" s="752">
        <f t="shared" si="16"/>
        <v>99.351000000000013</v>
      </c>
      <c r="L108" s="669"/>
      <c r="M108" s="752">
        <f t="shared" si="16"/>
        <v>126.78750000000001</v>
      </c>
      <c r="N108" s="669"/>
      <c r="O108" s="773">
        <f t="shared" si="16"/>
        <v>126.90989999999999</v>
      </c>
      <c r="P108" s="677">
        <f t="shared" si="16"/>
        <v>203.39</v>
      </c>
      <c r="Q108" s="669"/>
      <c r="R108" s="669"/>
      <c r="S108" s="752">
        <f t="shared" si="16"/>
        <v>221.23500000000001</v>
      </c>
      <c r="T108" s="752">
        <f t="shared" si="16"/>
        <v>268.75</v>
      </c>
      <c r="U108" s="752">
        <f t="shared" si="16"/>
        <v>268.75</v>
      </c>
      <c r="V108" s="677">
        <f t="shared" si="16"/>
        <v>301.53750000000002</v>
      </c>
      <c r="W108" s="981"/>
      <c r="AA108" s="45"/>
      <c r="AB108" s="45"/>
      <c r="AC108" s="45"/>
      <c r="AD108" s="45"/>
      <c r="AE108" s="45"/>
      <c r="AF108" s="45"/>
      <c r="AG108" s="45"/>
      <c r="AH108" s="45"/>
      <c r="AI108" s="755">
        <v>1600</v>
      </c>
      <c r="AJ108" s="45"/>
      <c r="AK108" s="45"/>
      <c r="AL108" s="45"/>
      <c r="AM108" s="45"/>
      <c r="AN108" s="45"/>
      <c r="AO108" s="45"/>
      <c r="AP108" s="45"/>
      <c r="AR108" s="760">
        <v>1750</v>
      </c>
      <c r="AS108" s="776">
        <v>1555.2723628906247</v>
      </c>
      <c r="AT108" s="1021"/>
    </row>
    <row r="109" spans="2:46" x14ac:dyDescent="0.25">
      <c r="B109" s="668" t="s">
        <v>703</v>
      </c>
      <c r="C109" s="690" t="s">
        <v>538</v>
      </c>
      <c r="D109" s="755">
        <v>20</v>
      </c>
      <c r="E109" s="685"/>
      <c r="F109" s="685"/>
      <c r="G109" s="685"/>
      <c r="H109" s="685"/>
      <c r="I109" s="685"/>
      <c r="J109" s="760">
        <v>39</v>
      </c>
      <c r="K109" s="760">
        <v>39</v>
      </c>
      <c r="L109" s="685"/>
      <c r="M109" s="760">
        <v>16</v>
      </c>
      <c r="N109" s="685"/>
      <c r="O109" s="9">
        <v>19</v>
      </c>
      <c r="P109" s="10">
        <v>19</v>
      </c>
      <c r="Q109" s="685"/>
      <c r="R109" s="685"/>
      <c r="S109" s="760">
        <v>35</v>
      </c>
      <c r="T109" s="760">
        <v>32</v>
      </c>
      <c r="U109" s="760">
        <v>32</v>
      </c>
      <c r="V109" s="10">
        <v>35</v>
      </c>
      <c r="W109" s="683"/>
      <c r="AA109" s="45"/>
      <c r="AB109" s="45"/>
      <c r="AC109" s="45"/>
      <c r="AD109" s="45"/>
      <c r="AE109" s="45"/>
      <c r="AF109" s="45"/>
      <c r="AG109" s="45"/>
      <c r="AH109" s="45"/>
      <c r="AI109" s="760">
        <v>40</v>
      </c>
      <c r="AJ109" s="45"/>
      <c r="AK109" s="45"/>
      <c r="AL109" s="45"/>
      <c r="AM109" s="45"/>
      <c r="AN109" s="45"/>
      <c r="AO109" s="45"/>
      <c r="AP109" s="45"/>
      <c r="AR109" s="760">
        <v>60</v>
      </c>
      <c r="AS109" s="776">
        <v>165.57193359374997</v>
      </c>
    </row>
    <row r="110" spans="2:46" x14ac:dyDescent="0.25">
      <c r="B110" s="668" t="s">
        <v>704</v>
      </c>
      <c r="C110" s="690" t="s">
        <v>538</v>
      </c>
      <c r="D110" s="755">
        <v>0</v>
      </c>
      <c r="E110" s="685"/>
      <c r="F110" s="685"/>
      <c r="G110" s="685"/>
      <c r="H110" s="685"/>
      <c r="I110" s="685"/>
      <c r="J110" s="760">
        <v>0</v>
      </c>
      <c r="K110" s="758"/>
      <c r="L110" s="685"/>
      <c r="M110" s="760">
        <v>2</v>
      </c>
      <c r="N110" s="685"/>
      <c r="O110" s="9">
        <v>5</v>
      </c>
      <c r="P110" s="10">
        <v>5</v>
      </c>
      <c r="Q110" s="685"/>
      <c r="R110" s="685"/>
      <c r="S110" s="760"/>
      <c r="T110" s="760">
        <v>5</v>
      </c>
      <c r="U110" s="760">
        <v>5</v>
      </c>
      <c r="V110" s="10"/>
      <c r="W110" s="683"/>
      <c r="AA110" s="45"/>
      <c r="AB110" s="45"/>
      <c r="AC110" s="45"/>
      <c r="AD110" s="45"/>
      <c r="AE110" s="45"/>
      <c r="AF110" s="45"/>
      <c r="AG110" s="45"/>
      <c r="AH110" s="45"/>
      <c r="AI110" s="760">
        <v>50</v>
      </c>
      <c r="AJ110" s="45"/>
      <c r="AK110" s="45"/>
      <c r="AL110" s="45"/>
      <c r="AM110" s="45"/>
      <c r="AN110" s="45"/>
      <c r="AO110" s="45"/>
      <c r="AP110" s="45"/>
      <c r="AR110" s="760">
        <v>340</v>
      </c>
      <c r="AS110" s="776">
        <v>1103.8128906249997</v>
      </c>
    </row>
    <row r="111" spans="2:46" x14ac:dyDescent="0.25">
      <c r="B111" s="668" t="s">
        <v>705</v>
      </c>
      <c r="C111" s="690" t="s">
        <v>538</v>
      </c>
      <c r="D111" s="755">
        <v>20</v>
      </c>
      <c r="E111" s="704"/>
      <c r="F111" s="704"/>
      <c r="G111" s="704"/>
      <c r="H111" s="704"/>
      <c r="I111" s="704"/>
      <c r="J111" s="755">
        <v>20</v>
      </c>
      <c r="K111" s="755">
        <v>30</v>
      </c>
      <c r="L111" s="704"/>
      <c r="M111" s="755">
        <v>24</v>
      </c>
      <c r="N111" s="704"/>
      <c r="O111" s="774">
        <v>30</v>
      </c>
      <c r="P111" s="709">
        <v>30</v>
      </c>
      <c r="Q111" s="704"/>
      <c r="R111" s="704"/>
      <c r="S111" s="755">
        <v>40</v>
      </c>
      <c r="T111" s="755">
        <v>23</v>
      </c>
      <c r="U111" s="755">
        <v>23</v>
      </c>
      <c r="V111" s="709">
        <v>45.900920024999991</v>
      </c>
      <c r="W111" s="981"/>
      <c r="AA111" s="45"/>
      <c r="AB111" s="45"/>
      <c r="AC111" s="45"/>
      <c r="AD111" s="45"/>
      <c r="AE111" s="45"/>
      <c r="AF111" s="45"/>
      <c r="AG111" s="45"/>
      <c r="AH111" s="45"/>
      <c r="AI111" s="755">
        <v>2010</v>
      </c>
      <c r="AJ111" s="45"/>
      <c r="AK111" s="45"/>
      <c r="AL111" s="45"/>
      <c r="AM111" s="45"/>
      <c r="AN111" s="45"/>
      <c r="AO111" s="45"/>
      <c r="AP111" s="45"/>
      <c r="AR111" s="760">
        <v>4110</v>
      </c>
      <c r="AS111" s="776">
        <v>275.95322265624992</v>
      </c>
    </row>
    <row r="112" spans="2:46" x14ac:dyDescent="0.25">
      <c r="B112" s="668" t="s">
        <v>659</v>
      </c>
      <c r="C112" s="690"/>
      <c r="D112" s="752"/>
      <c r="E112" s="685"/>
      <c r="F112" s="685"/>
      <c r="G112" s="685"/>
      <c r="H112" s="685"/>
      <c r="I112" s="685"/>
      <c r="J112" s="758"/>
      <c r="K112" s="758"/>
      <c r="L112" s="685"/>
      <c r="M112" s="758"/>
      <c r="N112" s="685"/>
      <c r="O112" s="5"/>
      <c r="P112" s="6"/>
      <c r="Q112" s="685"/>
      <c r="R112" s="685"/>
      <c r="S112" s="758"/>
      <c r="T112" s="758"/>
      <c r="U112" s="758"/>
      <c r="V112" s="6"/>
      <c r="W112" s="683"/>
      <c r="AA112" s="45"/>
      <c r="AB112" s="45"/>
      <c r="AC112" s="45"/>
      <c r="AD112" s="45"/>
      <c r="AE112" s="45"/>
      <c r="AF112" s="45"/>
      <c r="AG112" s="45"/>
      <c r="AH112" s="45"/>
      <c r="AI112" s="811"/>
      <c r="AJ112" s="45"/>
      <c r="AK112" s="45"/>
      <c r="AL112" s="45"/>
      <c r="AM112" s="45"/>
      <c r="AN112" s="45"/>
      <c r="AO112" s="45"/>
      <c r="AP112" s="45"/>
      <c r="AR112" s="811"/>
      <c r="AS112" s="746"/>
    </row>
    <row r="113" spans="2:45" x14ac:dyDescent="0.25">
      <c r="B113" s="667" t="s">
        <v>702</v>
      </c>
      <c r="C113" s="690" t="s">
        <v>538</v>
      </c>
      <c r="D113" s="756">
        <f>D108</f>
        <v>129.49600000000001</v>
      </c>
      <c r="E113" s="21"/>
      <c r="F113" s="21"/>
      <c r="G113" s="21"/>
      <c r="H113" s="21"/>
      <c r="I113" s="21"/>
      <c r="J113" s="756">
        <f t="shared" ref="J113:V113" si="17">J108</f>
        <v>184.8425</v>
      </c>
      <c r="K113" s="756">
        <f t="shared" si="17"/>
        <v>99.351000000000013</v>
      </c>
      <c r="L113" s="21"/>
      <c r="M113" s="756">
        <f t="shared" si="17"/>
        <v>126.78750000000001</v>
      </c>
      <c r="N113" s="21"/>
      <c r="O113" s="20">
        <f t="shared" si="17"/>
        <v>126.90989999999999</v>
      </c>
      <c r="P113" s="22">
        <f t="shared" si="17"/>
        <v>203.39</v>
      </c>
      <c r="Q113" s="21"/>
      <c r="R113" s="21"/>
      <c r="S113" s="756">
        <f t="shared" si="17"/>
        <v>221.23500000000001</v>
      </c>
      <c r="T113" s="756">
        <f t="shared" si="17"/>
        <v>268.75</v>
      </c>
      <c r="U113" s="756">
        <f t="shared" si="17"/>
        <v>268.75</v>
      </c>
      <c r="V113" s="22">
        <f t="shared" si="17"/>
        <v>301.53750000000002</v>
      </c>
      <c r="W113" s="983"/>
      <c r="AA113" s="45"/>
      <c r="AB113" s="45"/>
      <c r="AC113" s="45"/>
      <c r="AD113" s="45"/>
      <c r="AE113" s="45"/>
      <c r="AF113" s="45"/>
      <c r="AG113" s="45"/>
      <c r="AH113" s="45"/>
      <c r="AI113" s="756">
        <f>AI108</f>
        <v>1600</v>
      </c>
      <c r="AJ113" s="45"/>
      <c r="AK113" s="45"/>
      <c r="AL113" s="45"/>
      <c r="AM113" s="45"/>
      <c r="AN113" s="45"/>
      <c r="AO113" s="45"/>
      <c r="AP113" s="45"/>
      <c r="AR113" s="756">
        <f>AR108</f>
        <v>1750</v>
      </c>
      <c r="AS113" s="756">
        <f>AS108</f>
        <v>1555.2723628906247</v>
      </c>
    </row>
    <row r="114" spans="2:45" x14ac:dyDescent="0.25">
      <c r="B114" s="667" t="s">
        <v>706</v>
      </c>
      <c r="C114" s="690" t="s">
        <v>538</v>
      </c>
      <c r="D114" s="752">
        <f>D109</f>
        <v>20</v>
      </c>
      <c r="E114" s="669"/>
      <c r="F114" s="669"/>
      <c r="G114" s="669"/>
      <c r="H114" s="669"/>
      <c r="I114" s="669"/>
      <c r="J114" s="752">
        <f t="shared" ref="J114:V114" si="18">J109</f>
        <v>39</v>
      </c>
      <c r="K114" s="752">
        <f t="shared" si="18"/>
        <v>39</v>
      </c>
      <c r="L114" s="669"/>
      <c r="M114" s="752">
        <f t="shared" si="18"/>
        <v>16</v>
      </c>
      <c r="N114" s="669"/>
      <c r="O114" s="773">
        <f t="shared" si="18"/>
        <v>19</v>
      </c>
      <c r="P114" s="677">
        <f t="shared" si="18"/>
        <v>19</v>
      </c>
      <c r="Q114" s="669"/>
      <c r="R114" s="669"/>
      <c r="S114" s="752">
        <f t="shared" si="18"/>
        <v>35</v>
      </c>
      <c r="T114" s="752">
        <f t="shared" si="18"/>
        <v>32</v>
      </c>
      <c r="U114" s="752">
        <f t="shared" si="18"/>
        <v>32</v>
      </c>
      <c r="V114" s="677">
        <f t="shared" si="18"/>
        <v>35</v>
      </c>
      <c r="W114" s="981"/>
      <c r="AA114" s="45"/>
      <c r="AB114" s="45"/>
      <c r="AC114" s="45"/>
      <c r="AD114" s="45"/>
      <c r="AE114" s="45"/>
      <c r="AF114" s="45"/>
      <c r="AG114" s="45"/>
      <c r="AH114" s="45"/>
      <c r="AI114" s="756">
        <f t="shared" ref="AI114:AI116" si="19">AI109</f>
        <v>40</v>
      </c>
      <c r="AJ114" s="45"/>
      <c r="AK114" s="45"/>
      <c r="AL114" s="45"/>
      <c r="AM114" s="45"/>
      <c r="AN114" s="45"/>
      <c r="AO114" s="45"/>
      <c r="AP114" s="45"/>
      <c r="AR114" s="756">
        <f t="shared" ref="AR114:AR116" si="20">AR109</f>
        <v>60</v>
      </c>
      <c r="AS114" s="752">
        <f>AS109</f>
        <v>165.57193359374997</v>
      </c>
    </row>
    <row r="115" spans="2:45" x14ac:dyDescent="0.25">
      <c r="B115" s="667" t="s">
        <v>707</v>
      </c>
      <c r="C115" s="690" t="s">
        <v>538</v>
      </c>
      <c r="D115" s="752">
        <f>D110</f>
        <v>0</v>
      </c>
      <c r="E115" s="669"/>
      <c r="F115" s="669"/>
      <c r="G115" s="669"/>
      <c r="H115" s="669"/>
      <c r="I115" s="669"/>
      <c r="J115" s="752">
        <f t="shared" ref="J115:V115" si="21">J110</f>
        <v>0</v>
      </c>
      <c r="K115" s="752">
        <f t="shared" si="21"/>
        <v>0</v>
      </c>
      <c r="L115" s="669"/>
      <c r="M115" s="752">
        <f t="shared" si="21"/>
        <v>2</v>
      </c>
      <c r="N115" s="669"/>
      <c r="O115" s="773">
        <f t="shared" si="21"/>
        <v>5</v>
      </c>
      <c r="P115" s="677">
        <f t="shared" si="21"/>
        <v>5</v>
      </c>
      <c r="Q115" s="669"/>
      <c r="R115" s="669"/>
      <c r="S115" s="752">
        <f t="shared" si="21"/>
        <v>0</v>
      </c>
      <c r="T115" s="752">
        <f t="shared" si="21"/>
        <v>5</v>
      </c>
      <c r="U115" s="752">
        <f t="shared" si="21"/>
        <v>5</v>
      </c>
      <c r="V115" s="677">
        <f t="shared" si="21"/>
        <v>0</v>
      </c>
      <c r="W115" s="981"/>
      <c r="AA115" s="45"/>
      <c r="AB115" s="45"/>
      <c r="AC115" s="45"/>
      <c r="AD115" s="45"/>
      <c r="AE115" s="45"/>
      <c r="AF115" s="45"/>
      <c r="AG115" s="45"/>
      <c r="AH115" s="45"/>
      <c r="AI115" s="756">
        <f t="shared" si="19"/>
        <v>50</v>
      </c>
      <c r="AJ115" s="45"/>
      <c r="AK115" s="45"/>
      <c r="AL115" s="45"/>
      <c r="AM115" s="45"/>
      <c r="AN115" s="45"/>
      <c r="AO115" s="45"/>
      <c r="AP115" s="45"/>
      <c r="AR115" s="756">
        <f t="shared" si="20"/>
        <v>340</v>
      </c>
      <c r="AS115" s="752">
        <f>AS110</f>
        <v>1103.8128906249997</v>
      </c>
    </row>
    <row r="116" spans="2:45" x14ac:dyDescent="0.25">
      <c r="B116" s="667" t="s">
        <v>656</v>
      </c>
      <c r="C116" s="690" t="s">
        <v>538</v>
      </c>
      <c r="D116" s="752">
        <f>D111</f>
        <v>20</v>
      </c>
      <c r="E116" s="669"/>
      <c r="F116" s="669"/>
      <c r="G116" s="669"/>
      <c r="H116" s="669"/>
      <c r="I116" s="669"/>
      <c r="J116" s="752">
        <f t="shared" ref="J116:V116" si="22">J111</f>
        <v>20</v>
      </c>
      <c r="K116" s="752">
        <f t="shared" si="22"/>
        <v>30</v>
      </c>
      <c r="L116" s="669"/>
      <c r="M116" s="752">
        <f t="shared" si="22"/>
        <v>24</v>
      </c>
      <c r="N116" s="669"/>
      <c r="O116" s="773">
        <f t="shared" si="22"/>
        <v>30</v>
      </c>
      <c r="P116" s="677">
        <f t="shared" si="22"/>
        <v>30</v>
      </c>
      <c r="Q116" s="669"/>
      <c r="R116" s="669"/>
      <c r="S116" s="752">
        <f t="shared" si="22"/>
        <v>40</v>
      </c>
      <c r="T116" s="752">
        <f t="shared" si="22"/>
        <v>23</v>
      </c>
      <c r="U116" s="752">
        <f t="shared" si="22"/>
        <v>23</v>
      </c>
      <c r="V116" s="677">
        <f t="shared" si="22"/>
        <v>45.900920024999991</v>
      </c>
      <c r="W116" s="981"/>
      <c r="AA116" s="45"/>
      <c r="AB116" s="45"/>
      <c r="AC116" s="45"/>
      <c r="AD116" s="45"/>
      <c r="AE116" s="45"/>
      <c r="AF116" s="45"/>
      <c r="AG116" s="45"/>
      <c r="AH116" s="45"/>
      <c r="AI116" s="756">
        <f t="shared" si="19"/>
        <v>2010</v>
      </c>
      <c r="AJ116" s="45"/>
      <c r="AK116" s="45"/>
      <c r="AL116" s="45"/>
      <c r="AM116" s="45"/>
      <c r="AN116" s="45"/>
      <c r="AO116" s="45"/>
      <c r="AP116" s="45"/>
      <c r="AR116" s="756">
        <f t="shared" si="20"/>
        <v>4110</v>
      </c>
      <c r="AS116" s="753">
        <v>7129.4474341123032</v>
      </c>
    </row>
    <row r="117" spans="2:45" x14ac:dyDescent="0.25">
      <c r="B117" s="675" t="s">
        <v>709</v>
      </c>
      <c r="C117" s="690" t="s">
        <v>538</v>
      </c>
      <c r="D117" s="439">
        <f>SUM(D113:D116)</f>
        <v>169.49600000000001</v>
      </c>
      <c r="E117" s="79"/>
      <c r="F117" s="79"/>
      <c r="G117" s="79"/>
      <c r="H117" s="79"/>
      <c r="I117" s="79"/>
      <c r="J117" s="439">
        <f t="shared" ref="J117:V117" si="23">SUM(J113:J116)</f>
        <v>243.8425</v>
      </c>
      <c r="K117" s="439">
        <f t="shared" si="23"/>
        <v>168.351</v>
      </c>
      <c r="L117" s="79"/>
      <c r="M117" s="439">
        <f t="shared" si="23"/>
        <v>168.78750000000002</v>
      </c>
      <c r="N117" s="79"/>
      <c r="O117" s="77">
        <f t="shared" si="23"/>
        <v>180.90989999999999</v>
      </c>
      <c r="P117" s="78">
        <f t="shared" si="23"/>
        <v>257.39</v>
      </c>
      <c r="Q117" s="79"/>
      <c r="R117" s="79"/>
      <c r="S117" s="439">
        <f t="shared" si="23"/>
        <v>296.23500000000001</v>
      </c>
      <c r="T117" s="439">
        <f t="shared" si="23"/>
        <v>328.75</v>
      </c>
      <c r="U117" s="439">
        <f t="shared" si="23"/>
        <v>328.75</v>
      </c>
      <c r="V117" s="78">
        <f t="shared" si="23"/>
        <v>382.43842002500003</v>
      </c>
      <c r="W117" s="980"/>
      <c r="AA117" s="45"/>
      <c r="AB117" s="45"/>
      <c r="AC117" s="45"/>
      <c r="AD117" s="45"/>
      <c r="AE117" s="45"/>
      <c r="AF117" s="45"/>
      <c r="AG117" s="45"/>
      <c r="AH117" s="45"/>
      <c r="AI117" s="439">
        <f>SUM(AI113:AI116)</f>
        <v>3700</v>
      </c>
      <c r="AJ117" s="45"/>
      <c r="AK117" s="45"/>
      <c r="AL117" s="45"/>
      <c r="AM117" s="45"/>
      <c r="AN117" s="45"/>
      <c r="AO117" s="45"/>
      <c r="AP117" s="45"/>
      <c r="AR117" s="991">
        <f>SUM(AR113:AR116)</f>
        <v>6260</v>
      </c>
      <c r="AS117" s="439">
        <f>SUM(AS113:AS116)</f>
        <v>9954.104621221677</v>
      </c>
    </row>
    <row r="118" spans="2:45" x14ac:dyDescent="0.25">
      <c r="B118" s="702" t="s">
        <v>710</v>
      </c>
      <c r="C118" s="690" t="s">
        <v>538</v>
      </c>
      <c r="D118" s="751">
        <f>D98-D117</f>
        <v>638.154</v>
      </c>
      <c r="E118" s="178"/>
      <c r="F118" s="178"/>
      <c r="G118" s="178"/>
      <c r="H118" s="178"/>
      <c r="I118" s="178"/>
      <c r="J118" s="751">
        <f t="shared" ref="J118:T118" si="24">J98-J117</f>
        <v>371.64750000000004</v>
      </c>
      <c r="K118" s="751">
        <f t="shared" si="24"/>
        <v>376.96900000000005</v>
      </c>
      <c r="L118" s="178"/>
      <c r="M118" s="751">
        <f t="shared" si="24"/>
        <v>375.03250000000003</v>
      </c>
      <c r="N118" s="178"/>
      <c r="O118" s="769">
        <f t="shared" si="24"/>
        <v>421.37009999999998</v>
      </c>
      <c r="P118" s="703"/>
      <c r="Q118" s="178"/>
      <c r="R118" s="178"/>
      <c r="S118" s="751">
        <f t="shared" si="24"/>
        <v>221.76499999999999</v>
      </c>
      <c r="T118" s="751">
        <f t="shared" si="24"/>
        <v>-103.14999999999998</v>
      </c>
      <c r="U118" s="751"/>
      <c r="V118" s="703"/>
      <c r="W118" s="980"/>
      <c r="AA118" s="45"/>
      <c r="AB118" s="45"/>
      <c r="AC118" s="45"/>
      <c r="AD118" s="45"/>
      <c r="AE118" s="45"/>
      <c r="AF118" s="45"/>
      <c r="AG118" s="45"/>
      <c r="AH118" s="45"/>
      <c r="AI118" s="751">
        <f>AI98-AI117</f>
        <v>-571.99999999999955</v>
      </c>
      <c r="AJ118" s="45"/>
      <c r="AK118" s="45"/>
      <c r="AL118" s="45"/>
      <c r="AM118" s="45"/>
      <c r="AN118" s="45"/>
      <c r="AO118" s="45"/>
      <c r="AP118" s="45"/>
      <c r="AR118" s="990">
        <f>AR98-AR117</f>
        <v>3100</v>
      </c>
      <c r="AS118" s="751"/>
    </row>
    <row r="119" spans="2:45" x14ac:dyDescent="0.25">
      <c r="B119" s="702" t="s">
        <v>711</v>
      </c>
      <c r="C119" s="690" t="s">
        <v>538</v>
      </c>
      <c r="D119" s="751">
        <f>D99-D117</f>
        <v>944.15399999999988</v>
      </c>
      <c r="E119" s="178"/>
      <c r="F119" s="178"/>
      <c r="G119" s="178"/>
      <c r="H119" s="178"/>
      <c r="I119" s="178"/>
      <c r="J119" s="751">
        <f t="shared" ref="J119:T119" si="25">J99-J117</f>
        <v>581.5675</v>
      </c>
      <c r="K119" s="751">
        <f t="shared" si="25"/>
        <v>555.12900000000002</v>
      </c>
      <c r="L119" s="178"/>
      <c r="M119" s="751">
        <f t="shared" si="25"/>
        <v>553.1925</v>
      </c>
      <c r="N119" s="178"/>
      <c r="O119" s="769">
        <f t="shared" si="25"/>
        <v>610.01010000000008</v>
      </c>
      <c r="P119" s="703"/>
      <c r="Q119" s="178"/>
      <c r="R119" s="178"/>
      <c r="S119" s="751">
        <f t="shared" si="25"/>
        <v>480.76499999999999</v>
      </c>
      <c r="T119" s="751">
        <f t="shared" si="25"/>
        <v>9.6499999999999773</v>
      </c>
      <c r="U119" s="751"/>
      <c r="V119" s="703"/>
      <c r="W119" s="980"/>
      <c r="AA119" s="45"/>
      <c r="AB119" s="45"/>
      <c r="AC119" s="45"/>
      <c r="AD119" s="45"/>
      <c r="AE119" s="45"/>
      <c r="AF119" s="45"/>
      <c r="AG119" s="45"/>
      <c r="AH119" s="45"/>
      <c r="AI119" s="751">
        <f>AI99-AI117</f>
        <v>992</v>
      </c>
      <c r="AJ119" s="45"/>
      <c r="AK119" s="45"/>
      <c r="AL119" s="45"/>
      <c r="AM119" s="45"/>
      <c r="AN119" s="45"/>
      <c r="AO119" s="45"/>
      <c r="AP119" s="45"/>
      <c r="AR119" s="990">
        <f>AR99-AR117</f>
        <v>7780</v>
      </c>
      <c r="AS119" s="751"/>
    </row>
    <row r="120" spans="2:45" x14ac:dyDescent="0.25">
      <c r="B120" s="675" t="s">
        <v>712</v>
      </c>
      <c r="C120" s="690" t="s">
        <v>538</v>
      </c>
      <c r="D120" s="439">
        <f>D100-D117</f>
        <v>791.154</v>
      </c>
      <c r="E120" s="79"/>
      <c r="F120" s="79"/>
      <c r="G120" s="79"/>
      <c r="H120" s="79"/>
      <c r="I120" s="79"/>
      <c r="J120" s="439">
        <f t="shared" ref="J120:V120" si="26">J100-J117</f>
        <v>476.60750000000007</v>
      </c>
      <c r="K120" s="439">
        <f t="shared" si="26"/>
        <v>466.04899999999998</v>
      </c>
      <c r="L120" s="79"/>
      <c r="M120" s="439">
        <f t="shared" si="26"/>
        <v>464.11249999999995</v>
      </c>
      <c r="N120" s="79"/>
      <c r="O120" s="77">
        <f t="shared" si="26"/>
        <v>515.69010000000003</v>
      </c>
      <c r="P120" s="78">
        <f t="shared" si="26"/>
        <v>429.61</v>
      </c>
      <c r="Q120" s="79"/>
      <c r="R120" s="79"/>
      <c r="S120" s="439">
        <f t="shared" si="26"/>
        <v>351.26499999999999</v>
      </c>
      <c r="T120" s="439">
        <f t="shared" si="26"/>
        <v>-46.75</v>
      </c>
      <c r="U120" s="439">
        <f t="shared" si="26"/>
        <v>41.25</v>
      </c>
      <c r="V120" s="78">
        <f t="shared" si="26"/>
        <v>-12.438420025000028</v>
      </c>
      <c r="W120" s="980"/>
      <c r="AA120" s="45"/>
      <c r="AB120" s="45"/>
      <c r="AC120" s="45"/>
      <c r="AD120" s="45"/>
      <c r="AE120" s="45"/>
      <c r="AF120" s="45"/>
      <c r="AG120" s="45"/>
      <c r="AH120" s="45"/>
      <c r="AI120" s="439">
        <f>AI100-AI117</f>
        <v>210</v>
      </c>
      <c r="AJ120" s="45"/>
      <c r="AK120" s="45"/>
      <c r="AL120" s="45"/>
      <c r="AM120" s="45"/>
      <c r="AN120" s="45"/>
      <c r="AO120" s="45"/>
      <c r="AP120" s="45"/>
      <c r="AR120" s="991">
        <f>AR100-AR117</f>
        <v>-1260</v>
      </c>
      <c r="AS120" s="439">
        <f>AS100-AS117</f>
        <v>-1624.104621221677</v>
      </c>
    </row>
    <row r="121" spans="2:45" x14ac:dyDescent="0.25">
      <c r="B121" s="667" t="s">
        <v>667</v>
      </c>
      <c r="C121" s="698"/>
      <c r="D121" s="752" t="s">
        <v>668</v>
      </c>
      <c r="E121" s="710"/>
      <c r="F121" s="710"/>
      <c r="G121" s="710"/>
      <c r="H121" s="710"/>
      <c r="I121" s="710"/>
      <c r="J121" s="756" t="s">
        <v>669</v>
      </c>
      <c r="K121" s="756" t="s">
        <v>668</v>
      </c>
      <c r="L121" s="710"/>
      <c r="M121" s="756" t="s">
        <v>669</v>
      </c>
      <c r="N121" s="710"/>
      <c r="O121" s="20" t="s">
        <v>669</v>
      </c>
      <c r="P121" s="22" t="s">
        <v>669</v>
      </c>
      <c r="Q121" s="710"/>
      <c r="R121" s="710"/>
      <c r="S121" s="756" t="s">
        <v>668</v>
      </c>
      <c r="T121" s="756" t="s">
        <v>668</v>
      </c>
      <c r="U121" s="756" t="s">
        <v>669</v>
      </c>
      <c r="V121" s="22" t="s">
        <v>669</v>
      </c>
      <c r="W121" s="983"/>
      <c r="AA121" s="45"/>
      <c r="AB121" s="45"/>
      <c r="AC121" s="45"/>
      <c r="AD121" s="45"/>
      <c r="AE121" s="45"/>
      <c r="AF121" s="45"/>
      <c r="AG121" s="45"/>
      <c r="AH121" s="45"/>
      <c r="AI121" s="756" t="s">
        <v>669</v>
      </c>
      <c r="AJ121" s="45"/>
      <c r="AK121" s="45"/>
      <c r="AL121" s="45"/>
      <c r="AM121" s="45"/>
      <c r="AN121" s="45"/>
      <c r="AO121" s="45"/>
      <c r="AP121" s="45"/>
      <c r="AR121" s="756" t="s">
        <v>669</v>
      </c>
      <c r="AS121" s="756" t="s">
        <v>669</v>
      </c>
    </row>
    <row r="122" spans="2:45" ht="11" thickBot="1" x14ac:dyDescent="0.3">
      <c r="B122" s="711" t="s">
        <v>713</v>
      </c>
      <c r="C122" s="712" t="s">
        <v>538</v>
      </c>
      <c r="D122" s="757">
        <f>D117*66%*4%</f>
        <v>4.4746944000000006</v>
      </c>
      <c r="E122" s="713"/>
      <c r="F122" s="713"/>
      <c r="G122" s="713"/>
      <c r="H122" s="713"/>
      <c r="I122" s="713"/>
      <c r="J122" s="757">
        <f>J117*50%*4%</f>
        <v>4.8768500000000001</v>
      </c>
      <c r="K122" s="757">
        <f>K117*66%*4%</f>
        <v>4.4444664000000005</v>
      </c>
      <c r="L122" s="713"/>
      <c r="M122" s="757">
        <f>M117*50%*4%</f>
        <v>3.3757500000000005</v>
      </c>
      <c r="N122" s="713"/>
      <c r="O122" s="775">
        <f>O117*50%*4%</f>
        <v>3.618198</v>
      </c>
      <c r="P122" s="714">
        <f>P117*50%*4%</f>
        <v>5.1478000000000002</v>
      </c>
      <c r="Q122" s="713"/>
      <c r="R122" s="713"/>
      <c r="S122" s="757">
        <f>S117*66%*4%</f>
        <v>7.8206040000000012</v>
      </c>
      <c r="T122" s="757">
        <f>T117*66%*4%</f>
        <v>8.6790000000000003</v>
      </c>
      <c r="U122" s="757">
        <f>U117*50%*4%</f>
        <v>6.5750000000000002</v>
      </c>
      <c r="V122" s="714">
        <f>V117*50%*4%</f>
        <v>7.6487684005000007</v>
      </c>
      <c r="W122" s="984"/>
      <c r="X122" s="490"/>
      <c r="Y122" s="490"/>
      <c r="Z122" s="490"/>
      <c r="AA122" s="490"/>
      <c r="AB122" s="490"/>
      <c r="AC122" s="490"/>
      <c r="AD122" s="490"/>
      <c r="AE122" s="490"/>
      <c r="AF122" s="490"/>
      <c r="AG122" s="490"/>
      <c r="AH122" s="490"/>
      <c r="AI122" s="757">
        <f>AI117*50%*4%</f>
        <v>74</v>
      </c>
      <c r="AJ122" s="490"/>
      <c r="AK122" s="490"/>
      <c r="AL122" s="490"/>
      <c r="AM122" s="490"/>
      <c r="AN122" s="490"/>
      <c r="AO122" s="490"/>
      <c r="AP122" s="490"/>
      <c r="AQ122" s="490"/>
      <c r="AR122" s="757">
        <f>AR117*50%*4%</f>
        <v>125.2</v>
      </c>
      <c r="AS122" s="757">
        <f>AS117*50%*4%</f>
        <v>199.08209242443354</v>
      </c>
    </row>
    <row r="123" spans="2:45" s="238" customFormat="1" x14ac:dyDescent="0.25"/>
    <row r="124" spans="2:45" s="238" customFormat="1" x14ac:dyDescent="0.25">
      <c r="B124" s="1107" t="s">
        <v>674</v>
      </c>
      <c r="C124" s="1103" t="str">
        <f>C89</f>
        <v>£/t</v>
      </c>
      <c r="D124" s="1103">
        <f t="shared" ref="D124:AS124" si="27">D89</f>
        <v>150</v>
      </c>
      <c r="E124" s="1103"/>
      <c r="F124" s="1103"/>
      <c r="G124" s="1103"/>
      <c r="H124" s="1103"/>
      <c r="I124" s="1103"/>
      <c r="J124" s="1103">
        <f t="shared" si="27"/>
        <v>164</v>
      </c>
      <c r="K124" s="1103">
        <f t="shared" si="27"/>
        <v>131</v>
      </c>
      <c r="L124" s="1103"/>
      <c r="M124" s="1103">
        <f t="shared" si="27"/>
        <v>131</v>
      </c>
      <c r="N124" s="1103"/>
      <c r="O124" s="1103">
        <f t="shared" si="27"/>
        <v>131</v>
      </c>
      <c r="P124" s="1103">
        <f t="shared" si="27"/>
        <v>140</v>
      </c>
      <c r="Q124" s="1103"/>
      <c r="R124" s="1103"/>
      <c r="S124" s="1103">
        <f t="shared" si="27"/>
        <v>185</v>
      </c>
      <c r="T124" s="1103">
        <f t="shared" si="27"/>
        <v>188</v>
      </c>
      <c r="U124" s="1103">
        <f t="shared" si="27"/>
        <v>185</v>
      </c>
      <c r="V124" s="1103">
        <f t="shared" si="27"/>
        <v>185</v>
      </c>
      <c r="W124" s="1103"/>
      <c r="X124" s="1103"/>
      <c r="Y124" s="1103"/>
      <c r="Z124" s="1103"/>
      <c r="AA124" s="1103"/>
      <c r="AB124" s="1103"/>
      <c r="AC124" s="1103"/>
      <c r="AD124" s="1103"/>
      <c r="AE124" s="1103"/>
      <c r="AF124" s="1103"/>
      <c r="AG124" s="1103"/>
      <c r="AH124" s="1103"/>
      <c r="AI124" s="1103">
        <f t="shared" si="27"/>
        <v>170</v>
      </c>
      <c r="AJ124" s="1103"/>
      <c r="AK124" s="1103"/>
      <c r="AL124" s="1103"/>
      <c r="AM124" s="1103"/>
      <c r="AN124" s="1103"/>
      <c r="AO124" s="1103"/>
      <c r="AP124" s="1103"/>
      <c r="AQ124" s="1103"/>
      <c r="AR124" s="1103">
        <f t="shared" si="27"/>
        <v>200</v>
      </c>
      <c r="AS124" s="1103">
        <f t="shared" si="27"/>
        <v>700</v>
      </c>
    </row>
    <row r="125" spans="2:45" s="238" customFormat="1" x14ac:dyDescent="0.25">
      <c r="B125" s="1107" t="s">
        <v>675</v>
      </c>
      <c r="C125" s="1081" t="s">
        <v>449</v>
      </c>
      <c r="D125" s="1104">
        <f>$E$133</f>
        <v>2.15</v>
      </c>
      <c r="E125" s="1104"/>
      <c r="F125" s="1104"/>
      <c r="G125" s="1104"/>
      <c r="H125" s="1104"/>
      <c r="I125" s="1104"/>
      <c r="J125" s="1104">
        <f>$E$133</f>
        <v>2.15</v>
      </c>
      <c r="K125" s="1104">
        <f>$E$133</f>
        <v>2.15</v>
      </c>
      <c r="L125" s="1104"/>
      <c r="M125" s="1104">
        <f>$E$133</f>
        <v>2.15</v>
      </c>
      <c r="N125" s="1104"/>
      <c r="O125" s="1104">
        <f>$E$133</f>
        <v>2.15</v>
      </c>
      <c r="P125" s="1104">
        <f>$E$133</f>
        <v>2.15</v>
      </c>
      <c r="Q125" s="1104"/>
      <c r="R125" s="1104"/>
      <c r="S125" s="1104">
        <f>$E$133</f>
        <v>2.15</v>
      </c>
      <c r="T125" s="1104">
        <f>$E$133</f>
        <v>2.15</v>
      </c>
      <c r="U125" s="1104">
        <f>$E$133</f>
        <v>2.15</v>
      </c>
      <c r="V125" s="1104">
        <f>$E$133</f>
        <v>2.15</v>
      </c>
      <c r="W125" s="1104"/>
      <c r="X125" s="1104"/>
      <c r="Y125" s="1104"/>
      <c r="Z125" s="1104"/>
      <c r="AA125" s="1104"/>
      <c r="AB125" s="1104"/>
      <c r="AC125" s="1104"/>
      <c r="AD125" s="1104"/>
      <c r="AE125" s="1104"/>
      <c r="AF125" s="1104"/>
      <c r="AG125" s="1104"/>
      <c r="AH125" s="1104"/>
      <c r="AI125" s="1104">
        <f>$E$133</f>
        <v>2.15</v>
      </c>
      <c r="AJ125" s="1104"/>
      <c r="AK125" s="1104"/>
      <c r="AL125" s="1104"/>
      <c r="AM125" s="1104"/>
      <c r="AN125" s="1104"/>
      <c r="AO125" s="1104"/>
      <c r="AP125" s="1104"/>
      <c r="AQ125" s="1104"/>
      <c r="AR125" s="1104">
        <f>$E$133</f>
        <v>2.15</v>
      </c>
      <c r="AS125" s="1104">
        <f>$E$133</f>
        <v>2.15</v>
      </c>
    </row>
    <row r="126" spans="2:45" s="238" customFormat="1" x14ac:dyDescent="0.25">
      <c r="B126" s="1107" t="s">
        <v>676</v>
      </c>
      <c r="C126" s="1081" t="s">
        <v>495</v>
      </c>
      <c r="D126" s="1105">
        <f>D124*D125</f>
        <v>322.5</v>
      </c>
      <c r="E126" s="1105"/>
      <c r="F126" s="1105"/>
      <c r="G126" s="1105"/>
      <c r="H126" s="1105"/>
      <c r="I126" s="1105"/>
      <c r="J126" s="1105">
        <f t="shared" ref="J126:AR126" si="28">J124*J125</f>
        <v>352.59999999999997</v>
      </c>
      <c r="K126" s="1105">
        <f t="shared" si="28"/>
        <v>281.64999999999998</v>
      </c>
      <c r="L126" s="1105"/>
      <c r="M126" s="1105">
        <f t="shared" si="28"/>
        <v>281.64999999999998</v>
      </c>
      <c r="N126" s="1105"/>
      <c r="O126" s="1105">
        <f t="shared" si="28"/>
        <v>281.64999999999998</v>
      </c>
      <c r="P126" s="1105">
        <f t="shared" si="28"/>
        <v>301</v>
      </c>
      <c r="Q126" s="1105"/>
      <c r="R126" s="1105"/>
      <c r="S126" s="1105">
        <f t="shared" si="28"/>
        <v>397.75</v>
      </c>
      <c r="T126" s="1105">
        <f t="shared" si="28"/>
        <v>404.2</v>
      </c>
      <c r="U126" s="1105">
        <f t="shared" si="28"/>
        <v>397.75</v>
      </c>
      <c r="V126" s="1105">
        <f t="shared" si="28"/>
        <v>397.75</v>
      </c>
      <c r="W126" s="1105"/>
      <c r="X126" s="1105"/>
      <c r="Y126" s="1105"/>
      <c r="Z126" s="1105"/>
      <c r="AA126" s="1105"/>
      <c r="AB126" s="1105"/>
      <c r="AC126" s="1105"/>
      <c r="AD126" s="1105"/>
      <c r="AE126" s="1105"/>
      <c r="AF126" s="1105"/>
      <c r="AG126" s="1105"/>
      <c r="AH126" s="1105"/>
      <c r="AI126" s="1105">
        <f t="shared" si="28"/>
        <v>365.5</v>
      </c>
      <c r="AJ126" s="1105"/>
      <c r="AK126" s="1105"/>
      <c r="AL126" s="1105"/>
      <c r="AM126" s="1105"/>
      <c r="AN126" s="1105"/>
      <c r="AO126" s="1105"/>
      <c r="AP126" s="1105"/>
      <c r="AQ126" s="1105"/>
      <c r="AR126" s="1105">
        <f t="shared" si="28"/>
        <v>430</v>
      </c>
      <c r="AS126" s="1105">
        <f>AS124*AS125</f>
        <v>1505</v>
      </c>
    </row>
    <row r="127" spans="2:45" s="238" customFormat="1" ht="21" x14ac:dyDescent="0.25">
      <c r="B127" s="1108" t="s">
        <v>677</v>
      </c>
      <c r="C127" s="1081" t="s">
        <v>538</v>
      </c>
      <c r="D127" s="1106">
        <f>D126*D95+D96*D97</f>
        <v>1840.3999999999996</v>
      </c>
      <c r="E127" s="1106"/>
      <c r="F127" s="1106"/>
      <c r="G127" s="1106"/>
      <c r="H127" s="1106"/>
      <c r="I127" s="1106"/>
      <c r="J127" s="1106">
        <f t="shared" ref="J127:AR127" si="29">J126*J95+J96*J97</f>
        <v>1323.9699999999998</v>
      </c>
      <c r="K127" s="1106">
        <f t="shared" si="29"/>
        <v>1146.6099999999999</v>
      </c>
      <c r="L127" s="1081"/>
      <c r="M127" s="1106">
        <f t="shared" si="29"/>
        <v>1145.1099999999999</v>
      </c>
      <c r="N127" s="1106"/>
      <c r="O127" s="1106">
        <f t="shared" si="29"/>
        <v>1238.94</v>
      </c>
      <c r="P127" s="1106">
        <f t="shared" si="29"/>
        <v>1218.3</v>
      </c>
      <c r="Q127" s="1106"/>
      <c r="R127" s="1106"/>
      <c r="S127" s="1106">
        <f t="shared" si="29"/>
        <v>1392.125</v>
      </c>
      <c r="T127" s="1106">
        <f t="shared" si="29"/>
        <v>606.29999999999995</v>
      </c>
      <c r="U127" s="1106">
        <f t="shared" si="29"/>
        <v>795.5</v>
      </c>
      <c r="V127" s="1106">
        <f t="shared" si="29"/>
        <v>795.5</v>
      </c>
      <c r="W127" s="1106"/>
      <c r="X127" s="1106"/>
      <c r="Y127" s="1106"/>
      <c r="Z127" s="1106"/>
      <c r="AA127" s="1106"/>
      <c r="AB127" s="1106"/>
      <c r="AC127" s="1106"/>
      <c r="AD127" s="1106"/>
      <c r="AE127" s="1106"/>
      <c r="AF127" s="1106"/>
      <c r="AG127" s="1106"/>
      <c r="AH127" s="1106"/>
      <c r="AI127" s="1106">
        <f t="shared" si="29"/>
        <v>8406.5</v>
      </c>
      <c r="AJ127" s="1106"/>
      <c r="AK127" s="1106"/>
      <c r="AL127" s="1106"/>
      <c r="AM127" s="1106"/>
      <c r="AN127" s="1106"/>
      <c r="AO127" s="1106"/>
      <c r="AP127" s="1106"/>
      <c r="AQ127" s="1106"/>
      <c r="AR127" s="1106">
        <f t="shared" si="29"/>
        <v>10750</v>
      </c>
      <c r="AS127" s="1106">
        <f>AS126*AS95+AS96*AS97</f>
        <v>17909.5</v>
      </c>
    </row>
    <row r="128" spans="2:45" s="238" customFormat="1" x14ac:dyDescent="0.25">
      <c r="B128" s="1107"/>
      <c r="C128" s="1081"/>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c r="AB128" s="1082"/>
      <c r="AC128" s="1082"/>
      <c r="AD128" s="1082"/>
      <c r="AE128" s="1082"/>
      <c r="AF128" s="1082"/>
      <c r="AG128" s="1082"/>
      <c r="AH128" s="1082"/>
      <c r="AI128" s="1082"/>
      <c r="AJ128" s="1082"/>
      <c r="AK128" s="1082"/>
      <c r="AL128" s="1082"/>
      <c r="AM128" s="1082"/>
      <c r="AN128" s="1082"/>
      <c r="AO128" s="1082"/>
      <c r="AP128" s="1082"/>
      <c r="AQ128" s="1082"/>
      <c r="AR128" s="1082"/>
      <c r="AS128" s="1082"/>
    </row>
    <row r="129" spans="2:45" s="238" customFormat="1" ht="21.5" thickBot="1" x14ac:dyDescent="0.3">
      <c r="B129" s="1080" t="s">
        <v>984</v>
      </c>
      <c r="C129" s="1109" t="s">
        <v>538</v>
      </c>
      <c r="D129" s="1113">
        <f>D127-D117</f>
        <v>1670.9039999999995</v>
      </c>
      <c r="E129" s="1113"/>
      <c r="F129" s="1113"/>
      <c r="G129" s="1113"/>
      <c r="H129" s="1113"/>
      <c r="I129" s="1113"/>
      <c r="J129" s="1113">
        <f t="shared" ref="J129:AS129" si="30">J127-J117</f>
        <v>1080.1274999999998</v>
      </c>
      <c r="K129" s="1113">
        <f t="shared" si="30"/>
        <v>978.2589999999999</v>
      </c>
      <c r="L129" s="1113"/>
      <c r="M129" s="1113">
        <f t="shared" si="30"/>
        <v>976.32249999999988</v>
      </c>
      <c r="N129" s="1113"/>
      <c r="O129" s="1113">
        <f t="shared" si="30"/>
        <v>1058.0300999999999</v>
      </c>
      <c r="P129" s="1113">
        <f t="shared" si="30"/>
        <v>960.91</v>
      </c>
      <c r="Q129" s="1113"/>
      <c r="R129" s="1113"/>
      <c r="S129" s="1113">
        <f t="shared" si="30"/>
        <v>1095.8899999999999</v>
      </c>
      <c r="T129" s="1113">
        <f t="shared" si="30"/>
        <v>277.54999999999995</v>
      </c>
      <c r="U129" s="1113">
        <f t="shared" si="30"/>
        <v>466.75</v>
      </c>
      <c r="V129" s="1113">
        <f t="shared" si="30"/>
        <v>413.06157997499997</v>
      </c>
      <c r="W129" s="1113"/>
      <c r="X129" s="1113"/>
      <c r="Y129" s="1113"/>
      <c r="Z129" s="1113"/>
      <c r="AA129" s="1113"/>
      <c r="AB129" s="1113"/>
      <c r="AC129" s="1113"/>
      <c r="AD129" s="1113"/>
      <c r="AE129" s="1113"/>
      <c r="AF129" s="1113"/>
      <c r="AG129" s="1113"/>
      <c r="AH129" s="1113"/>
      <c r="AI129" s="1113">
        <f t="shared" si="30"/>
        <v>4706.5</v>
      </c>
      <c r="AJ129" s="1113"/>
      <c r="AK129" s="1113"/>
      <c r="AL129" s="1113"/>
      <c r="AM129" s="1113"/>
      <c r="AN129" s="1113"/>
      <c r="AO129" s="1113"/>
      <c r="AP129" s="1113"/>
      <c r="AQ129" s="1113"/>
      <c r="AR129" s="1113">
        <f t="shared" si="30"/>
        <v>4490</v>
      </c>
      <c r="AS129" s="1113">
        <f t="shared" si="30"/>
        <v>7955.395378778323</v>
      </c>
    </row>
    <row r="130" spans="2:45" s="238" customFormat="1" x14ac:dyDescent="0.25"/>
    <row r="131" spans="2:45" s="238" customFormat="1" ht="11" thickBot="1" x14ac:dyDescent="0.3"/>
    <row r="132" spans="2:45" s="238" customFormat="1" ht="11" thickBot="1" x14ac:dyDescent="0.3">
      <c r="B132" s="780" t="s">
        <v>49</v>
      </c>
      <c r="C132" s="780" t="s">
        <v>449</v>
      </c>
      <c r="D132" s="1037" t="s">
        <v>49</v>
      </c>
      <c r="E132" s="1038" t="s">
        <v>449</v>
      </c>
    </row>
    <row r="133" spans="2:45" s="238" customFormat="1" ht="21.5" thickBot="1" x14ac:dyDescent="0.3">
      <c r="B133" s="1069" t="s">
        <v>985</v>
      </c>
      <c r="C133" s="1102">
        <v>1.96</v>
      </c>
      <c r="D133" s="1112" t="s">
        <v>675</v>
      </c>
      <c r="E133" s="1040">
        <v>2.15</v>
      </c>
    </row>
    <row r="134" spans="2:45" s="238" customFormat="1" x14ac:dyDescent="0.25"/>
    <row r="135" spans="2:45" s="238" customFormat="1" x14ac:dyDescent="0.25"/>
    <row r="136" spans="2:45" s="238" customFormat="1" x14ac:dyDescent="0.25"/>
    <row r="137" spans="2:45" s="238" customFormat="1" x14ac:dyDescent="0.25"/>
    <row r="138" spans="2:45" s="238" customFormat="1" x14ac:dyDescent="0.25"/>
    <row r="139" spans="2:45" s="238" customFormat="1" x14ac:dyDescent="0.25"/>
    <row r="140" spans="2:45" s="238" customFormat="1" x14ac:dyDescent="0.25"/>
    <row r="141" spans="2:45" s="238" customFormat="1" x14ac:dyDescent="0.25"/>
    <row r="142" spans="2:45" s="238" customFormat="1" x14ac:dyDescent="0.25"/>
    <row r="143" spans="2:45" s="238" customFormat="1" x14ac:dyDescent="0.25"/>
    <row r="144" spans="2:45" s="238" customFormat="1" x14ac:dyDescent="0.25"/>
    <row r="145" s="238" customFormat="1" x14ac:dyDescent="0.25"/>
    <row r="146" s="238" customFormat="1" x14ac:dyDescent="0.25"/>
    <row r="147" s="238" customFormat="1" x14ac:dyDescent="0.25"/>
    <row r="148" s="238" customFormat="1" x14ac:dyDescent="0.25"/>
    <row r="149" s="238" customFormat="1" x14ac:dyDescent="0.25"/>
    <row r="150" s="238" customFormat="1" x14ac:dyDescent="0.25"/>
    <row r="151" s="238" customFormat="1" x14ac:dyDescent="0.25"/>
    <row r="152" s="238" customFormat="1" x14ac:dyDescent="0.25"/>
    <row r="153" s="238" customFormat="1" x14ac:dyDescent="0.25"/>
    <row r="154" s="238" customFormat="1" x14ac:dyDescent="0.25"/>
    <row r="155" s="238" customFormat="1" x14ac:dyDescent="0.25"/>
    <row r="156" s="238" customFormat="1" x14ac:dyDescent="0.25"/>
    <row r="157" s="238" customFormat="1" x14ac:dyDescent="0.25"/>
    <row r="158" s="238" customFormat="1" x14ac:dyDescent="0.25"/>
    <row r="159" s="238" customFormat="1" x14ac:dyDescent="0.25"/>
    <row r="160" s="238" customFormat="1" x14ac:dyDescent="0.25"/>
    <row r="161" s="238" customFormat="1"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6EAFF-09DB-4685-9F73-914F86FAE2B4}">
  <dimension ref="A1:AY147"/>
  <sheetViews>
    <sheetView workbookViewId="0"/>
  </sheetViews>
  <sheetFormatPr defaultColWidth="8.81640625" defaultRowHeight="10.5" x14ac:dyDescent="0.25"/>
  <cols>
    <col min="1" max="1" width="2.54296875" style="238" customWidth="1"/>
    <col min="2" max="2" width="24.453125" style="45" customWidth="1"/>
    <col min="3" max="26" width="8.81640625" style="45"/>
    <col min="27" max="42" width="8.81640625" style="832"/>
    <col min="43" max="43" width="8.81640625" style="45"/>
    <col min="44" max="51" width="8.81640625" style="238"/>
    <col min="52" max="16384" width="8.81640625" style="45"/>
  </cols>
  <sheetData>
    <row r="1" spans="2:43" s="238" customFormat="1" ht="11" thickBot="1" x14ac:dyDescent="0.3">
      <c r="Z1" s="835"/>
      <c r="AA1" s="836"/>
      <c r="AB1" s="836"/>
      <c r="AC1" s="836"/>
      <c r="AD1" s="836"/>
      <c r="AE1" s="836"/>
      <c r="AF1" s="836"/>
      <c r="AG1" s="836"/>
      <c r="AH1" s="836"/>
      <c r="AI1" s="836"/>
      <c r="AJ1" s="836"/>
      <c r="AK1" s="836"/>
      <c r="AL1" s="836"/>
      <c r="AM1" s="836"/>
      <c r="AN1" s="836"/>
      <c r="AO1" s="836"/>
      <c r="AP1" s="835"/>
    </row>
    <row r="2" spans="2:43" ht="42.5" thickBot="1" x14ac:dyDescent="0.3">
      <c r="B2" s="785" t="s">
        <v>596</v>
      </c>
      <c r="C2" s="786"/>
      <c r="D2" s="780" t="s">
        <v>541</v>
      </c>
      <c r="E2" s="780" t="s">
        <v>543</v>
      </c>
      <c r="F2" s="780" t="s">
        <v>544</v>
      </c>
      <c r="G2" s="780" t="s">
        <v>546</v>
      </c>
      <c r="H2" s="780" t="s">
        <v>548</v>
      </c>
      <c r="I2" s="780" t="s">
        <v>549</v>
      </c>
      <c r="J2" s="780" t="s">
        <v>551</v>
      </c>
      <c r="K2" s="780" t="s">
        <v>552</v>
      </c>
      <c r="L2" s="780" t="s">
        <v>554</v>
      </c>
      <c r="M2" s="780" t="s">
        <v>555</v>
      </c>
      <c r="N2" s="780" t="s">
        <v>557</v>
      </c>
      <c r="O2" s="780" t="s">
        <v>558</v>
      </c>
      <c r="P2" s="780" t="s">
        <v>597</v>
      </c>
      <c r="Q2" s="780" t="s">
        <v>562</v>
      </c>
      <c r="R2" s="780" t="s">
        <v>565</v>
      </c>
      <c r="S2" s="780" t="s">
        <v>563</v>
      </c>
      <c r="T2" s="780" t="s">
        <v>566</v>
      </c>
      <c r="U2" s="780" t="s">
        <v>569</v>
      </c>
      <c r="V2" s="780" t="s">
        <v>571</v>
      </c>
      <c r="W2" s="780" t="s">
        <v>574</v>
      </c>
      <c r="X2" s="780" t="s">
        <v>575</v>
      </c>
      <c r="Y2" s="780" t="s">
        <v>570</v>
      </c>
      <c r="Z2" s="783" t="s">
        <v>572</v>
      </c>
      <c r="AA2" s="780" t="s">
        <v>598</v>
      </c>
      <c r="AB2" s="780" t="s">
        <v>599</v>
      </c>
      <c r="AC2" s="780" t="s">
        <v>600</v>
      </c>
      <c r="AD2" s="780" t="s">
        <v>601</v>
      </c>
      <c r="AE2" s="780" t="s">
        <v>602</v>
      </c>
      <c r="AF2" s="780" t="s">
        <v>603</v>
      </c>
      <c r="AG2" s="780" t="s">
        <v>604</v>
      </c>
      <c r="AH2" s="780" t="s">
        <v>605</v>
      </c>
      <c r="AI2" s="780" t="s">
        <v>585</v>
      </c>
      <c r="AJ2" s="780" t="s">
        <v>606</v>
      </c>
      <c r="AK2" s="780" t="s">
        <v>607</v>
      </c>
      <c r="AL2" s="780" t="s">
        <v>608</v>
      </c>
      <c r="AM2" s="780" t="s">
        <v>609</v>
      </c>
      <c r="AN2" s="780" t="s">
        <v>610</v>
      </c>
      <c r="AO2" s="780" t="s">
        <v>611</v>
      </c>
      <c r="AP2" s="780" t="s">
        <v>612</v>
      </c>
      <c r="AQ2" s="784" t="s">
        <v>613</v>
      </c>
    </row>
    <row r="3" spans="2:43" x14ac:dyDescent="0.25">
      <c r="B3" s="411" t="s">
        <v>614</v>
      </c>
      <c r="C3" s="787" t="s">
        <v>425</v>
      </c>
      <c r="D3" s="795">
        <v>872.31973060313373</v>
      </c>
      <c r="E3" s="795">
        <v>739.17600226718719</v>
      </c>
      <c r="F3" s="795">
        <v>855.2433536259357</v>
      </c>
      <c r="G3" s="795">
        <v>706.24882600291608</v>
      </c>
      <c r="H3" s="795">
        <v>854.29821481940292</v>
      </c>
      <c r="I3" s="795">
        <v>708.96660030279975</v>
      </c>
      <c r="J3" s="795">
        <v>711.17360759021471</v>
      </c>
      <c r="K3" s="795">
        <v>700.96031757456615</v>
      </c>
      <c r="L3" s="795">
        <v>810.16895307672246</v>
      </c>
      <c r="M3" s="795">
        <v>613.79199471547327</v>
      </c>
      <c r="N3" s="795">
        <v>769.30352713738796</v>
      </c>
      <c r="O3" s="795">
        <v>546.72660107878403</v>
      </c>
      <c r="P3" s="795">
        <v>595</v>
      </c>
      <c r="Q3" s="795">
        <v>741.65109138717662</v>
      </c>
      <c r="R3" s="795">
        <v>492.19927478742193</v>
      </c>
      <c r="S3" s="795">
        <v>458.47682163236431</v>
      </c>
      <c r="T3" s="795">
        <v>401.65884424105991</v>
      </c>
      <c r="U3" s="795">
        <v>391.15779424105995</v>
      </c>
      <c r="V3" s="795">
        <v>403.45787504896191</v>
      </c>
      <c r="W3" s="795">
        <v>479.5150856389987</v>
      </c>
      <c r="X3" s="795">
        <v>633.01073781291166</v>
      </c>
      <c r="Y3" s="795">
        <v>358.2730411052155</v>
      </c>
      <c r="Z3" s="821">
        <v>545.34924637681161</v>
      </c>
      <c r="AA3" s="795">
        <v>682.59344927536222</v>
      </c>
      <c r="AB3" s="795">
        <v>774.45021645021643</v>
      </c>
      <c r="AC3" s="795">
        <v>475.74044795783925</v>
      </c>
      <c r="AD3" s="795">
        <v>594.96508563899874</v>
      </c>
      <c r="AE3" s="795">
        <v>767.50856389986825</v>
      </c>
      <c r="AF3" s="795">
        <v>796.81847932338815</v>
      </c>
      <c r="AG3" s="795">
        <v>768.08357778885488</v>
      </c>
      <c r="AH3" s="795">
        <v>4349.9999999999982</v>
      </c>
      <c r="AI3" s="795">
        <v>2714.6502028985515</v>
      </c>
      <c r="AJ3" s="795">
        <v>1058</v>
      </c>
      <c r="AK3" s="795">
        <v>10979</v>
      </c>
      <c r="AL3" s="795">
        <v>15650</v>
      </c>
      <c r="AM3" s="795">
        <v>16386</v>
      </c>
      <c r="AN3" s="795">
        <v>51877</v>
      </c>
      <c r="AO3" s="795">
        <v>174700</v>
      </c>
      <c r="AP3" s="795">
        <v>8550</v>
      </c>
      <c r="AQ3" s="662">
        <v>3539.05</v>
      </c>
    </row>
    <row r="4" spans="2:43" x14ac:dyDescent="0.25">
      <c r="B4" s="663" t="s">
        <v>615</v>
      </c>
      <c r="C4" s="787" t="s">
        <v>425</v>
      </c>
      <c r="D4" s="796">
        <v>15.178545742284125</v>
      </c>
      <c r="E4" s="796">
        <v>15.5302440247767</v>
      </c>
      <c r="F4" s="796">
        <v>15.856153202249894</v>
      </c>
      <c r="G4" s="796">
        <v>16.605015146525233</v>
      </c>
      <c r="H4" s="796">
        <v>15.647643432275565</v>
      </c>
      <c r="I4" s="796">
        <v>16.321728305213831</v>
      </c>
      <c r="J4" s="796">
        <v>8.9893172800531929</v>
      </c>
      <c r="K4" s="796">
        <v>11.469215572121362</v>
      </c>
      <c r="L4" s="796">
        <v>10.507494447146378</v>
      </c>
      <c r="M4" s="796">
        <v>7.1268429885271827</v>
      </c>
      <c r="N4" s="796">
        <v>6.5959857442984982</v>
      </c>
      <c r="O4" s="796">
        <v>9.7397572118563573</v>
      </c>
      <c r="P4" s="796"/>
      <c r="Q4" s="796">
        <v>12.131184059215649</v>
      </c>
      <c r="R4" s="796">
        <v>5.7711678123531716</v>
      </c>
      <c r="S4" s="796">
        <v>7.3987565089055831</v>
      </c>
      <c r="T4" s="796">
        <v>5.5511391151788008</v>
      </c>
      <c r="U4" s="796">
        <v>5.5443891151788014</v>
      </c>
      <c r="V4" s="796">
        <v>5.7811758323540925</v>
      </c>
      <c r="W4" s="796">
        <v>4.409698287220027</v>
      </c>
      <c r="X4" s="796">
        <v>7.0485165217391303</v>
      </c>
      <c r="Y4" s="796">
        <v>5.2048134841650082</v>
      </c>
      <c r="Z4" s="822">
        <v>5.5692550724637684</v>
      </c>
      <c r="AA4" s="796">
        <v>7.3743710144927537</v>
      </c>
      <c r="AB4" s="796">
        <v>9.2609956709956709</v>
      </c>
      <c r="AC4" s="796">
        <v>6.085191040843215</v>
      </c>
      <c r="AD4" s="796">
        <v>9.8506982872200268</v>
      </c>
      <c r="AE4" s="796">
        <v>7.849828722002635</v>
      </c>
      <c r="AF4" s="796">
        <v>12.663630413532237</v>
      </c>
      <c r="AG4" s="796">
        <v>22.3642528240381</v>
      </c>
      <c r="AH4" s="796">
        <v>209.88000000000002</v>
      </c>
      <c r="AI4" s="796">
        <v>136.23983464347828</v>
      </c>
      <c r="AJ4" s="796">
        <v>101.9568</v>
      </c>
      <c r="AK4" s="796">
        <v>238.15440000000004</v>
      </c>
      <c r="AL4" s="796">
        <v>81.84</v>
      </c>
      <c r="AM4" s="796">
        <v>2339.4096</v>
      </c>
      <c r="AN4" s="796">
        <v>557.64720000000011</v>
      </c>
      <c r="AO4" s="796">
        <v>3147.6192000000001</v>
      </c>
      <c r="AP4" s="796">
        <v>134.64000000000001</v>
      </c>
      <c r="AQ4" s="664">
        <v>94.669079999999994</v>
      </c>
    </row>
    <row r="5" spans="2:43" x14ac:dyDescent="0.25">
      <c r="B5" s="665" t="s">
        <v>616</v>
      </c>
      <c r="C5" s="788" t="s">
        <v>495</v>
      </c>
      <c r="D5" s="744">
        <v>150</v>
      </c>
      <c r="E5" s="744">
        <v>150</v>
      </c>
      <c r="F5" s="744">
        <v>164</v>
      </c>
      <c r="G5" s="744">
        <v>164</v>
      </c>
      <c r="H5" s="744">
        <v>153</v>
      </c>
      <c r="I5" s="744">
        <v>153</v>
      </c>
      <c r="J5" s="744">
        <v>164</v>
      </c>
      <c r="K5" s="744">
        <v>131</v>
      </c>
      <c r="L5" s="744">
        <v>152</v>
      </c>
      <c r="M5" s="744">
        <v>131</v>
      </c>
      <c r="N5" s="744">
        <v>157</v>
      </c>
      <c r="O5" s="744">
        <v>131</v>
      </c>
      <c r="P5" s="744">
        <v>140</v>
      </c>
      <c r="Q5" s="744">
        <v>350</v>
      </c>
      <c r="R5" s="744">
        <v>350</v>
      </c>
      <c r="S5" s="744">
        <v>185</v>
      </c>
      <c r="T5" s="744">
        <v>188</v>
      </c>
      <c r="U5" s="744">
        <v>185</v>
      </c>
      <c r="V5" s="744">
        <v>185</v>
      </c>
      <c r="W5" s="744">
        <v>400</v>
      </c>
      <c r="X5" s="744">
        <v>400</v>
      </c>
      <c r="Y5" s="744">
        <v>131</v>
      </c>
      <c r="Z5" s="761">
        <v>145</v>
      </c>
      <c r="AA5" s="744">
        <v>160</v>
      </c>
      <c r="AB5" s="744">
        <v>165</v>
      </c>
      <c r="AC5" s="744">
        <v>260</v>
      </c>
      <c r="AD5" s="744">
        <v>145</v>
      </c>
      <c r="AE5" s="744">
        <v>2900</v>
      </c>
      <c r="AF5" s="744">
        <v>1100</v>
      </c>
      <c r="AG5" s="797">
        <v>21.66</v>
      </c>
      <c r="AH5" s="744">
        <v>8.1999999999999993</v>
      </c>
      <c r="AI5" s="744">
        <v>170</v>
      </c>
      <c r="AJ5" s="744">
        <v>410</v>
      </c>
      <c r="AK5" s="744">
        <v>800</v>
      </c>
      <c r="AL5" s="744">
        <v>2500</v>
      </c>
      <c r="AM5" s="744">
        <v>3500</v>
      </c>
      <c r="AN5" s="744">
        <v>73000</v>
      </c>
      <c r="AO5" s="744">
        <v>293928</v>
      </c>
      <c r="AP5" s="744">
        <v>325</v>
      </c>
      <c r="AQ5" s="666">
        <v>750</v>
      </c>
    </row>
    <row r="6" spans="2:43" x14ac:dyDescent="0.25">
      <c r="B6" s="667" t="s">
        <v>617</v>
      </c>
      <c r="C6" s="789" t="s">
        <v>495</v>
      </c>
      <c r="D6" s="797"/>
      <c r="E6" s="797"/>
      <c r="F6" s="814">
        <v>0.09</v>
      </c>
      <c r="G6" s="797"/>
      <c r="H6" s="814">
        <v>1.7000000000000001E-2</v>
      </c>
      <c r="I6" s="815">
        <v>1.7000000000000001E-2</v>
      </c>
      <c r="J6" s="797"/>
      <c r="K6" s="816">
        <v>0.87</v>
      </c>
      <c r="L6" s="816">
        <v>0.16</v>
      </c>
      <c r="M6" s="797"/>
      <c r="N6" s="797"/>
      <c r="O6" s="816">
        <v>1</v>
      </c>
      <c r="P6" s="816"/>
      <c r="Q6" s="816">
        <v>0.44</v>
      </c>
      <c r="R6" s="811"/>
      <c r="S6" s="818">
        <v>35</v>
      </c>
      <c r="T6" s="814">
        <v>0.25</v>
      </c>
      <c r="U6" s="797"/>
      <c r="V6" s="797"/>
      <c r="W6" s="820">
        <v>1.1299999999999999</v>
      </c>
      <c r="X6" s="797"/>
      <c r="Y6" s="797"/>
      <c r="Z6" s="823">
        <v>-5</v>
      </c>
      <c r="AA6" s="797">
        <v>10</v>
      </c>
      <c r="AB6" s="816">
        <v>0.1</v>
      </c>
      <c r="AC6" s="816">
        <v>0.75</v>
      </c>
      <c r="AD6" s="797"/>
      <c r="AE6" s="746"/>
      <c r="AF6" s="746"/>
      <c r="AG6" s="816"/>
      <c r="AH6" s="811" t="s">
        <v>618</v>
      </c>
      <c r="AI6" s="816"/>
      <c r="AJ6" s="816"/>
      <c r="AK6" s="816"/>
      <c r="AL6" s="816"/>
      <c r="AM6" s="816"/>
      <c r="AN6" s="816"/>
      <c r="AO6" s="746"/>
      <c r="AP6" s="811"/>
      <c r="AQ6" s="19"/>
    </row>
    <row r="7" spans="2:43" x14ac:dyDescent="0.25">
      <c r="B7" s="668" t="s">
        <v>619</v>
      </c>
      <c r="C7" s="790"/>
      <c r="D7" s="752"/>
      <c r="E7" s="811"/>
      <c r="F7" s="811"/>
      <c r="G7" s="811"/>
      <c r="H7" s="811"/>
      <c r="I7" s="811"/>
      <c r="J7" s="811"/>
      <c r="K7" s="811"/>
      <c r="L7" s="811"/>
      <c r="M7" s="811"/>
      <c r="N7" s="811"/>
      <c r="O7" s="811"/>
      <c r="P7" s="811"/>
      <c r="Q7" s="811"/>
      <c r="R7" s="811"/>
      <c r="S7" s="811"/>
      <c r="T7" s="811"/>
      <c r="U7" s="811"/>
      <c r="V7" s="811"/>
      <c r="W7" s="811"/>
      <c r="X7" s="811"/>
      <c r="Y7" s="811"/>
      <c r="Z7" s="29"/>
      <c r="AA7" s="811"/>
      <c r="AB7" s="811"/>
      <c r="AC7" s="811"/>
      <c r="AD7" s="811"/>
      <c r="AE7" s="746"/>
      <c r="AF7" s="746"/>
      <c r="AG7" s="811"/>
      <c r="AH7" s="746"/>
      <c r="AI7" s="811"/>
      <c r="AJ7" s="811"/>
      <c r="AK7" s="811"/>
      <c r="AL7" s="811"/>
      <c r="AM7" s="811"/>
      <c r="AN7" s="811"/>
      <c r="AO7" s="746"/>
      <c r="AP7" s="811"/>
      <c r="AQ7" s="19"/>
    </row>
    <row r="8" spans="2:43" x14ac:dyDescent="0.25">
      <c r="B8" s="668" t="s">
        <v>620</v>
      </c>
      <c r="C8" s="791" t="s">
        <v>539</v>
      </c>
      <c r="D8" s="798">
        <v>8.5063509672239537</v>
      </c>
      <c r="E8" s="812">
        <v>7.7075388092501118</v>
      </c>
      <c r="F8" s="812">
        <v>7.8325805935824544</v>
      </c>
      <c r="G8" s="812">
        <v>7.0970406857451538</v>
      </c>
      <c r="H8" s="812">
        <v>8.337908373813578</v>
      </c>
      <c r="I8" s="812">
        <v>7.5549142783738725</v>
      </c>
      <c r="J8" s="812">
        <v>6.0324845828833809</v>
      </c>
      <c r="K8" s="812">
        <v>7.2730710028018475</v>
      </c>
      <c r="L8" s="812">
        <v>6.7470533314323795</v>
      </c>
      <c r="M8" s="812">
        <v>5.9018484285636061</v>
      </c>
      <c r="N8" s="812">
        <v>5.7459287538363872</v>
      </c>
      <c r="O8" s="812">
        <v>5.5695328129586672</v>
      </c>
      <c r="P8" s="812">
        <v>6.6</v>
      </c>
      <c r="Q8" s="812">
        <v>3.4319018259563974</v>
      </c>
      <c r="R8" s="812">
        <v>2.2307361868716584</v>
      </c>
      <c r="S8" s="812">
        <v>3.99315</v>
      </c>
      <c r="T8" s="812">
        <v>3.6128499999999999</v>
      </c>
      <c r="U8" s="812">
        <v>3.6128499999999999</v>
      </c>
      <c r="V8" s="812">
        <v>3.7433333333333327</v>
      </c>
      <c r="W8" s="812">
        <v>1.75</v>
      </c>
      <c r="X8" s="812">
        <v>2.25</v>
      </c>
      <c r="Y8" s="812">
        <v>4.7214787428508851</v>
      </c>
      <c r="Z8" s="29">
        <v>4.5</v>
      </c>
      <c r="AA8" s="811">
        <v>5.5</v>
      </c>
      <c r="AB8" s="811">
        <v>7.5</v>
      </c>
      <c r="AC8" s="812">
        <v>3</v>
      </c>
      <c r="AD8" s="811">
        <v>7.5</v>
      </c>
      <c r="AE8" s="811">
        <v>0.4</v>
      </c>
      <c r="AF8" s="811">
        <v>1.3</v>
      </c>
      <c r="AG8" s="812">
        <v>74.571300396037714</v>
      </c>
      <c r="AH8" s="811">
        <v>1500</v>
      </c>
      <c r="AI8" s="812">
        <v>46.325000000000003</v>
      </c>
      <c r="AJ8" s="812">
        <v>12</v>
      </c>
      <c r="AK8" s="809">
        <v>25</v>
      </c>
      <c r="AL8" s="809">
        <v>7.5</v>
      </c>
      <c r="AM8" s="809">
        <v>30</v>
      </c>
      <c r="AN8" s="809">
        <v>1</v>
      </c>
      <c r="AO8" s="809">
        <v>1</v>
      </c>
      <c r="AP8" s="811">
        <v>42</v>
      </c>
      <c r="AQ8" s="19">
        <v>9.5</v>
      </c>
    </row>
    <row r="9" spans="2:43" x14ac:dyDescent="0.25">
      <c r="B9" s="667" t="s">
        <v>621</v>
      </c>
      <c r="C9" s="791" t="s">
        <v>539</v>
      </c>
      <c r="D9" s="799">
        <v>0.15</v>
      </c>
      <c r="E9" s="799">
        <v>0.15</v>
      </c>
      <c r="F9" s="799">
        <v>0.15</v>
      </c>
      <c r="G9" s="799">
        <v>0.15</v>
      </c>
      <c r="H9" s="799">
        <v>0.15</v>
      </c>
      <c r="I9" s="799">
        <v>0.15</v>
      </c>
      <c r="J9" s="799">
        <v>0.15</v>
      </c>
      <c r="K9" s="799">
        <v>0.2</v>
      </c>
      <c r="L9" s="799">
        <v>0.2</v>
      </c>
      <c r="M9" s="799">
        <v>0.2</v>
      </c>
      <c r="N9" s="799">
        <v>0.2</v>
      </c>
      <c r="O9" s="799">
        <v>0.2</v>
      </c>
      <c r="P9" s="799"/>
      <c r="Q9" s="799">
        <v>0.05</v>
      </c>
      <c r="R9" s="799">
        <v>0.05</v>
      </c>
      <c r="S9" s="799">
        <v>0.05</v>
      </c>
      <c r="T9" s="799">
        <v>0.05</v>
      </c>
      <c r="U9" s="799">
        <v>0.05</v>
      </c>
      <c r="V9" s="799">
        <v>0.05</v>
      </c>
      <c r="W9" s="799">
        <v>0.05</v>
      </c>
      <c r="X9" s="799">
        <v>0.05</v>
      </c>
      <c r="Y9" s="799">
        <v>0.2</v>
      </c>
      <c r="Z9" s="824">
        <v>0.15</v>
      </c>
      <c r="AA9" s="799">
        <v>0.15</v>
      </c>
      <c r="AB9" s="799">
        <v>0.15</v>
      </c>
      <c r="AC9" s="799">
        <v>0.05</v>
      </c>
      <c r="AD9" s="799">
        <v>0.05</v>
      </c>
      <c r="AE9" s="799">
        <v>0.05</v>
      </c>
      <c r="AF9" s="799">
        <v>0.15</v>
      </c>
      <c r="AG9" s="799">
        <v>0.1</v>
      </c>
      <c r="AH9" s="799">
        <v>0.1</v>
      </c>
      <c r="AI9" s="799">
        <v>0.1</v>
      </c>
      <c r="AJ9" s="799">
        <v>0.15</v>
      </c>
      <c r="AK9" s="799">
        <v>0.15</v>
      </c>
      <c r="AL9" s="799">
        <v>0.15</v>
      </c>
      <c r="AM9" s="799">
        <v>0.15</v>
      </c>
      <c r="AN9" s="799">
        <v>0.2</v>
      </c>
      <c r="AO9" s="799">
        <v>0.2</v>
      </c>
      <c r="AP9" s="811"/>
      <c r="AQ9" s="19"/>
    </row>
    <row r="10" spans="2:43" x14ac:dyDescent="0.25">
      <c r="B10" s="667" t="s">
        <v>622</v>
      </c>
      <c r="C10" s="791" t="s">
        <v>539</v>
      </c>
      <c r="D10" s="799">
        <v>0.04</v>
      </c>
      <c r="E10" s="799">
        <v>0.04</v>
      </c>
      <c r="F10" s="799">
        <v>0.04</v>
      </c>
      <c r="G10" s="799">
        <v>0.04</v>
      </c>
      <c r="H10" s="799">
        <v>0.04</v>
      </c>
      <c r="I10" s="799">
        <v>0.04</v>
      </c>
      <c r="J10" s="799">
        <v>0.04</v>
      </c>
      <c r="K10" s="799">
        <v>7.0000000000000007E-2</v>
      </c>
      <c r="L10" s="799">
        <v>7.0000000000000007E-2</v>
      </c>
      <c r="M10" s="799">
        <v>7.0000000000000007E-2</v>
      </c>
      <c r="N10" s="799">
        <v>7.0000000000000007E-2</v>
      </c>
      <c r="O10" s="799">
        <v>7.0000000000000007E-2</v>
      </c>
      <c r="P10" s="799"/>
      <c r="Q10" s="799">
        <v>0.05</v>
      </c>
      <c r="R10" s="799">
        <v>0.05</v>
      </c>
      <c r="S10" s="799">
        <v>0.05</v>
      </c>
      <c r="T10" s="799">
        <v>0.05</v>
      </c>
      <c r="U10" s="799">
        <v>0.05</v>
      </c>
      <c r="V10" s="799">
        <v>0.05</v>
      </c>
      <c r="W10" s="799">
        <v>0.05</v>
      </c>
      <c r="X10" s="799">
        <v>0.05</v>
      </c>
      <c r="Y10" s="799">
        <v>7.0000000000000007E-2</v>
      </c>
      <c r="Z10" s="824">
        <v>0.04</v>
      </c>
      <c r="AA10" s="799">
        <v>0.04</v>
      </c>
      <c r="AB10" s="799">
        <v>7.0000000000000007E-2</v>
      </c>
      <c r="AC10" s="799">
        <v>0.05</v>
      </c>
      <c r="AD10" s="799">
        <v>0.05</v>
      </c>
      <c r="AE10" s="799">
        <v>0.05</v>
      </c>
      <c r="AF10" s="799">
        <v>0.04</v>
      </c>
      <c r="AG10" s="799">
        <v>0.1</v>
      </c>
      <c r="AH10" s="799">
        <v>0.1</v>
      </c>
      <c r="AI10" s="799">
        <v>0.1</v>
      </c>
      <c r="AJ10" s="799">
        <v>0.15</v>
      </c>
      <c r="AK10" s="799">
        <v>0.15</v>
      </c>
      <c r="AL10" s="799">
        <v>0.15</v>
      </c>
      <c r="AM10" s="799">
        <v>0.15</v>
      </c>
      <c r="AN10" s="799">
        <v>0.2</v>
      </c>
      <c r="AO10" s="799">
        <v>0.2</v>
      </c>
      <c r="AP10" s="811"/>
      <c r="AQ10" s="19"/>
    </row>
    <row r="11" spans="2:43" x14ac:dyDescent="0.25">
      <c r="B11" s="667" t="s">
        <v>623</v>
      </c>
      <c r="C11" s="791" t="s">
        <v>539</v>
      </c>
      <c r="D11" s="800">
        <v>0.105</v>
      </c>
      <c r="E11" s="800">
        <v>0.105</v>
      </c>
      <c r="F11" s="800">
        <v>0.105</v>
      </c>
      <c r="G11" s="800">
        <v>0.105</v>
      </c>
      <c r="H11" s="800">
        <v>0.105</v>
      </c>
      <c r="I11" s="800">
        <v>0.105</v>
      </c>
      <c r="J11" s="800">
        <v>0.105</v>
      </c>
      <c r="K11" s="800">
        <v>0.105</v>
      </c>
      <c r="L11" s="800">
        <v>0.105</v>
      </c>
      <c r="M11" s="800">
        <v>0.105</v>
      </c>
      <c r="N11" s="800">
        <v>0.105</v>
      </c>
      <c r="O11" s="800">
        <v>0.105</v>
      </c>
      <c r="P11" s="800"/>
      <c r="Q11" s="800">
        <v>0.105</v>
      </c>
      <c r="R11" s="800">
        <v>0.105</v>
      </c>
      <c r="S11" s="800">
        <v>0.105</v>
      </c>
      <c r="T11" s="800">
        <v>0.105</v>
      </c>
      <c r="U11" s="800">
        <v>0.105</v>
      </c>
      <c r="V11" s="800">
        <v>0.105</v>
      </c>
      <c r="W11" s="800">
        <v>0.105</v>
      </c>
      <c r="X11" s="800">
        <v>0.105</v>
      </c>
      <c r="Y11" s="800">
        <v>0.105</v>
      </c>
      <c r="Z11" s="825">
        <v>0.105</v>
      </c>
      <c r="AA11" s="800">
        <v>0.105</v>
      </c>
      <c r="AB11" s="800">
        <v>0.105</v>
      </c>
      <c r="AC11" s="800">
        <v>0.105</v>
      </c>
      <c r="AD11" s="800">
        <v>0.105</v>
      </c>
      <c r="AE11" s="800">
        <v>0.105</v>
      </c>
      <c r="AF11" s="800">
        <v>0.105</v>
      </c>
      <c r="AG11" s="800">
        <v>0.26</v>
      </c>
      <c r="AH11" s="800">
        <v>0.105</v>
      </c>
      <c r="AI11" s="800">
        <v>0.26</v>
      </c>
      <c r="AJ11" s="800"/>
      <c r="AK11" s="800"/>
      <c r="AL11" s="800"/>
      <c r="AM11" s="800"/>
      <c r="AN11" s="800"/>
      <c r="AO11" s="800"/>
      <c r="AP11" s="811"/>
      <c r="AQ11" s="19"/>
    </row>
    <row r="12" spans="2:43" x14ac:dyDescent="0.25">
      <c r="B12" s="667" t="s">
        <v>411</v>
      </c>
      <c r="C12" s="791" t="s">
        <v>539</v>
      </c>
      <c r="D12" s="799">
        <v>0.3</v>
      </c>
      <c r="E12" s="799">
        <v>0.3</v>
      </c>
      <c r="F12" s="799">
        <v>0.3</v>
      </c>
      <c r="G12" s="799">
        <v>0.3</v>
      </c>
      <c r="H12" s="799">
        <v>0.3</v>
      </c>
      <c r="I12" s="799">
        <v>0.3</v>
      </c>
      <c r="J12" s="799">
        <v>0.3</v>
      </c>
      <c r="K12" s="799">
        <v>0.3</v>
      </c>
      <c r="L12" s="799">
        <v>0.3</v>
      </c>
      <c r="M12" s="799">
        <v>0.3</v>
      </c>
      <c r="N12" s="799">
        <v>0.3</v>
      </c>
      <c r="O12" s="799">
        <v>0.3</v>
      </c>
      <c r="P12" s="799"/>
      <c r="Q12" s="799">
        <v>0.15</v>
      </c>
      <c r="R12" s="799">
        <v>0.2</v>
      </c>
      <c r="S12" s="799">
        <v>0.15</v>
      </c>
      <c r="T12" s="799">
        <v>0.15</v>
      </c>
      <c r="U12" s="799">
        <v>0.15</v>
      </c>
      <c r="V12" s="799">
        <v>0.15</v>
      </c>
      <c r="W12" s="799">
        <v>0.15</v>
      </c>
      <c r="X12" s="799">
        <v>0.15</v>
      </c>
      <c r="Y12" s="800"/>
      <c r="Z12" s="825"/>
      <c r="AA12" s="800"/>
      <c r="AB12" s="800"/>
      <c r="AC12" s="800"/>
      <c r="AD12" s="800"/>
      <c r="AE12" s="800"/>
      <c r="AF12" s="800"/>
      <c r="AG12" s="800"/>
      <c r="AH12" s="800"/>
      <c r="AI12" s="800"/>
      <c r="AJ12" s="800"/>
      <c r="AK12" s="800"/>
      <c r="AL12" s="800"/>
      <c r="AM12" s="800"/>
      <c r="AN12" s="800"/>
      <c r="AO12" s="800"/>
      <c r="AP12" s="811"/>
      <c r="AQ12" s="19"/>
    </row>
    <row r="13" spans="2:43" x14ac:dyDescent="0.25">
      <c r="B13" s="667" t="s">
        <v>415</v>
      </c>
      <c r="C13" s="791" t="s">
        <v>539</v>
      </c>
      <c r="D13" s="799">
        <v>0.2</v>
      </c>
      <c r="E13" s="799">
        <v>0.2</v>
      </c>
      <c r="F13" s="799">
        <v>0.2</v>
      </c>
      <c r="G13" s="799">
        <v>0.2</v>
      </c>
      <c r="H13" s="799">
        <v>0.2</v>
      </c>
      <c r="I13" s="799">
        <v>0.2</v>
      </c>
      <c r="J13" s="799">
        <v>0.2</v>
      </c>
      <c r="K13" s="799">
        <v>0.2</v>
      </c>
      <c r="L13" s="799">
        <v>0.2</v>
      </c>
      <c r="M13" s="799">
        <v>0.2</v>
      </c>
      <c r="N13" s="799">
        <v>0.2</v>
      </c>
      <c r="O13" s="799">
        <v>0.2</v>
      </c>
      <c r="P13" s="799"/>
      <c r="Q13" s="799">
        <v>0.1</v>
      </c>
      <c r="R13" s="799">
        <v>0.1</v>
      </c>
      <c r="S13" s="799">
        <v>0.1</v>
      </c>
      <c r="T13" s="799">
        <v>0.1</v>
      </c>
      <c r="U13" s="799">
        <v>0.1</v>
      </c>
      <c r="V13" s="799">
        <v>0.1</v>
      </c>
      <c r="W13" s="799">
        <v>0.1</v>
      </c>
      <c r="X13" s="799">
        <v>0.1</v>
      </c>
      <c r="Y13" s="800"/>
      <c r="Z13" s="825"/>
      <c r="AA13" s="800"/>
      <c r="AB13" s="800"/>
      <c r="AC13" s="800"/>
      <c r="AD13" s="800"/>
      <c r="AE13" s="800"/>
      <c r="AF13" s="800"/>
      <c r="AG13" s="800"/>
      <c r="AH13" s="800"/>
      <c r="AI13" s="800"/>
      <c r="AJ13" s="800"/>
      <c r="AK13" s="800"/>
      <c r="AL13" s="800"/>
      <c r="AM13" s="800"/>
      <c r="AN13" s="800"/>
      <c r="AO13" s="800"/>
      <c r="AP13" s="811"/>
      <c r="AQ13" s="19"/>
    </row>
    <row r="14" spans="2:43" x14ac:dyDescent="0.25">
      <c r="B14" s="670" t="s">
        <v>412</v>
      </c>
      <c r="C14" s="791" t="s">
        <v>539</v>
      </c>
      <c r="D14" s="801">
        <v>7.25</v>
      </c>
      <c r="E14" s="801">
        <v>6.5</v>
      </c>
      <c r="F14" s="801">
        <v>6.75</v>
      </c>
      <c r="G14" s="801">
        <v>6</v>
      </c>
      <c r="H14" s="801">
        <v>7</v>
      </c>
      <c r="I14" s="801">
        <v>6.5</v>
      </c>
      <c r="J14" s="801">
        <v>5.25</v>
      </c>
      <c r="K14" s="801">
        <v>5.75</v>
      </c>
      <c r="L14" s="801">
        <v>5.5</v>
      </c>
      <c r="M14" s="801">
        <v>4.75</v>
      </c>
      <c r="N14" s="801">
        <v>4.5</v>
      </c>
      <c r="O14" s="801">
        <v>4.5</v>
      </c>
      <c r="P14" s="801"/>
      <c r="Q14" s="801">
        <v>3.25</v>
      </c>
      <c r="R14" s="801">
        <v>2</v>
      </c>
      <c r="S14" s="801">
        <v>3.75</v>
      </c>
      <c r="T14" s="801">
        <v>3.5</v>
      </c>
      <c r="U14" s="801">
        <v>3.5</v>
      </c>
      <c r="V14" s="801">
        <v>3.5</v>
      </c>
      <c r="W14" s="801">
        <v>1.75</v>
      </c>
      <c r="X14" s="801">
        <v>2.25</v>
      </c>
      <c r="Y14" s="801">
        <v>3.75</v>
      </c>
      <c r="Z14" s="826">
        <v>3.75</v>
      </c>
      <c r="AA14" s="801">
        <v>4.75</v>
      </c>
      <c r="AB14" s="801">
        <v>6.5</v>
      </c>
      <c r="AC14" s="801">
        <v>2.75</v>
      </c>
      <c r="AD14" s="801">
        <v>7.25</v>
      </c>
      <c r="AE14" s="801">
        <v>0.5</v>
      </c>
      <c r="AF14" s="801">
        <v>1</v>
      </c>
      <c r="AG14" s="801">
        <v>67</v>
      </c>
      <c r="AH14" s="833">
        <v>1350</v>
      </c>
      <c r="AI14" s="801">
        <v>41.75</v>
      </c>
      <c r="AJ14" s="801">
        <v>10.25</v>
      </c>
      <c r="AK14" s="801">
        <v>21.25</v>
      </c>
      <c r="AL14" s="801">
        <v>6.375</v>
      </c>
      <c r="AM14" s="801">
        <v>25.5</v>
      </c>
      <c r="AN14" s="801">
        <v>0.8</v>
      </c>
      <c r="AO14" s="801">
        <v>0.8</v>
      </c>
      <c r="AP14" s="834"/>
      <c r="AQ14" s="671"/>
    </row>
    <row r="15" spans="2:43" x14ac:dyDescent="0.25">
      <c r="B15" s="670" t="s">
        <v>414</v>
      </c>
      <c r="C15" s="791" t="s">
        <v>539</v>
      </c>
      <c r="D15" s="801">
        <v>8.75</v>
      </c>
      <c r="E15" s="801">
        <v>8</v>
      </c>
      <c r="F15" s="801">
        <v>8.25</v>
      </c>
      <c r="G15" s="801">
        <v>7.5</v>
      </c>
      <c r="H15" s="801">
        <v>8.75</v>
      </c>
      <c r="I15" s="801">
        <v>7.75</v>
      </c>
      <c r="J15" s="801">
        <v>6.25</v>
      </c>
      <c r="K15" s="801">
        <v>7.75</v>
      </c>
      <c r="L15" s="801">
        <v>7.25</v>
      </c>
      <c r="M15" s="801">
        <v>6.25</v>
      </c>
      <c r="N15" s="801">
        <v>6.25</v>
      </c>
      <c r="O15" s="801">
        <v>6</v>
      </c>
      <c r="P15" s="801"/>
      <c r="Q15" s="801">
        <v>3.5</v>
      </c>
      <c r="R15" s="801">
        <v>2.25</v>
      </c>
      <c r="S15" s="801">
        <v>4.25</v>
      </c>
      <c r="T15" s="801">
        <v>3.75</v>
      </c>
      <c r="U15" s="801">
        <v>3.75</v>
      </c>
      <c r="V15" s="801">
        <v>4</v>
      </c>
      <c r="W15" s="801">
        <v>1.75</v>
      </c>
      <c r="X15" s="801">
        <v>2.25</v>
      </c>
      <c r="Y15" s="801">
        <v>5</v>
      </c>
      <c r="Z15" s="826">
        <v>4.75</v>
      </c>
      <c r="AA15" s="801">
        <v>5.75</v>
      </c>
      <c r="AB15" s="801">
        <v>8</v>
      </c>
      <c r="AC15" s="801">
        <v>3.25</v>
      </c>
      <c r="AD15" s="801">
        <v>8</v>
      </c>
      <c r="AE15" s="801">
        <v>0.5</v>
      </c>
      <c r="AF15" s="801">
        <v>1.25</v>
      </c>
      <c r="AG15" s="801">
        <v>82</v>
      </c>
      <c r="AH15" s="833">
        <v>1650</v>
      </c>
      <c r="AI15" s="801">
        <v>51</v>
      </c>
      <c r="AJ15" s="801">
        <v>13.75</v>
      </c>
      <c r="AK15" s="801">
        <v>28.749999999999996</v>
      </c>
      <c r="AL15" s="801">
        <v>8.625</v>
      </c>
      <c r="AM15" s="801">
        <v>34.5</v>
      </c>
      <c r="AN15" s="801">
        <v>1.2000000000000002</v>
      </c>
      <c r="AO15" s="801">
        <v>1.2000000000000002</v>
      </c>
      <c r="AP15" s="834"/>
      <c r="AQ15" s="671"/>
    </row>
    <row r="16" spans="2:43" x14ac:dyDescent="0.25">
      <c r="B16" s="670" t="s">
        <v>624</v>
      </c>
      <c r="C16" s="791" t="s">
        <v>539</v>
      </c>
      <c r="D16" s="801">
        <v>6</v>
      </c>
      <c r="E16" s="801">
        <v>5.5</v>
      </c>
      <c r="F16" s="801">
        <v>5.5</v>
      </c>
      <c r="G16" s="801">
        <v>5</v>
      </c>
      <c r="H16" s="801">
        <v>5.75</v>
      </c>
      <c r="I16" s="801">
        <v>5.25</v>
      </c>
      <c r="J16" s="801">
        <v>4.25</v>
      </c>
      <c r="K16" s="801">
        <v>5</v>
      </c>
      <c r="L16" s="801">
        <v>4.75</v>
      </c>
      <c r="M16" s="801">
        <v>4.25</v>
      </c>
      <c r="N16" s="801">
        <v>4</v>
      </c>
      <c r="O16" s="801">
        <v>4</v>
      </c>
      <c r="P16" s="801"/>
      <c r="Q16" s="801">
        <v>3</v>
      </c>
      <c r="R16" s="801">
        <v>1.75</v>
      </c>
      <c r="S16" s="801">
        <v>3.5</v>
      </c>
      <c r="T16" s="801">
        <v>3</v>
      </c>
      <c r="U16" s="801">
        <v>3</v>
      </c>
      <c r="V16" s="801">
        <v>3.25</v>
      </c>
      <c r="W16" s="801">
        <v>1.5</v>
      </c>
      <c r="X16" s="801">
        <v>2</v>
      </c>
      <c r="Y16" s="801"/>
      <c r="Z16" s="826"/>
      <c r="AA16" s="801"/>
      <c r="AB16" s="801"/>
      <c r="AC16" s="801"/>
      <c r="AD16" s="801"/>
      <c r="AE16" s="801"/>
      <c r="AF16" s="801"/>
      <c r="AG16" s="801"/>
      <c r="AH16" s="833"/>
      <c r="AI16" s="801"/>
      <c r="AJ16" s="801"/>
      <c r="AK16" s="801"/>
      <c r="AL16" s="801"/>
      <c r="AM16" s="801"/>
      <c r="AN16" s="801"/>
      <c r="AO16" s="801"/>
      <c r="AP16" s="834"/>
      <c r="AQ16" s="671"/>
    </row>
    <row r="17" spans="2:43" x14ac:dyDescent="0.25">
      <c r="B17" s="670" t="s">
        <v>415</v>
      </c>
      <c r="C17" s="791" t="s">
        <v>539</v>
      </c>
      <c r="D17" s="801">
        <v>10.25</v>
      </c>
      <c r="E17" s="801">
        <v>9.25</v>
      </c>
      <c r="F17" s="801">
        <v>9.5</v>
      </c>
      <c r="G17" s="801">
        <v>8.5</v>
      </c>
      <c r="H17" s="801">
        <v>10</v>
      </c>
      <c r="I17" s="801">
        <v>9</v>
      </c>
      <c r="J17" s="801">
        <v>7.25</v>
      </c>
      <c r="K17" s="801">
        <v>8.75</v>
      </c>
      <c r="L17" s="801">
        <v>8</v>
      </c>
      <c r="M17" s="801">
        <v>7</v>
      </c>
      <c r="N17" s="801">
        <v>7</v>
      </c>
      <c r="O17" s="801">
        <v>6.75</v>
      </c>
      <c r="P17" s="801"/>
      <c r="Q17" s="801">
        <v>3.75</v>
      </c>
      <c r="R17" s="801">
        <v>2.5</v>
      </c>
      <c r="S17" s="801">
        <v>4.5</v>
      </c>
      <c r="T17" s="801">
        <v>4</v>
      </c>
      <c r="U17" s="801">
        <v>4</v>
      </c>
      <c r="V17" s="801">
        <v>4</v>
      </c>
      <c r="W17" s="801">
        <v>2</v>
      </c>
      <c r="X17" s="801">
        <v>2.5</v>
      </c>
      <c r="Y17" s="801"/>
      <c r="Z17" s="826"/>
      <c r="AA17" s="801"/>
      <c r="AB17" s="801"/>
      <c r="AC17" s="801"/>
      <c r="AD17" s="801"/>
      <c r="AE17" s="801"/>
      <c r="AF17" s="801"/>
      <c r="AG17" s="801"/>
      <c r="AH17" s="833"/>
      <c r="AI17" s="801"/>
      <c r="AJ17" s="801"/>
      <c r="AK17" s="801"/>
      <c r="AL17" s="801"/>
      <c r="AM17" s="801"/>
      <c r="AN17" s="801"/>
      <c r="AO17" s="801"/>
      <c r="AP17" s="834"/>
      <c r="AQ17" s="671"/>
    </row>
    <row r="18" spans="2:43" x14ac:dyDescent="0.25">
      <c r="B18" s="667"/>
      <c r="C18" s="789"/>
      <c r="D18" s="798"/>
      <c r="E18" s="812"/>
      <c r="F18" s="812"/>
      <c r="G18" s="812"/>
      <c r="H18" s="812"/>
      <c r="I18" s="812"/>
      <c r="J18" s="812"/>
      <c r="K18" s="812"/>
      <c r="L18" s="812"/>
      <c r="M18" s="812"/>
      <c r="N18" s="812"/>
      <c r="O18" s="812"/>
      <c r="P18" s="812"/>
      <c r="Q18" s="812"/>
      <c r="R18" s="812"/>
      <c r="S18" s="812"/>
      <c r="T18" s="812"/>
      <c r="U18" s="812"/>
      <c r="V18" s="812"/>
      <c r="W18" s="812"/>
      <c r="X18" s="812"/>
      <c r="Y18" s="756"/>
      <c r="Z18" s="29"/>
      <c r="AA18" s="811"/>
      <c r="AB18" s="811"/>
      <c r="AC18" s="811"/>
      <c r="AD18" s="812"/>
      <c r="AE18" s="746"/>
      <c r="AF18" s="746"/>
      <c r="AG18" s="812"/>
      <c r="AH18" s="746"/>
      <c r="AI18" s="812"/>
      <c r="AJ18" s="812"/>
      <c r="AK18" s="811"/>
      <c r="AL18" s="746"/>
      <c r="AM18" s="811"/>
      <c r="AN18" s="746"/>
      <c r="AO18" s="746"/>
      <c r="AP18" s="811"/>
      <c r="AQ18" s="19"/>
    </row>
    <row r="19" spans="2:43" x14ac:dyDescent="0.25">
      <c r="B19" s="667" t="s">
        <v>625</v>
      </c>
      <c r="C19" s="791" t="s">
        <v>539</v>
      </c>
      <c r="D19" s="802">
        <v>4.3</v>
      </c>
      <c r="E19" s="802">
        <v>4.3</v>
      </c>
      <c r="F19" s="802">
        <v>4.3</v>
      </c>
      <c r="G19" s="802">
        <v>4.3</v>
      </c>
      <c r="H19" s="802">
        <v>4.3</v>
      </c>
      <c r="I19" s="802">
        <v>4.3</v>
      </c>
      <c r="J19" s="802">
        <v>4.3</v>
      </c>
      <c r="K19" s="802">
        <v>3.6</v>
      </c>
      <c r="L19" s="802">
        <v>3.6</v>
      </c>
      <c r="M19" s="802">
        <v>3.6</v>
      </c>
      <c r="N19" s="802">
        <v>3.6</v>
      </c>
      <c r="O19" s="802">
        <v>3.4</v>
      </c>
      <c r="P19" s="802"/>
      <c r="Q19" s="812">
        <v>0</v>
      </c>
      <c r="R19" s="812">
        <v>0</v>
      </c>
      <c r="S19" s="812">
        <v>0</v>
      </c>
      <c r="T19" s="812">
        <v>0</v>
      </c>
      <c r="U19" s="812">
        <v>0</v>
      </c>
      <c r="V19" s="812">
        <v>0</v>
      </c>
      <c r="W19" s="812">
        <v>0</v>
      </c>
      <c r="X19" s="812">
        <v>0</v>
      </c>
      <c r="Y19" s="812">
        <v>2.7</v>
      </c>
      <c r="Z19" s="24">
        <v>4.3</v>
      </c>
      <c r="AA19" s="812">
        <v>4.3</v>
      </c>
      <c r="AB19" s="812"/>
      <c r="AC19" s="812"/>
      <c r="AD19" s="812"/>
      <c r="AE19" s="746"/>
      <c r="AF19" s="746"/>
      <c r="AG19" s="812"/>
      <c r="AH19" s="746"/>
      <c r="AI19" s="812"/>
      <c r="AJ19" s="812"/>
      <c r="AK19" s="811"/>
      <c r="AL19" s="746"/>
      <c r="AM19" s="811"/>
      <c r="AN19" s="746"/>
      <c r="AO19" s="746"/>
      <c r="AP19" s="811"/>
      <c r="AQ19" s="19"/>
    </row>
    <row r="20" spans="2:43" x14ac:dyDescent="0.25">
      <c r="B20" s="670" t="s">
        <v>626</v>
      </c>
      <c r="C20" s="791" t="s">
        <v>495</v>
      </c>
      <c r="D20" s="802">
        <v>48</v>
      </c>
      <c r="E20" s="802">
        <v>48</v>
      </c>
      <c r="F20" s="802">
        <v>48</v>
      </c>
      <c r="G20" s="802">
        <v>48</v>
      </c>
      <c r="H20" s="802">
        <v>48</v>
      </c>
      <c r="I20" s="802">
        <v>48</v>
      </c>
      <c r="J20" s="802">
        <v>48</v>
      </c>
      <c r="K20" s="802">
        <v>57</v>
      </c>
      <c r="L20" s="802">
        <v>57</v>
      </c>
      <c r="M20" s="802">
        <v>57</v>
      </c>
      <c r="N20" s="802">
        <v>57</v>
      </c>
      <c r="O20" s="802">
        <v>57</v>
      </c>
      <c r="P20" s="802"/>
      <c r="Q20" s="812">
        <v>0</v>
      </c>
      <c r="R20" s="812">
        <v>0</v>
      </c>
      <c r="S20" s="812">
        <v>0</v>
      </c>
      <c r="T20" s="812">
        <v>0</v>
      </c>
      <c r="U20" s="812">
        <v>0</v>
      </c>
      <c r="V20" s="812">
        <v>0</v>
      </c>
      <c r="W20" s="812">
        <v>0</v>
      </c>
      <c r="X20" s="812">
        <v>0</v>
      </c>
      <c r="Y20" s="812">
        <v>68.399999999999991</v>
      </c>
      <c r="Z20" s="24">
        <v>48</v>
      </c>
      <c r="AA20" s="812">
        <v>48</v>
      </c>
      <c r="AB20" s="812"/>
      <c r="AC20" s="812"/>
      <c r="AD20" s="812"/>
      <c r="AE20" s="746"/>
      <c r="AF20" s="746"/>
      <c r="AG20" s="812"/>
      <c r="AH20" s="746"/>
      <c r="AI20" s="812"/>
      <c r="AJ20" s="812"/>
      <c r="AK20" s="811"/>
      <c r="AL20" s="746"/>
      <c r="AM20" s="811"/>
      <c r="AN20" s="746"/>
      <c r="AO20" s="746"/>
      <c r="AP20" s="811"/>
      <c r="AQ20" s="19"/>
    </row>
    <row r="21" spans="2:43" x14ac:dyDescent="0.25">
      <c r="B21" s="667" t="s">
        <v>627</v>
      </c>
      <c r="C21" s="789" t="s">
        <v>449</v>
      </c>
      <c r="D21" s="803">
        <v>0.83</v>
      </c>
      <c r="E21" s="803">
        <v>0.83</v>
      </c>
      <c r="F21" s="803">
        <v>0.83</v>
      </c>
      <c r="G21" s="803">
        <v>0.83</v>
      </c>
      <c r="H21" s="803">
        <v>0.83</v>
      </c>
      <c r="I21" s="803">
        <v>0.83</v>
      </c>
      <c r="J21" s="803">
        <v>0.83</v>
      </c>
      <c r="K21" s="803">
        <v>0.89</v>
      </c>
      <c r="L21" s="803">
        <v>0.89</v>
      </c>
      <c r="M21" s="803">
        <v>0.96</v>
      </c>
      <c r="N21" s="803">
        <v>0.96</v>
      </c>
      <c r="O21" s="803">
        <v>0.96</v>
      </c>
      <c r="P21" s="803"/>
      <c r="Q21" s="803">
        <v>0</v>
      </c>
      <c r="R21" s="803">
        <v>0</v>
      </c>
      <c r="S21" s="803">
        <v>0</v>
      </c>
      <c r="T21" s="803">
        <v>0</v>
      </c>
      <c r="U21" s="803">
        <v>0</v>
      </c>
      <c r="V21" s="803">
        <v>0</v>
      </c>
      <c r="W21" s="803">
        <v>0</v>
      </c>
      <c r="X21" s="803">
        <v>0</v>
      </c>
      <c r="Y21" s="803">
        <v>0</v>
      </c>
      <c r="Z21" s="827">
        <v>0.83</v>
      </c>
      <c r="AA21" s="803">
        <v>0.83</v>
      </c>
      <c r="AB21" s="812"/>
      <c r="AC21" s="812"/>
      <c r="AD21" s="812"/>
      <c r="AE21" s="746"/>
      <c r="AF21" s="746"/>
      <c r="AG21" s="803"/>
      <c r="AH21" s="746"/>
      <c r="AI21" s="803"/>
      <c r="AJ21" s="803"/>
      <c r="AK21" s="811"/>
      <c r="AL21" s="746"/>
      <c r="AM21" s="811"/>
      <c r="AN21" s="746"/>
      <c r="AO21" s="746"/>
      <c r="AP21" s="811"/>
      <c r="AQ21" s="19"/>
    </row>
    <row r="22" spans="2:43" x14ac:dyDescent="0.25">
      <c r="B22" s="673" t="s">
        <v>628</v>
      </c>
      <c r="C22" s="792" t="s">
        <v>425</v>
      </c>
      <c r="D22" s="804">
        <v>1258.8119999999999</v>
      </c>
      <c r="E22" s="804">
        <v>1146.3119999999999</v>
      </c>
      <c r="F22" s="804">
        <v>1278.3119999999999</v>
      </c>
      <c r="G22" s="804">
        <v>1155.3119999999999</v>
      </c>
      <c r="H22" s="804">
        <v>1242.3119999999999</v>
      </c>
      <c r="I22" s="804">
        <v>1165.8119999999999</v>
      </c>
      <c r="J22" s="804">
        <v>1032.3119999999999</v>
      </c>
      <c r="K22" s="804">
        <v>935.87800000000004</v>
      </c>
      <c r="L22" s="804">
        <v>1018.628</v>
      </c>
      <c r="M22" s="804">
        <v>819.24199999999996</v>
      </c>
      <c r="N22" s="804">
        <v>903.49199999999996</v>
      </c>
      <c r="O22" s="804">
        <v>775.548</v>
      </c>
      <c r="P22" s="804"/>
      <c r="Q22" s="804">
        <v>1137.5</v>
      </c>
      <c r="R22" s="804">
        <v>700</v>
      </c>
      <c r="S22" s="804">
        <v>693.75</v>
      </c>
      <c r="T22" s="804">
        <v>658</v>
      </c>
      <c r="U22" s="804">
        <v>647.5</v>
      </c>
      <c r="V22" s="804">
        <v>647.5</v>
      </c>
      <c r="W22" s="804">
        <v>700</v>
      </c>
      <c r="X22" s="804">
        <v>900</v>
      </c>
      <c r="Y22" s="804">
        <v>491.25</v>
      </c>
      <c r="Z22" s="88">
        <v>715.06200000000001</v>
      </c>
      <c r="AA22" s="804">
        <v>931.31200000000001</v>
      </c>
      <c r="AB22" s="804">
        <v>1072.5</v>
      </c>
      <c r="AC22" s="804">
        <v>715</v>
      </c>
      <c r="AD22" s="804">
        <v>1051.25</v>
      </c>
      <c r="AE22" s="804">
        <v>1450</v>
      </c>
      <c r="AF22" s="804">
        <v>1100</v>
      </c>
      <c r="AG22" s="804">
        <v>1451.22</v>
      </c>
      <c r="AH22" s="804">
        <v>11069.999999999998</v>
      </c>
      <c r="AI22" s="804">
        <v>7097.5</v>
      </c>
      <c r="AJ22" s="804">
        <v>4202.5</v>
      </c>
      <c r="AK22" s="804">
        <v>17000</v>
      </c>
      <c r="AL22" s="804">
        <v>15937.5</v>
      </c>
      <c r="AM22" s="804">
        <v>89250</v>
      </c>
      <c r="AN22" s="804">
        <v>58400</v>
      </c>
      <c r="AO22" s="804">
        <v>235142.40000000002</v>
      </c>
      <c r="AP22" s="834"/>
      <c r="AQ22" s="671"/>
    </row>
    <row r="23" spans="2:43" x14ac:dyDescent="0.25">
      <c r="B23" s="674" t="s">
        <v>629</v>
      </c>
      <c r="C23" s="793" t="s">
        <v>425</v>
      </c>
      <c r="D23" s="805">
        <v>1483.8119999999999</v>
      </c>
      <c r="E23" s="805">
        <v>1371.3119999999999</v>
      </c>
      <c r="F23" s="805">
        <v>1524.3119999999999</v>
      </c>
      <c r="G23" s="805">
        <v>1401.3119999999999</v>
      </c>
      <c r="H23" s="805">
        <v>1510.0619999999999</v>
      </c>
      <c r="I23" s="805">
        <v>1357.0619999999999</v>
      </c>
      <c r="J23" s="805">
        <v>1196.3119999999999</v>
      </c>
      <c r="K23" s="805">
        <v>1197.8779999999999</v>
      </c>
      <c r="L23" s="805">
        <v>1284.6279999999999</v>
      </c>
      <c r="M23" s="805">
        <v>1015.742</v>
      </c>
      <c r="N23" s="805">
        <v>1178.242</v>
      </c>
      <c r="O23" s="805">
        <v>972.048</v>
      </c>
      <c r="P23" s="805"/>
      <c r="Q23" s="805">
        <v>1225</v>
      </c>
      <c r="R23" s="805">
        <v>787.5</v>
      </c>
      <c r="S23" s="805">
        <v>786.25</v>
      </c>
      <c r="T23" s="805">
        <v>705</v>
      </c>
      <c r="U23" s="805">
        <v>693.75</v>
      </c>
      <c r="V23" s="805">
        <v>740</v>
      </c>
      <c r="W23" s="805">
        <v>700</v>
      </c>
      <c r="X23" s="805">
        <v>900</v>
      </c>
      <c r="Y23" s="805">
        <v>655</v>
      </c>
      <c r="Z23" s="80">
        <v>860.06200000000001</v>
      </c>
      <c r="AA23" s="805">
        <v>1091.3119999999999</v>
      </c>
      <c r="AB23" s="805">
        <v>1320</v>
      </c>
      <c r="AC23" s="805">
        <v>845</v>
      </c>
      <c r="AD23" s="805">
        <v>1160</v>
      </c>
      <c r="AE23" s="805">
        <v>1450</v>
      </c>
      <c r="AF23" s="805">
        <v>1375</v>
      </c>
      <c r="AG23" s="805">
        <v>1776.1200000000001</v>
      </c>
      <c r="AH23" s="805">
        <v>13529.999999999998</v>
      </c>
      <c r="AI23" s="805">
        <v>8670</v>
      </c>
      <c r="AJ23" s="805">
        <v>5637.5</v>
      </c>
      <c r="AK23" s="805">
        <v>22999.999999999996</v>
      </c>
      <c r="AL23" s="805">
        <v>21562.5</v>
      </c>
      <c r="AM23" s="805">
        <v>120750</v>
      </c>
      <c r="AN23" s="805">
        <v>87600.000000000015</v>
      </c>
      <c r="AO23" s="805">
        <v>352713.60000000003</v>
      </c>
      <c r="AP23" s="834"/>
      <c r="AQ23" s="671"/>
    </row>
    <row r="24" spans="2:43" x14ac:dyDescent="0.25">
      <c r="B24" s="670" t="s">
        <v>624</v>
      </c>
      <c r="C24" s="793" t="s">
        <v>425</v>
      </c>
      <c r="D24" s="806">
        <v>1071.3119999999999</v>
      </c>
      <c r="E24" s="806">
        <v>996.31200000000001</v>
      </c>
      <c r="F24" s="806">
        <v>1073.3119999999999</v>
      </c>
      <c r="G24" s="806">
        <v>991.31200000000001</v>
      </c>
      <c r="H24" s="806">
        <v>1051.0619999999999</v>
      </c>
      <c r="I24" s="806">
        <v>974.56200000000001</v>
      </c>
      <c r="J24" s="806">
        <v>868.31200000000001</v>
      </c>
      <c r="K24" s="806">
        <v>837.62800000000004</v>
      </c>
      <c r="L24" s="806">
        <v>904.62800000000004</v>
      </c>
      <c r="M24" s="806">
        <v>753.74199999999996</v>
      </c>
      <c r="N24" s="806">
        <v>824.99199999999996</v>
      </c>
      <c r="O24" s="806">
        <v>710.048</v>
      </c>
      <c r="P24" s="806"/>
      <c r="Q24" s="806">
        <v>1050</v>
      </c>
      <c r="R24" s="806">
        <v>612.5</v>
      </c>
      <c r="S24" s="806">
        <v>647.5</v>
      </c>
      <c r="T24" s="806">
        <v>564</v>
      </c>
      <c r="U24" s="806">
        <v>555</v>
      </c>
      <c r="V24" s="806">
        <v>601.25</v>
      </c>
      <c r="W24" s="806">
        <v>600</v>
      </c>
      <c r="X24" s="806">
        <v>800</v>
      </c>
      <c r="Y24" s="805"/>
      <c r="Z24" s="80"/>
      <c r="AA24" s="805"/>
      <c r="AB24" s="805"/>
      <c r="AC24" s="805"/>
      <c r="AD24" s="805"/>
      <c r="AE24" s="805"/>
      <c r="AF24" s="805"/>
      <c r="AG24" s="805"/>
      <c r="AH24" s="805"/>
      <c r="AI24" s="805"/>
      <c r="AJ24" s="805"/>
      <c r="AK24" s="805"/>
      <c r="AL24" s="805"/>
      <c r="AM24" s="805"/>
      <c r="AN24" s="805"/>
      <c r="AO24" s="805"/>
      <c r="AP24" s="834"/>
      <c r="AQ24" s="671"/>
    </row>
    <row r="25" spans="2:43" x14ac:dyDescent="0.25">
      <c r="B25" s="670" t="s">
        <v>415</v>
      </c>
      <c r="C25" s="793" t="s">
        <v>425</v>
      </c>
      <c r="D25" s="806">
        <v>1708.8119999999999</v>
      </c>
      <c r="E25" s="806">
        <v>1558.8119999999999</v>
      </c>
      <c r="F25" s="806">
        <v>1729.3119999999999</v>
      </c>
      <c r="G25" s="806">
        <v>1565.3119999999999</v>
      </c>
      <c r="H25" s="806">
        <v>1701.3119999999999</v>
      </c>
      <c r="I25" s="806">
        <v>1548.3119999999999</v>
      </c>
      <c r="J25" s="806">
        <v>1360.3119999999999</v>
      </c>
      <c r="K25" s="806">
        <v>1328.8779999999999</v>
      </c>
      <c r="L25" s="806">
        <v>1398.6279999999999</v>
      </c>
      <c r="M25" s="806">
        <v>1113.992</v>
      </c>
      <c r="N25" s="806">
        <v>1295.992</v>
      </c>
      <c r="O25" s="806">
        <v>1070.298</v>
      </c>
      <c r="P25" s="806"/>
      <c r="Q25" s="806">
        <v>1312.5</v>
      </c>
      <c r="R25" s="806">
        <v>875</v>
      </c>
      <c r="S25" s="806">
        <v>832.5</v>
      </c>
      <c r="T25" s="806">
        <v>752</v>
      </c>
      <c r="U25" s="806">
        <v>740</v>
      </c>
      <c r="V25" s="806">
        <v>740</v>
      </c>
      <c r="W25" s="806">
        <v>800</v>
      </c>
      <c r="X25" s="806">
        <v>1000</v>
      </c>
      <c r="Y25" s="805"/>
      <c r="Z25" s="80"/>
      <c r="AA25" s="805"/>
      <c r="AB25" s="805"/>
      <c r="AC25" s="805"/>
      <c r="AD25" s="805"/>
      <c r="AE25" s="805"/>
      <c r="AF25" s="805"/>
      <c r="AG25" s="805"/>
      <c r="AH25" s="805"/>
      <c r="AI25" s="805"/>
      <c r="AJ25" s="805"/>
      <c r="AK25" s="805"/>
      <c r="AL25" s="805"/>
      <c r="AM25" s="805"/>
      <c r="AN25" s="805"/>
      <c r="AO25" s="805"/>
      <c r="AP25" s="834"/>
      <c r="AQ25" s="671"/>
    </row>
    <row r="26" spans="2:43" x14ac:dyDescent="0.25">
      <c r="B26" s="675" t="s">
        <v>630</v>
      </c>
      <c r="C26" s="793" t="s">
        <v>425</v>
      </c>
      <c r="D26" s="439">
        <v>1447.26464508359</v>
      </c>
      <c r="E26" s="439">
        <v>1327.4428213875167</v>
      </c>
      <c r="F26" s="439">
        <v>1455.8552173475225</v>
      </c>
      <c r="G26" s="439">
        <v>1335.2266724622052</v>
      </c>
      <c r="H26" s="439">
        <v>1447.0119811934774</v>
      </c>
      <c r="I26" s="439">
        <v>1327.2138845912025</v>
      </c>
      <c r="J26" s="439">
        <v>1160.6394715928743</v>
      </c>
      <c r="K26" s="439">
        <v>1135.4003013670419</v>
      </c>
      <c r="L26" s="439">
        <v>1208.1801063777216</v>
      </c>
      <c r="M26" s="439">
        <v>970.13414414183239</v>
      </c>
      <c r="N26" s="439">
        <v>1099.1028143523129</v>
      </c>
      <c r="O26" s="439">
        <v>915.65679849758544</v>
      </c>
      <c r="P26" s="439"/>
      <c r="Q26" s="439">
        <v>1201.165639084739</v>
      </c>
      <c r="R26" s="439">
        <v>780.7576654050805</v>
      </c>
      <c r="S26" s="439">
        <v>738.73275000000001</v>
      </c>
      <c r="T26" s="439">
        <v>679.21579999999994</v>
      </c>
      <c r="U26" s="439">
        <v>668.37725</v>
      </c>
      <c r="V26" s="439">
        <v>692.51666666666654</v>
      </c>
      <c r="W26" s="439">
        <v>700</v>
      </c>
      <c r="X26" s="439">
        <v>900</v>
      </c>
      <c r="Y26" s="439">
        <v>618.51371531346592</v>
      </c>
      <c r="Z26" s="77">
        <v>823.81200000000001</v>
      </c>
      <c r="AA26" s="439">
        <v>1051.3119999999999</v>
      </c>
      <c r="AB26" s="439">
        <v>1237.5</v>
      </c>
      <c r="AC26" s="439">
        <v>780</v>
      </c>
      <c r="AD26" s="439">
        <v>1087.5</v>
      </c>
      <c r="AE26" s="439">
        <v>1160</v>
      </c>
      <c r="AF26" s="439">
        <v>1430</v>
      </c>
      <c r="AG26" s="439">
        <v>1615.2143665781769</v>
      </c>
      <c r="AH26" s="439">
        <v>12299.999999999998</v>
      </c>
      <c r="AI26" s="439">
        <v>7875.2500000000009</v>
      </c>
      <c r="AJ26" s="439">
        <v>4920</v>
      </c>
      <c r="AK26" s="439">
        <v>20000</v>
      </c>
      <c r="AL26" s="439">
        <v>18750</v>
      </c>
      <c r="AM26" s="439">
        <v>105000</v>
      </c>
      <c r="AN26" s="439">
        <v>73000</v>
      </c>
      <c r="AO26" s="439">
        <v>293928</v>
      </c>
      <c r="AP26" s="439">
        <v>13650</v>
      </c>
      <c r="AQ26" s="78">
        <v>7125</v>
      </c>
    </row>
    <row r="27" spans="2:43" x14ac:dyDescent="0.25">
      <c r="B27" s="667"/>
      <c r="C27" s="789"/>
      <c r="D27" s="752">
        <v>1447.264645083593</v>
      </c>
      <c r="E27" s="752">
        <v>1327.4428213875167</v>
      </c>
      <c r="F27" s="752">
        <v>1455.8552173475225</v>
      </c>
      <c r="G27" s="752">
        <v>1335.2266724622052</v>
      </c>
      <c r="H27" s="811"/>
      <c r="I27" s="811"/>
      <c r="J27" s="811"/>
      <c r="K27" s="811"/>
      <c r="L27" s="811"/>
      <c r="M27" s="811"/>
      <c r="N27" s="811"/>
      <c r="O27" s="811"/>
      <c r="P27" s="811"/>
      <c r="Q27" s="811"/>
      <c r="R27" s="811"/>
      <c r="S27" s="811"/>
      <c r="T27" s="811"/>
      <c r="U27" s="811"/>
      <c r="V27" s="811"/>
      <c r="W27" s="811"/>
      <c r="X27" s="811"/>
      <c r="Y27" s="811"/>
      <c r="Z27" s="29"/>
      <c r="AA27" s="811"/>
      <c r="AB27" s="811"/>
      <c r="AC27" s="811"/>
      <c r="AD27" s="811"/>
      <c r="AE27" s="746"/>
      <c r="AF27" s="746"/>
      <c r="AG27" s="811"/>
      <c r="AH27" s="746"/>
      <c r="AI27" s="811"/>
      <c r="AJ27" s="811"/>
      <c r="AK27" s="811"/>
      <c r="AL27" s="746"/>
      <c r="AM27" s="811"/>
      <c r="AN27" s="746"/>
      <c r="AO27" s="746"/>
      <c r="AP27" s="811"/>
      <c r="AQ27" s="19"/>
    </row>
    <row r="28" spans="2:43" x14ac:dyDescent="0.25">
      <c r="B28" s="668" t="s">
        <v>631</v>
      </c>
      <c r="C28" s="791"/>
      <c r="D28" s="752"/>
      <c r="E28" s="811"/>
      <c r="F28" s="811"/>
      <c r="G28" s="811"/>
      <c r="H28" s="811"/>
      <c r="I28" s="811"/>
      <c r="J28" s="811"/>
      <c r="K28" s="811"/>
      <c r="L28" s="811"/>
      <c r="M28" s="811"/>
      <c r="N28" s="811"/>
      <c r="O28" s="811"/>
      <c r="P28" s="811"/>
      <c r="Q28" s="811"/>
      <c r="R28" s="811"/>
      <c r="S28" s="811"/>
      <c r="T28" s="811"/>
      <c r="U28" s="811"/>
      <c r="V28" s="811"/>
      <c r="W28" s="811"/>
      <c r="X28" s="811"/>
      <c r="Y28" s="811"/>
      <c r="Z28" s="29"/>
      <c r="AA28" s="811"/>
      <c r="AB28" s="811"/>
      <c r="AC28" s="811"/>
      <c r="AD28" s="811"/>
      <c r="AE28" s="746"/>
      <c r="AF28" s="746"/>
      <c r="AG28" s="811"/>
      <c r="AH28" s="746"/>
      <c r="AI28" s="811"/>
      <c r="AJ28" s="811"/>
      <c r="AK28" s="811"/>
      <c r="AL28" s="746"/>
      <c r="AM28" s="811"/>
      <c r="AN28" s="746"/>
      <c r="AO28" s="746"/>
      <c r="AP28" s="811"/>
      <c r="AQ28" s="19"/>
    </row>
    <row r="29" spans="2:43" x14ac:dyDescent="0.25">
      <c r="B29" s="667"/>
      <c r="C29" s="791"/>
      <c r="D29" s="752"/>
      <c r="E29" s="811"/>
      <c r="F29" s="811"/>
      <c r="G29" s="811"/>
      <c r="H29" s="811"/>
      <c r="I29" s="811"/>
      <c r="J29" s="811"/>
      <c r="K29" s="811"/>
      <c r="L29" s="811"/>
      <c r="M29" s="811"/>
      <c r="N29" s="811"/>
      <c r="O29" s="811"/>
      <c r="P29" s="811"/>
      <c r="Q29" s="811"/>
      <c r="R29" s="811"/>
      <c r="S29" s="811"/>
      <c r="T29" s="811"/>
      <c r="U29" s="811"/>
      <c r="V29" s="811"/>
      <c r="W29" s="811"/>
      <c r="X29" s="811"/>
      <c r="Y29" s="811"/>
      <c r="Z29" s="29"/>
      <c r="AA29" s="811"/>
      <c r="AB29" s="811"/>
      <c r="AC29" s="811"/>
      <c r="AD29" s="811"/>
      <c r="AE29" s="746"/>
      <c r="AF29" s="746"/>
      <c r="AG29" s="811"/>
      <c r="AH29" s="746"/>
      <c r="AI29" s="811"/>
      <c r="AJ29" s="811"/>
      <c r="AK29" s="811"/>
      <c r="AL29" s="746"/>
      <c r="AM29" s="811"/>
      <c r="AN29" s="746"/>
      <c r="AO29" s="746"/>
      <c r="AP29" s="811"/>
      <c r="AQ29" s="19"/>
    </row>
    <row r="30" spans="2:43" x14ac:dyDescent="0.25">
      <c r="B30" s="668" t="s">
        <v>632</v>
      </c>
      <c r="C30" s="791"/>
      <c r="D30" s="752"/>
      <c r="E30" s="811"/>
      <c r="F30" s="811"/>
      <c r="G30" s="811"/>
      <c r="H30" s="811"/>
      <c r="I30" s="811"/>
      <c r="J30" s="811"/>
      <c r="K30" s="811"/>
      <c r="L30" s="811"/>
      <c r="M30" s="811"/>
      <c r="N30" s="811"/>
      <c r="O30" s="811"/>
      <c r="P30" s="811"/>
      <c r="Q30" s="811"/>
      <c r="R30" s="811"/>
      <c r="S30" s="811"/>
      <c r="T30" s="811"/>
      <c r="U30" s="811"/>
      <c r="V30" s="811"/>
      <c r="W30" s="811"/>
      <c r="X30" s="811"/>
      <c r="Y30" s="811"/>
      <c r="Z30" s="29"/>
      <c r="AA30" s="811"/>
      <c r="AB30" s="811"/>
      <c r="AC30" s="811"/>
      <c r="AD30" s="811"/>
      <c r="AE30" s="746"/>
      <c r="AF30" s="746"/>
      <c r="AG30" s="811"/>
      <c r="AH30" s="746"/>
      <c r="AI30" s="811"/>
      <c r="AJ30" s="811"/>
      <c r="AK30" s="811"/>
      <c r="AL30" s="746"/>
      <c r="AM30" s="811"/>
      <c r="AN30" s="746"/>
      <c r="AO30" s="746"/>
      <c r="AP30" s="811"/>
      <c r="AQ30" s="19"/>
    </row>
    <row r="31" spans="2:43" x14ac:dyDescent="0.25">
      <c r="B31" s="670" t="s">
        <v>633</v>
      </c>
      <c r="C31" s="791" t="s">
        <v>495</v>
      </c>
      <c r="D31" s="807">
        <v>75</v>
      </c>
      <c r="E31" s="807">
        <v>275</v>
      </c>
      <c r="F31" s="807">
        <v>75</v>
      </c>
      <c r="G31" s="807">
        <v>275</v>
      </c>
      <c r="H31" s="807">
        <v>75</v>
      </c>
      <c r="I31" s="807">
        <v>275</v>
      </c>
      <c r="J31" s="807">
        <v>75</v>
      </c>
      <c r="K31" s="807">
        <v>75</v>
      </c>
      <c r="L31" s="807">
        <v>75</v>
      </c>
      <c r="M31" s="807">
        <v>75</v>
      </c>
      <c r="N31" s="807">
        <v>75</v>
      </c>
      <c r="O31" s="807">
        <v>75</v>
      </c>
      <c r="P31" s="807"/>
      <c r="Q31" s="807">
        <v>750</v>
      </c>
      <c r="R31" s="817">
        <v>750</v>
      </c>
      <c r="S31" s="819">
        <v>22</v>
      </c>
      <c r="T31" s="819">
        <v>22</v>
      </c>
      <c r="U31" s="819">
        <v>22</v>
      </c>
      <c r="V31" s="819">
        <v>22</v>
      </c>
      <c r="W31" s="807"/>
      <c r="X31" s="807"/>
      <c r="Y31" s="756">
        <v>75</v>
      </c>
      <c r="Z31" s="20">
        <v>75</v>
      </c>
      <c r="AA31" s="807">
        <v>75</v>
      </c>
      <c r="AB31" s="807"/>
      <c r="AC31" s="807"/>
      <c r="AD31" s="807"/>
      <c r="AE31" s="807"/>
      <c r="AF31" s="807">
        <v>169</v>
      </c>
      <c r="AG31" s="819"/>
      <c r="AH31" s="746"/>
      <c r="AI31" s="819"/>
      <c r="AJ31" s="819"/>
      <c r="AK31" s="811"/>
      <c r="AL31" s="746"/>
      <c r="AM31" s="811"/>
      <c r="AN31" s="746"/>
      <c r="AO31" s="746"/>
      <c r="AP31" s="811"/>
      <c r="AQ31" s="19"/>
    </row>
    <row r="32" spans="2:43" x14ac:dyDescent="0.25">
      <c r="B32" s="670" t="s">
        <v>634</v>
      </c>
      <c r="C32" s="791" t="s">
        <v>495</v>
      </c>
      <c r="D32" s="807">
        <v>14.7</v>
      </c>
      <c r="E32" s="807">
        <v>14.7</v>
      </c>
      <c r="F32" s="807">
        <v>14.7</v>
      </c>
      <c r="G32" s="807">
        <v>14.7</v>
      </c>
      <c r="H32" s="807">
        <v>14.7</v>
      </c>
      <c r="I32" s="807">
        <v>14.7</v>
      </c>
      <c r="J32" s="807">
        <v>14.7</v>
      </c>
      <c r="K32" s="807">
        <v>16.399999999999999</v>
      </c>
      <c r="L32" s="807">
        <v>16.399999999999999</v>
      </c>
      <c r="M32" s="807">
        <v>16.399999999999999</v>
      </c>
      <c r="N32" s="807">
        <v>16.399999999999999</v>
      </c>
      <c r="O32" s="807">
        <v>19.8</v>
      </c>
      <c r="P32" s="807"/>
      <c r="Q32" s="807">
        <v>121</v>
      </c>
      <c r="R32" s="807">
        <v>229</v>
      </c>
      <c r="S32" s="807">
        <v>18.3</v>
      </c>
      <c r="T32" s="807">
        <v>18.3</v>
      </c>
      <c r="U32" s="807">
        <v>18.3</v>
      </c>
      <c r="V32" s="807">
        <v>17.5</v>
      </c>
      <c r="W32" s="807"/>
      <c r="X32" s="807"/>
      <c r="Y32" s="807">
        <v>16.399999999999999</v>
      </c>
      <c r="Z32" s="828">
        <v>14.7</v>
      </c>
      <c r="AA32" s="756">
        <v>14.7</v>
      </c>
      <c r="AB32" s="746"/>
      <c r="AC32" s="746"/>
      <c r="AD32" s="746"/>
      <c r="AE32" s="746"/>
      <c r="AF32" s="746"/>
      <c r="AG32" s="807"/>
      <c r="AH32" s="746"/>
      <c r="AI32" s="807"/>
      <c r="AJ32" s="807"/>
      <c r="AK32" s="811"/>
      <c r="AL32" s="746">
        <v>6250</v>
      </c>
      <c r="AM32" s="811"/>
      <c r="AN32" s="746"/>
      <c r="AO32" s="746"/>
      <c r="AP32" s="811"/>
      <c r="AQ32" s="19"/>
    </row>
    <row r="33" spans="2:43" x14ac:dyDescent="0.25">
      <c r="B33" s="670" t="s">
        <v>635</v>
      </c>
      <c r="C33" s="791" t="s">
        <v>495</v>
      </c>
      <c r="D33" s="807">
        <v>52</v>
      </c>
      <c r="E33" s="807">
        <v>52</v>
      </c>
      <c r="F33" s="807">
        <v>52</v>
      </c>
      <c r="G33" s="807">
        <v>52</v>
      </c>
      <c r="H33" s="807">
        <v>52</v>
      </c>
      <c r="I33" s="807">
        <v>52</v>
      </c>
      <c r="J33" s="807">
        <v>52</v>
      </c>
      <c r="K33" s="807">
        <v>49</v>
      </c>
      <c r="L33" s="807">
        <v>49</v>
      </c>
      <c r="M33" s="807">
        <v>53</v>
      </c>
      <c r="N33" s="807">
        <v>53</v>
      </c>
      <c r="O33" s="807">
        <v>42</v>
      </c>
      <c r="P33" s="807"/>
      <c r="Q33" s="807">
        <v>2393</v>
      </c>
      <c r="R33" s="807">
        <v>2393</v>
      </c>
      <c r="S33" s="807">
        <v>60</v>
      </c>
      <c r="T33" s="807">
        <v>60</v>
      </c>
      <c r="U33" s="807">
        <v>60</v>
      </c>
      <c r="V33" s="807">
        <v>41</v>
      </c>
      <c r="W33" s="807"/>
      <c r="X33" s="807"/>
      <c r="Y33" s="807">
        <v>53</v>
      </c>
      <c r="Z33" s="828">
        <v>47</v>
      </c>
      <c r="AA33" s="807">
        <v>47</v>
      </c>
      <c r="AB33" s="807"/>
      <c r="AC33" s="807"/>
      <c r="AD33" s="807"/>
      <c r="AE33" s="807"/>
      <c r="AF33" s="807"/>
      <c r="AG33" s="807"/>
      <c r="AH33" s="746"/>
      <c r="AI33" s="807"/>
      <c r="AJ33" s="807"/>
      <c r="AK33" s="811"/>
      <c r="AL33" s="746"/>
      <c r="AM33" s="811"/>
      <c r="AN33" s="746"/>
      <c r="AO33" s="746"/>
      <c r="AP33" s="811"/>
      <c r="AQ33" s="19"/>
    </row>
    <row r="34" spans="2:43" x14ac:dyDescent="0.25">
      <c r="B34" s="668"/>
      <c r="C34" s="791"/>
      <c r="D34" s="752"/>
      <c r="E34" s="811"/>
      <c r="F34" s="811"/>
      <c r="G34" s="811"/>
      <c r="H34" s="811"/>
      <c r="I34" s="811"/>
      <c r="J34" s="811"/>
      <c r="K34" s="811"/>
      <c r="L34" s="811"/>
      <c r="M34" s="811"/>
      <c r="N34" s="811"/>
      <c r="O34" s="811"/>
      <c r="P34" s="811"/>
      <c r="Q34" s="811"/>
      <c r="R34" s="811"/>
      <c r="S34" s="811"/>
      <c r="T34" s="811"/>
      <c r="U34" s="811"/>
      <c r="V34" s="811"/>
      <c r="W34" s="811"/>
      <c r="X34" s="811"/>
      <c r="Y34" s="811"/>
      <c r="Z34" s="29"/>
      <c r="AA34" s="811"/>
      <c r="AB34" s="811"/>
      <c r="AC34" s="811"/>
      <c r="AD34" s="811"/>
      <c r="AE34" s="746"/>
      <c r="AF34" s="746"/>
      <c r="AG34" s="811"/>
      <c r="AH34" s="746"/>
      <c r="AI34" s="811"/>
      <c r="AJ34" s="811"/>
      <c r="AK34" s="811"/>
      <c r="AL34" s="746"/>
      <c r="AM34" s="811"/>
      <c r="AN34" s="746"/>
      <c r="AO34" s="746"/>
      <c r="AP34" s="811"/>
      <c r="AQ34" s="19"/>
    </row>
    <row r="35" spans="2:43" x14ac:dyDescent="0.25">
      <c r="B35" s="668" t="s">
        <v>636</v>
      </c>
      <c r="C35" s="791"/>
      <c r="D35" s="752"/>
      <c r="E35" s="811"/>
      <c r="F35" s="811"/>
      <c r="G35" s="811"/>
      <c r="H35" s="811"/>
      <c r="I35" s="811"/>
      <c r="J35" s="811"/>
      <c r="K35" s="811"/>
      <c r="L35" s="811"/>
      <c r="M35" s="811"/>
      <c r="N35" s="811"/>
      <c r="O35" s="811"/>
      <c r="P35" s="811"/>
      <c r="Q35" s="811"/>
      <c r="R35" s="811"/>
      <c r="S35" s="811"/>
      <c r="T35" s="811"/>
      <c r="U35" s="811"/>
      <c r="V35" s="811"/>
      <c r="W35" s="811"/>
      <c r="X35" s="811"/>
      <c r="Y35" s="811"/>
      <c r="Z35" s="29"/>
      <c r="AA35" s="811"/>
      <c r="AB35" s="811"/>
      <c r="AC35" s="811"/>
      <c r="AD35" s="807" t="s">
        <v>637</v>
      </c>
      <c r="AE35" s="746"/>
      <c r="AF35" s="746"/>
      <c r="AG35" s="811"/>
      <c r="AH35" s="746"/>
      <c r="AI35" s="811"/>
      <c r="AJ35" s="811"/>
      <c r="AK35" s="811"/>
      <c r="AL35" s="746"/>
      <c r="AM35" s="811"/>
      <c r="AN35" s="746"/>
      <c r="AO35" s="746"/>
      <c r="AP35" s="811"/>
      <c r="AQ35" s="19"/>
    </row>
    <row r="36" spans="2:43" x14ac:dyDescent="0.25">
      <c r="B36" s="667" t="s">
        <v>638</v>
      </c>
      <c r="C36" s="791" t="s">
        <v>639</v>
      </c>
      <c r="D36" s="752">
        <v>175</v>
      </c>
      <c r="E36" s="752">
        <v>192.50000000000003</v>
      </c>
      <c r="F36" s="752">
        <v>175</v>
      </c>
      <c r="G36" s="752">
        <v>192.50000000000003</v>
      </c>
      <c r="H36" s="752">
        <v>175</v>
      </c>
      <c r="I36" s="752">
        <v>192.50000000000003</v>
      </c>
      <c r="J36" s="752">
        <v>200</v>
      </c>
      <c r="K36" s="752">
        <v>175</v>
      </c>
      <c r="L36" s="752">
        <v>175</v>
      </c>
      <c r="M36" s="752">
        <v>175</v>
      </c>
      <c r="N36" s="752">
        <v>175</v>
      </c>
      <c r="O36" s="752">
        <v>175</v>
      </c>
      <c r="P36" s="752"/>
      <c r="Q36" s="808">
        <v>5.5</v>
      </c>
      <c r="R36" s="808">
        <v>5.5</v>
      </c>
      <c r="S36" s="752">
        <v>250</v>
      </c>
      <c r="T36" s="752">
        <v>250</v>
      </c>
      <c r="U36" s="752">
        <v>250</v>
      </c>
      <c r="V36" s="752">
        <v>200</v>
      </c>
      <c r="W36" s="752">
        <v>45</v>
      </c>
      <c r="X36" s="752">
        <v>52.5</v>
      </c>
      <c r="Y36" s="752">
        <v>175</v>
      </c>
      <c r="Z36" s="773">
        <v>160</v>
      </c>
      <c r="AA36" s="752">
        <v>135</v>
      </c>
      <c r="AB36" s="807">
        <v>190</v>
      </c>
      <c r="AC36" s="752">
        <v>190</v>
      </c>
      <c r="AD36" s="811">
        <v>137</v>
      </c>
      <c r="AE36" s="752">
        <v>17</v>
      </c>
      <c r="AF36" s="752">
        <v>4.5</v>
      </c>
      <c r="AG36" s="752">
        <v>1.1499999999999999</v>
      </c>
      <c r="AH36" s="746"/>
      <c r="AI36" s="752">
        <v>2900</v>
      </c>
      <c r="AJ36" s="752">
        <v>1100</v>
      </c>
      <c r="AK36" s="752">
        <v>80</v>
      </c>
      <c r="AL36" s="746"/>
      <c r="AM36" s="811">
        <v>16400</v>
      </c>
      <c r="AN36" s="811">
        <v>12830</v>
      </c>
      <c r="AO36" s="811">
        <v>74188</v>
      </c>
      <c r="AP36" s="811">
        <v>4.2</v>
      </c>
      <c r="AQ36" s="19">
        <v>45</v>
      </c>
    </row>
    <row r="37" spans="2:43" x14ac:dyDescent="0.25">
      <c r="B37" s="667" t="s">
        <v>640</v>
      </c>
      <c r="C37" s="791" t="s">
        <v>495</v>
      </c>
      <c r="D37" s="752">
        <v>420</v>
      </c>
      <c r="E37" s="752">
        <v>620</v>
      </c>
      <c r="F37" s="752">
        <v>440</v>
      </c>
      <c r="G37" s="752">
        <v>640</v>
      </c>
      <c r="H37" s="752">
        <v>420</v>
      </c>
      <c r="I37" s="752">
        <v>620</v>
      </c>
      <c r="J37" s="752">
        <v>450</v>
      </c>
      <c r="K37" s="752">
        <v>400</v>
      </c>
      <c r="L37" s="752">
        <v>420</v>
      </c>
      <c r="M37" s="752">
        <v>430</v>
      </c>
      <c r="N37" s="752">
        <v>430</v>
      </c>
      <c r="O37" s="752">
        <v>430</v>
      </c>
      <c r="P37" s="752"/>
      <c r="Q37" s="752">
        <v>9800</v>
      </c>
      <c r="R37" s="752">
        <v>9800</v>
      </c>
      <c r="S37" s="752">
        <v>490</v>
      </c>
      <c r="T37" s="752">
        <v>500</v>
      </c>
      <c r="U37" s="752">
        <v>500</v>
      </c>
      <c r="V37" s="752">
        <v>510</v>
      </c>
      <c r="W37" s="752">
        <v>2000</v>
      </c>
      <c r="X37" s="752">
        <v>1800</v>
      </c>
      <c r="Y37" s="752">
        <v>430</v>
      </c>
      <c r="Z37" s="773">
        <v>425</v>
      </c>
      <c r="AA37" s="752">
        <v>650</v>
      </c>
      <c r="AB37" s="752"/>
      <c r="AC37" s="752">
        <v>800</v>
      </c>
      <c r="AD37" s="811"/>
      <c r="AE37" s="752">
        <v>10000</v>
      </c>
      <c r="AF37" s="752">
        <v>12000</v>
      </c>
      <c r="AG37" s="752">
        <v>180</v>
      </c>
      <c r="AH37" s="746"/>
      <c r="AI37" s="752">
        <v>370</v>
      </c>
      <c r="AJ37" s="752"/>
      <c r="AK37" s="811"/>
      <c r="AL37" s="746"/>
      <c r="AM37" s="811"/>
      <c r="AN37" s="746"/>
      <c r="AO37" s="746"/>
      <c r="AP37" s="811">
        <v>200</v>
      </c>
      <c r="AQ37" s="19">
        <v>17.510000000000002</v>
      </c>
    </row>
    <row r="38" spans="2:43" x14ac:dyDescent="0.25">
      <c r="B38" s="676" t="s">
        <v>641</v>
      </c>
      <c r="C38" s="791" t="s">
        <v>449</v>
      </c>
      <c r="D38" s="777">
        <v>0.35</v>
      </c>
      <c r="E38" s="777">
        <v>0.35</v>
      </c>
      <c r="F38" s="777">
        <v>0.3</v>
      </c>
      <c r="G38" s="777">
        <v>0.3</v>
      </c>
      <c r="H38" s="777">
        <v>0.35</v>
      </c>
      <c r="I38" s="777">
        <v>0.35</v>
      </c>
      <c r="J38" s="777">
        <v>0.2</v>
      </c>
      <c r="K38" s="777">
        <v>0.25</v>
      </c>
      <c r="L38" s="777">
        <v>0.25</v>
      </c>
      <c r="M38" s="777">
        <v>0.35</v>
      </c>
      <c r="N38" s="777">
        <v>0.35</v>
      </c>
      <c r="O38" s="777">
        <v>0.3</v>
      </c>
      <c r="P38" s="777"/>
      <c r="Q38" s="777">
        <v>0.35</v>
      </c>
      <c r="R38" s="777">
        <v>0.2</v>
      </c>
      <c r="S38" s="777">
        <v>0.5</v>
      </c>
      <c r="T38" s="777">
        <v>0.45</v>
      </c>
      <c r="U38" s="777">
        <v>0.45</v>
      </c>
      <c r="V38" s="777">
        <v>0.3</v>
      </c>
      <c r="W38" s="777">
        <v>0</v>
      </c>
      <c r="X38" s="777">
        <v>0</v>
      </c>
      <c r="Y38" s="777">
        <v>0.35</v>
      </c>
      <c r="Z38" s="829">
        <v>0.4</v>
      </c>
      <c r="AA38" s="777">
        <v>0</v>
      </c>
      <c r="AB38" s="777"/>
      <c r="AC38" s="777">
        <v>0</v>
      </c>
      <c r="AD38" s="811"/>
      <c r="AE38" s="777">
        <v>0</v>
      </c>
      <c r="AF38" s="777">
        <v>0</v>
      </c>
      <c r="AG38" s="777">
        <v>0</v>
      </c>
      <c r="AH38" s="746"/>
      <c r="AI38" s="777">
        <v>0.4</v>
      </c>
      <c r="AJ38" s="777"/>
      <c r="AK38" s="811"/>
      <c r="AL38" s="746"/>
      <c r="AM38" s="811"/>
      <c r="AN38" s="746"/>
      <c r="AO38" s="746"/>
      <c r="AP38" s="811"/>
      <c r="AQ38" s="19"/>
    </row>
    <row r="39" spans="2:43" x14ac:dyDescent="0.25">
      <c r="B39" s="667" t="s">
        <v>642</v>
      </c>
      <c r="C39" s="791" t="s">
        <v>495</v>
      </c>
      <c r="D39" s="752">
        <v>291.7</v>
      </c>
      <c r="E39" s="752">
        <v>160</v>
      </c>
      <c r="F39" s="752">
        <v>174</v>
      </c>
      <c r="G39" s="752">
        <v>174</v>
      </c>
      <c r="H39" s="752">
        <v>163</v>
      </c>
      <c r="I39" s="752">
        <v>163</v>
      </c>
      <c r="J39" s="752">
        <v>174</v>
      </c>
      <c r="K39" s="752">
        <v>141</v>
      </c>
      <c r="L39" s="752">
        <v>162</v>
      </c>
      <c r="M39" s="752">
        <v>141</v>
      </c>
      <c r="N39" s="752">
        <v>167</v>
      </c>
      <c r="O39" s="752">
        <v>141</v>
      </c>
      <c r="P39" s="752"/>
      <c r="Q39" s="752">
        <v>360</v>
      </c>
      <c r="R39" s="752">
        <v>360</v>
      </c>
      <c r="S39" s="752">
        <v>195</v>
      </c>
      <c r="T39" s="752">
        <v>198</v>
      </c>
      <c r="U39" s="752">
        <v>195</v>
      </c>
      <c r="V39" s="752">
        <v>195</v>
      </c>
      <c r="W39" s="752">
        <v>410</v>
      </c>
      <c r="X39" s="752">
        <v>410</v>
      </c>
      <c r="Y39" s="752">
        <v>141</v>
      </c>
      <c r="Z39" s="773">
        <v>310</v>
      </c>
      <c r="AA39" s="752">
        <v>250</v>
      </c>
      <c r="AB39" s="752"/>
      <c r="AC39" s="811">
        <v>0</v>
      </c>
      <c r="AD39" s="752">
        <v>155</v>
      </c>
      <c r="AE39" s="811">
        <v>10</v>
      </c>
      <c r="AF39" s="746"/>
      <c r="AG39" s="752"/>
      <c r="AH39" s="746"/>
      <c r="AI39" s="752">
        <v>280</v>
      </c>
      <c r="AJ39" s="752"/>
      <c r="AK39" s="811"/>
      <c r="AL39" s="746"/>
      <c r="AM39" s="811"/>
      <c r="AN39" s="746"/>
      <c r="AO39" s="746"/>
      <c r="AP39" s="811"/>
      <c r="AQ39" s="19"/>
    </row>
    <row r="40" spans="2:43" x14ac:dyDescent="0.25">
      <c r="B40" s="668" t="s">
        <v>643</v>
      </c>
      <c r="C40" s="791"/>
      <c r="D40" s="752"/>
      <c r="E40" s="811"/>
      <c r="F40" s="811"/>
      <c r="G40" s="811"/>
      <c r="H40" s="811"/>
      <c r="I40" s="811"/>
      <c r="J40" s="811"/>
      <c r="K40" s="811"/>
      <c r="L40" s="811"/>
      <c r="M40" s="811"/>
      <c r="N40" s="811"/>
      <c r="O40" s="811"/>
      <c r="P40" s="811"/>
      <c r="Q40" s="811"/>
      <c r="R40" s="811"/>
      <c r="S40" s="811"/>
      <c r="T40" s="811"/>
      <c r="U40" s="811"/>
      <c r="V40" s="811"/>
      <c r="W40" s="811"/>
      <c r="X40" s="811"/>
      <c r="Y40" s="811"/>
      <c r="Z40" s="29"/>
      <c r="AA40" s="811"/>
      <c r="AB40" s="811"/>
      <c r="AC40" s="811"/>
      <c r="AD40" s="811"/>
      <c r="AE40" s="746"/>
      <c r="AF40" s="746"/>
      <c r="AG40" s="811"/>
      <c r="AH40" s="746"/>
      <c r="AI40" s="811"/>
      <c r="AJ40" s="811"/>
      <c r="AK40" s="811"/>
      <c r="AL40" s="746"/>
      <c r="AM40" s="811"/>
      <c r="AN40" s="746"/>
      <c r="AO40" s="746"/>
      <c r="AP40" s="811"/>
      <c r="AQ40" s="19"/>
    </row>
    <row r="41" spans="2:43" x14ac:dyDescent="0.25">
      <c r="B41" s="667" t="s">
        <v>644</v>
      </c>
      <c r="C41" s="791" t="s">
        <v>645</v>
      </c>
      <c r="D41" s="752">
        <v>190</v>
      </c>
      <c r="E41" s="752">
        <v>190</v>
      </c>
      <c r="F41" s="756">
        <v>230</v>
      </c>
      <c r="G41" s="756">
        <v>230</v>
      </c>
      <c r="H41" s="756">
        <v>220</v>
      </c>
      <c r="I41" s="756">
        <v>220</v>
      </c>
      <c r="J41" s="811">
        <v>190</v>
      </c>
      <c r="K41" s="811">
        <v>140</v>
      </c>
      <c r="L41" s="811">
        <v>90</v>
      </c>
      <c r="M41" s="811">
        <v>110</v>
      </c>
      <c r="N41" s="811">
        <v>70</v>
      </c>
      <c r="O41" s="811">
        <v>130</v>
      </c>
      <c r="P41" s="811"/>
      <c r="Q41" s="811">
        <v>190</v>
      </c>
      <c r="R41" s="811">
        <v>80</v>
      </c>
      <c r="S41" s="811">
        <v>0</v>
      </c>
      <c r="T41" s="811">
        <v>0</v>
      </c>
      <c r="U41" s="811">
        <v>0</v>
      </c>
      <c r="V41" s="811">
        <v>0</v>
      </c>
      <c r="W41" s="811">
        <v>50</v>
      </c>
      <c r="X41" s="811">
        <v>80</v>
      </c>
      <c r="Y41" s="811">
        <v>110</v>
      </c>
      <c r="Z41" s="29">
        <v>130</v>
      </c>
      <c r="AA41" s="811">
        <v>140</v>
      </c>
      <c r="AB41" s="811">
        <v>70</v>
      </c>
      <c r="AC41" s="811">
        <v>25</v>
      </c>
      <c r="AD41" s="811">
        <v>110</v>
      </c>
      <c r="AE41" s="811">
        <v>80</v>
      </c>
      <c r="AF41" s="811">
        <v>160</v>
      </c>
      <c r="AG41" s="811">
        <v>156</v>
      </c>
      <c r="AH41" s="746"/>
      <c r="AI41" s="811">
        <v>160</v>
      </c>
      <c r="AJ41" s="811">
        <v>477</v>
      </c>
      <c r="AK41" s="811">
        <v>130</v>
      </c>
      <c r="AL41" s="746"/>
      <c r="AM41" s="811"/>
      <c r="AN41" s="811">
        <v>2210</v>
      </c>
      <c r="AO41" s="811">
        <v>9335</v>
      </c>
      <c r="AP41" s="811">
        <v>291</v>
      </c>
      <c r="AQ41" s="19">
        <v>325</v>
      </c>
    </row>
    <row r="42" spans="2:43" x14ac:dyDescent="0.25">
      <c r="B42" s="667" t="s">
        <v>646</v>
      </c>
      <c r="C42" s="791" t="s">
        <v>647</v>
      </c>
      <c r="D42" s="808">
        <v>7</v>
      </c>
      <c r="E42" s="808">
        <v>7</v>
      </c>
      <c r="F42" s="808">
        <v>7</v>
      </c>
      <c r="G42" s="808">
        <v>7</v>
      </c>
      <c r="H42" s="808">
        <v>7</v>
      </c>
      <c r="I42" s="808">
        <v>7</v>
      </c>
      <c r="J42" s="808">
        <v>8.5</v>
      </c>
      <c r="K42" s="808">
        <v>8.5</v>
      </c>
      <c r="L42" s="808">
        <v>8.5</v>
      </c>
      <c r="M42" s="808">
        <v>8.5</v>
      </c>
      <c r="N42" s="808">
        <v>8.5</v>
      </c>
      <c r="O42" s="808">
        <v>9</v>
      </c>
      <c r="P42" s="808"/>
      <c r="Q42" s="808">
        <v>14</v>
      </c>
      <c r="R42" s="808">
        <v>14</v>
      </c>
      <c r="S42" s="811">
        <v>11</v>
      </c>
      <c r="T42" s="811">
        <v>11</v>
      </c>
      <c r="U42" s="811">
        <v>11</v>
      </c>
      <c r="V42" s="811">
        <v>9</v>
      </c>
      <c r="W42" s="809">
        <v>14</v>
      </c>
      <c r="X42" s="809">
        <v>14</v>
      </c>
      <c r="Y42" s="808">
        <v>8.5</v>
      </c>
      <c r="Z42" s="830">
        <v>7.8</v>
      </c>
      <c r="AA42" s="808">
        <v>7.8</v>
      </c>
      <c r="AB42" s="808"/>
      <c r="AC42" s="808">
        <v>15</v>
      </c>
      <c r="AD42" s="808">
        <v>14</v>
      </c>
      <c r="AE42" s="808">
        <v>87.5</v>
      </c>
      <c r="AF42" s="808"/>
      <c r="AG42" s="811">
        <v>0.8</v>
      </c>
      <c r="AH42" s="746"/>
      <c r="AI42" s="811">
        <v>1</v>
      </c>
      <c r="AJ42" s="811"/>
      <c r="AK42" s="811"/>
      <c r="AL42" s="746"/>
      <c r="AM42" s="811"/>
      <c r="AN42" s="746"/>
      <c r="AO42" s="746"/>
      <c r="AP42" s="811"/>
      <c r="AQ42" s="19"/>
    </row>
    <row r="43" spans="2:43" x14ac:dyDescent="0.25">
      <c r="B43" s="667" t="s">
        <v>648</v>
      </c>
      <c r="C43" s="791" t="s">
        <v>647</v>
      </c>
      <c r="D43" s="808">
        <v>10.5</v>
      </c>
      <c r="E43" s="808">
        <v>10.5</v>
      </c>
      <c r="F43" s="808">
        <v>10.5</v>
      </c>
      <c r="G43" s="808">
        <v>10.5</v>
      </c>
      <c r="H43" s="808">
        <v>10.5</v>
      </c>
      <c r="I43" s="808">
        <v>10.5</v>
      </c>
      <c r="J43" s="808">
        <v>12</v>
      </c>
      <c r="K43" s="808">
        <v>10.5</v>
      </c>
      <c r="L43" s="808">
        <v>10.5</v>
      </c>
      <c r="M43" s="808">
        <v>12</v>
      </c>
      <c r="N43" s="808">
        <v>12</v>
      </c>
      <c r="O43" s="808">
        <v>16.5</v>
      </c>
      <c r="P43" s="808"/>
      <c r="Q43" s="808">
        <v>11</v>
      </c>
      <c r="R43" s="808">
        <v>11</v>
      </c>
      <c r="S43" s="811">
        <v>12</v>
      </c>
      <c r="T43" s="811">
        <v>12</v>
      </c>
      <c r="U43" s="811">
        <v>12</v>
      </c>
      <c r="V43" s="811">
        <v>10</v>
      </c>
      <c r="W43" s="809">
        <v>11</v>
      </c>
      <c r="X43" s="809">
        <v>11</v>
      </c>
      <c r="Y43" s="808">
        <v>12</v>
      </c>
      <c r="Z43" s="830">
        <v>5.6</v>
      </c>
      <c r="AA43" s="808">
        <v>5.6</v>
      </c>
      <c r="AB43" s="808"/>
      <c r="AC43" s="808">
        <v>15</v>
      </c>
      <c r="AD43" s="808">
        <v>11</v>
      </c>
      <c r="AE43" s="808">
        <v>87.5</v>
      </c>
      <c r="AF43" s="808"/>
      <c r="AG43" s="811">
        <v>1.7</v>
      </c>
      <c r="AH43" s="746"/>
      <c r="AI43" s="811">
        <v>5.8</v>
      </c>
      <c r="AJ43" s="811"/>
      <c r="AK43" s="811"/>
      <c r="AL43" s="746"/>
      <c r="AM43" s="811"/>
      <c r="AN43" s="746"/>
      <c r="AO43" s="746"/>
      <c r="AP43" s="811"/>
      <c r="AQ43" s="19"/>
    </row>
    <row r="44" spans="2:43" x14ac:dyDescent="0.25">
      <c r="B44" s="667" t="s">
        <v>646</v>
      </c>
      <c r="C44" s="791" t="s">
        <v>639</v>
      </c>
      <c r="D44" s="752">
        <v>89.644456770567672</v>
      </c>
      <c r="E44" s="752">
        <v>84.052771664750779</v>
      </c>
      <c r="F44" s="752">
        <v>84.92806415507718</v>
      </c>
      <c r="G44" s="752">
        <v>79.779284800216075</v>
      </c>
      <c r="H44" s="752">
        <v>88.465358616695042</v>
      </c>
      <c r="I44" s="752">
        <v>82.98439994861711</v>
      </c>
      <c r="J44" s="752">
        <v>51.276118954508739</v>
      </c>
      <c r="K44" s="752">
        <v>61.821103523815701</v>
      </c>
      <c r="L44" s="752">
        <v>57.349953317175228</v>
      </c>
      <c r="M44" s="752">
        <v>50.165711642790654</v>
      </c>
      <c r="N44" s="752">
        <v>48.840394407609288</v>
      </c>
      <c r="O44" s="752">
        <v>50.125795316628007</v>
      </c>
      <c r="P44" s="752"/>
      <c r="Q44" s="752">
        <v>48.046625563389561</v>
      </c>
      <c r="R44" s="752">
        <v>31.230306616203219</v>
      </c>
      <c r="S44" s="752">
        <v>43.92465</v>
      </c>
      <c r="T44" s="752">
        <v>39.741349999999997</v>
      </c>
      <c r="U44" s="752">
        <v>39.741349999999997</v>
      </c>
      <c r="V44" s="752">
        <v>33.69</v>
      </c>
      <c r="W44" s="752">
        <v>24.5</v>
      </c>
      <c r="X44" s="752">
        <v>31.5</v>
      </c>
      <c r="Y44" s="752">
        <v>40.132569314232526</v>
      </c>
      <c r="Z44" s="773">
        <v>35.1</v>
      </c>
      <c r="AA44" s="752">
        <v>42.9</v>
      </c>
      <c r="AB44" s="752">
        <v>0</v>
      </c>
      <c r="AC44" s="752">
        <v>45</v>
      </c>
      <c r="AD44" s="752">
        <v>105</v>
      </c>
      <c r="AE44" s="752">
        <v>35</v>
      </c>
      <c r="AF44" s="752">
        <v>60</v>
      </c>
      <c r="AG44" s="752">
        <v>59.657040316830177</v>
      </c>
      <c r="AH44" s="746"/>
      <c r="AI44" s="752">
        <v>46.325000000000003</v>
      </c>
      <c r="AJ44" s="752"/>
      <c r="AK44" s="811"/>
      <c r="AL44" s="746"/>
      <c r="AM44" s="811"/>
      <c r="AN44" s="746"/>
      <c r="AO44" s="746"/>
      <c r="AP44" s="811"/>
      <c r="AQ44" s="19"/>
    </row>
    <row r="45" spans="2:43" x14ac:dyDescent="0.25">
      <c r="B45" s="667" t="s">
        <v>648</v>
      </c>
      <c r="C45" s="791" t="s">
        <v>639</v>
      </c>
      <c r="D45" s="752">
        <v>126.79118515585151</v>
      </c>
      <c r="E45" s="752">
        <v>118.40365749712616</v>
      </c>
      <c r="F45" s="752">
        <v>119.71659623261576</v>
      </c>
      <c r="G45" s="752">
        <v>111.99342720032412</v>
      </c>
      <c r="H45" s="752">
        <v>125.02253792504256</v>
      </c>
      <c r="I45" s="752">
        <v>116.80109992292566</v>
      </c>
      <c r="J45" s="752">
        <v>115.21781499460056</v>
      </c>
      <c r="K45" s="752">
        <v>76.367245529419392</v>
      </c>
      <c r="L45" s="752">
        <v>70.844059980039987</v>
      </c>
      <c r="M45" s="752">
        <v>70.82218114276327</v>
      </c>
      <c r="N45" s="752">
        <v>68.951145046036643</v>
      </c>
      <c r="O45" s="752">
        <v>91.89729141381801</v>
      </c>
      <c r="P45" s="752"/>
      <c r="Q45" s="752">
        <v>37.75092008552037</v>
      </c>
      <c r="R45" s="752">
        <v>24.538098055588243</v>
      </c>
      <c r="S45" s="752">
        <v>47.9178</v>
      </c>
      <c r="T45" s="752">
        <v>43.354199999999999</v>
      </c>
      <c r="U45" s="752">
        <v>43.354199999999999</v>
      </c>
      <c r="V45" s="752">
        <v>37.43333333333333</v>
      </c>
      <c r="W45" s="752">
        <v>19.25</v>
      </c>
      <c r="X45" s="752">
        <v>24.75</v>
      </c>
      <c r="Y45" s="752">
        <v>56.657744914210625</v>
      </c>
      <c r="Z45" s="773">
        <v>25.2</v>
      </c>
      <c r="AA45" s="752">
        <v>30.799999999999997</v>
      </c>
      <c r="AB45" s="752">
        <v>0</v>
      </c>
      <c r="AC45" s="752">
        <v>45</v>
      </c>
      <c r="AD45" s="752">
        <v>82.5</v>
      </c>
      <c r="AE45" s="752">
        <v>35</v>
      </c>
      <c r="AF45" s="752">
        <v>75</v>
      </c>
      <c r="AG45" s="752">
        <v>126.77121067326411</v>
      </c>
      <c r="AH45" s="746"/>
      <c r="AI45" s="752">
        <v>268.685</v>
      </c>
      <c r="AJ45" s="752"/>
      <c r="AK45" s="811"/>
      <c r="AL45" s="746"/>
      <c r="AM45" s="811"/>
      <c r="AN45" s="746"/>
      <c r="AO45" s="746"/>
      <c r="AP45" s="811"/>
      <c r="AQ45" s="19"/>
    </row>
    <row r="46" spans="2:43" x14ac:dyDescent="0.25">
      <c r="B46" s="667" t="s">
        <v>649</v>
      </c>
      <c r="C46" s="791" t="s">
        <v>538</v>
      </c>
      <c r="D46" s="809">
        <v>2.2003352891869237</v>
      </c>
      <c r="E46" s="809">
        <v>2.2003352891869237</v>
      </c>
      <c r="F46" s="809">
        <v>2.2003352891869237</v>
      </c>
      <c r="G46" s="809">
        <v>2.2003352891869237</v>
      </c>
      <c r="H46" s="809">
        <v>2.2003352891869237</v>
      </c>
      <c r="I46" s="809">
        <v>2.2003352891869237</v>
      </c>
      <c r="J46" s="809">
        <v>2.8846153846153846</v>
      </c>
      <c r="K46" s="809">
        <v>2.2925764192139741</v>
      </c>
      <c r="L46" s="809">
        <v>2.2925764192139741</v>
      </c>
      <c r="M46" s="809">
        <v>1.8672199170124482</v>
      </c>
      <c r="N46" s="809">
        <v>1.8672199170124482</v>
      </c>
      <c r="O46" s="809">
        <v>1.1848341232227488</v>
      </c>
      <c r="P46" s="809"/>
      <c r="Q46" s="809">
        <v>1.9072164948453609</v>
      </c>
      <c r="R46" s="809">
        <v>-7.9174664107485609E-2</v>
      </c>
      <c r="S46" s="809">
        <v>0.59171597633136097</v>
      </c>
      <c r="T46" s="809">
        <v>0.59171597633136097</v>
      </c>
      <c r="U46" s="809">
        <v>0.59171597633136097</v>
      </c>
      <c r="V46" s="809">
        <v>0.67567567567567566</v>
      </c>
      <c r="W46" s="809">
        <v>1.1363636363636365</v>
      </c>
      <c r="X46" s="809">
        <v>1.1363636363636365</v>
      </c>
      <c r="Y46" s="809">
        <v>1.8672199170124482</v>
      </c>
      <c r="Z46" s="35">
        <v>0</v>
      </c>
      <c r="AA46" s="809">
        <v>0</v>
      </c>
      <c r="AB46" s="809">
        <v>4.383116883116883</v>
      </c>
      <c r="AC46" s="809">
        <v>1.1363636363636365</v>
      </c>
      <c r="AD46" s="809">
        <v>1.1363636363636365</v>
      </c>
      <c r="AE46" s="809">
        <v>1.1363636363636365</v>
      </c>
      <c r="AF46" s="809">
        <v>1.9061583577712611</v>
      </c>
      <c r="AG46" s="809">
        <v>7.0000000000000009</v>
      </c>
      <c r="AH46" s="746"/>
      <c r="AI46" s="809">
        <v>0</v>
      </c>
      <c r="AJ46" s="809"/>
      <c r="AK46" s="811"/>
      <c r="AL46" s="746"/>
      <c r="AM46" s="811"/>
      <c r="AN46" s="746"/>
      <c r="AO46" s="746"/>
      <c r="AP46" s="811"/>
      <c r="AQ46" s="19"/>
    </row>
    <row r="47" spans="2:43" x14ac:dyDescent="0.25">
      <c r="B47" s="668" t="s">
        <v>650</v>
      </c>
      <c r="C47" s="791"/>
      <c r="D47" s="752"/>
      <c r="E47" s="811"/>
      <c r="F47" s="811"/>
      <c r="G47" s="811"/>
      <c r="H47" s="811"/>
      <c r="I47" s="811"/>
      <c r="J47" s="811"/>
      <c r="K47" s="811"/>
      <c r="L47" s="811"/>
      <c r="M47" s="811"/>
      <c r="N47" s="811"/>
      <c r="O47" s="811"/>
      <c r="P47" s="811"/>
      <c r="Q47" s="811"/>
      <c r="R47" s="811"/>
      <c r="S47" s="811"/>
      <c r="T47" s="811"/>
      <c r="U47" s="811"/>
      <c r="V47" s="811"/>
      <c r="W47" s="811"/>
      <c r="X47" s="811"/>
      <c r="Y47" s="811"/>
      <c r="Z47" s="29"/>
      <c r="AA47" s="811"/>
      <c r="AB47" s="811"/>
      <c r="AC47" s="811"/>
      <c r="AD47" s="811"/>
      <c r="AE47" s="746"/>
      <c r="AF47" s="746"/>
      <c r="AG47" s="811"/>
      <c r="AH47" s="746"/>
      <c r="AI47" s="811"/>
      <c r="AJ47" s="811"/>
      <c r="AK47" s="811"/>
      <c r="AL47" s="746"/>
      <c r="AM47" s="811"/>
      <c r="AN47" s="746"/>
      <c r="AO47" s="746"/>
      <c r="AP47" s="811"/>
      <c r="AQ47" s="19"/>
    </row>
    <row r="48" spans="2:43" x14ac:dyDescent="0.25">
      <c r="B48" s="670" t="s">
        <v>651</v>
      </c>
      <c r="C48" s="791" t="s">
        <v>538</v>
      </c>
      <c r="D48" s="752">
        <v>103</v>
      </c>
      <c r="E48" s="807">
        <v>103</v>
      </c>
      <c r="F48" s="807">
        <v>103</v>
      </c>
      <c r="G48" s="807">
        <v>103</v>
      </c>
      <c r="H48" s="807">
        <v>103</v>
      </c>
      <c r="I48" s="807">
        <v>103</v>
      </c>
      <c r="J48" s="807">
        <v>65</v>
      </c>
      <c r="K48" s="807">
        <v>81</v>
      </c>
      <c r="L48" s="807">
        <v>81</v>
      </c>
      <c r="M48" s="807">
        <v>65</v>
      </c>
      <c r="N48" s="807">
        <v>65</v>
      </c>
      <c r="O48" s="807">
        <v>59</v>
      </c>
      <c r="P48" s="807"/>
      <c r="Q48" s="807">
        <v>113</v>
      </c>
      <c r="R48" s="807">
        <v>54</v>
      </c>
      <c r="S48" s="807">
        <v>65</v>
      </c>
      <c r="T48" s="807">
        <v>65</v>
      </c>
      <c r="U48" s="807">
        <v>65</v>
      </c>
      <c r="V48" s="807">
        <v>81</v>
      </c>
      <c r="W48" s="807">
        <v>23.44736842105263</v>
      </c>
      <c r="X48" s="807">
        <v>38.63247863247863</v>
      </c>
      <c r="Y48" s="807">
        <v>32.5</v>
      </c>
      <c r="Z48" s="29"/>
      <c r="AA48" s="811"/>
      <c r="AB48" s="811"/>
      <c r="AC48" s="811"/>
      <c r="AD48" s="811"/>
      <c r="AE48" s="746"/>
      <c r="AF48" s="811"/>
      <c r="AG48" s="807">
        <v>173</v>
      </c>
      <c r="AH48" s="746"/>
      <c r="AI48" s="807">
        <v>32</v>
      </c>
      <c r="AJ48" s="807"/>
      <c r="AK48" s="811"/>
      <c r="AL48" s="746"/>
      <c r="AM48" s="811"/>
      <c r="AN48" s="746"/>
      <c r="AO48" s="746"/>
      <c r="AP48" s="811"/>
      <c r="AQ48" s="19"/>
    </row>
    <row r="49" spans="2:43" x14ac:dyDescent="0.25">
      <c r="B49" s="670" t="s">
        <v>652</v>
      </c>
      <c r="C49" s="791" t="s">
        <v>538</v>
      </c>
      <c r="D49" s="807">
        <v>121</v>
      </c>
      <c r="E49" s="807">
        <v>121</v>
      </c>
      <c r="F49" s="807">
        <v>127</v>
      </c>
      <c r="G49" s="807">
        <v>127</v>
      </c>
      <c r="H49" s="807">
        <v>127</v>
      </c>
      <c r="I49" s="807">
        <v>127</v>
      </c>
      <c r="J49" s="807">
        <v>55</v>
      </c>
      <c r="K49" s="807">
        <v>83</v>
      </c>
      <c r="L49" s="807">
        <v>83</v>
      </c>
      <c r="M49" s="807">
        <v>55</v>
      </c>
      <c r="N49" s="807">
        <v>55</v>
      </c>
      <c r="O49" s="807">
        <v>46</v>
      </c>
      <c r="P49" s="807"/>
      <c r="Q49" s="807">
        <v>80</v>
      </c>
      <c r="R49" s="807">
        <v>57</v>
      </c>
      <c r="S49" s="807">
        <v>50</v>
      </c>
      <c r="T49" s="807">
        <v>44</v>
      </c>
      <c r="U49" s="807">
        <v>44</v>
      </c>
      <c r="V49" s="807">
        <v>55</v>
      </c>
      <c r="W49" s="807">
        <v>24.75</v>
      </c>
      <c r="X49" s="807">
        <v>27.350427350427353</v>
      </c>
      <c r="Y49" s="807">
        <v>27.5</v>
      </c>
      <c r="Z49" s="29"/>
      <c r="AA49" s="811"/>
      <c r="AB49" s="811"/>
      <c r="AC49" s="811"/>
      <c r="AD49" s="811"/>
      <c r="AE49" s="746"/>
      <c r="AF49" s="811"/>
      <c r="AG49" s="807">
        <v>50</v>
      </c>
      <c r="AH49" s="746"/>
      <c r="AI49" s="807">
        <v>198</v>
      </c>
      <c r="AJ49" s="807"/>
      <c r="AK49" s="811"/>
      <c r="AL49" s="746"/>
      <c r="AM49" s="811"/>
      <c r="AN49" s="746"/>
      <c r="AO49" s="746"/>
      <c r="AP49" s="811"/>
      <c r="AQ49" s="19"/>
    </row>
    <row r="50" spans="2:43" x14ac:dyDescent="0.25">
      <c r="B50" s="670" t="s">
        <v>653</v>
      </c>
      <c r="C50" s="791" t="s">
        <v>538</v>
      </c>
      <c r="D50" s="807">
        <v>8</v>
      </c>
      <c r="E50" s="807">
        <v>8</v>
      </c>
      <c r="F50" s="807">
        <v>8</v>
      </c>
      <c r="G50" s="807">
        <v>8</v>
      </c>
      <c r="H50" s="807">
        <v>8</v>
      </c>
      <c r="I50" s="807">
        <v>8</v>
      </c>
      <c r="J50" s="807">
        <v>8</v>
      </c>
      <c r="K50" s="807">
        <v>8</v>
      </c>
      <c r="L50" s="807">
        <v>8</v>
      </c>
      <c r="M50" s="807">
        <v>8</v>
      </c>
      <c r="N50" s="807">
        <v>8</v>
      </c>
      <c r="O50" s="807">
        <v>8</v>
      </c>
      <c r="P50" s="807"/>
      <c r="Q50" s="807">
        <v>8</v>
      </c>
      <c r="R50" s="807">
        <v>8</v>
      </c>
      <c r="S50" s="807">
        <v>8</v>
      </c>
      <c r="T50" s="807">
        <v>11</v>
      </c>
      <c r="U50" s="807">
        <v>11</v>
      </c>
      <c r="V50" s="807">
        <v>11</v>
      </c>
      <c r="W50" s="807">
        <v>3.4736842105263155</v>
      </c>
      <c r="X50" s="807">
        <v>2.7350427350427351</v>
      </c>
      <c r="Y50" s="807">
        <v>2.7350427350427351</v>
      </c>
      <c r="Z50" s="29"/>
      <c r="AA50" s="811"/>
      <c r="AB50" s="811"/>
      <c r="AC50" s="811"/>
      <c r="AD50" s="811"/>
      <c r="AE50" s="746"/>
      <c r="AF50" s="811"/>
      <c r="AG50" s="807">
        <v>11</v>
      </c>
      <c r="AH50" s="746"/>
      <c r="AI50" s="807">
        <v>50</v>
      </c>
      <c r="AJ50" s="807"/>
      <c r="AK50" s="811"/>
      <c r="AL50" s="746"/>
      <c r="AM50" s="811"/>
      <c r="AN50" s="746"/>
      <c r="AO50" s="746"/>
      <c r="AP50" s="811"/>
      <c r="AQ50" s="19"/>
    </row>
    <row r="51" spans="2:43" x14ac:dyDescent="0.25">
      <c r="B51" s="670" t="s">
        <v>654</v>
      </c>
      <c r="C51" s="791" t="s">
        <v>538</v>
      </c>
      <c r="D51" s="807">
        <v>18</v>
      </c>
      <c r="E51" s="807">
        <v>18</v>
      </c>
      <c r="F51" s="807">
        <v>18</v>
      </c>
      <c r="G51" s="807">
        <v>18</v>
      </c>
      <c r="H51" s="807">
        <v>18</v>
      </c>
      <c r="I51" s="807">
        <v>18</v>
      </c>
      <c r="J51" s="807">
        <v>18</v>
      </c>
      <c r="K51" s="807">
        <v>18</v>
      </c>
      <c r="L51" s="807">
        <v>18</v>
      </c>
      <c r="M51" s="807">
        <v>18</v>
      </c>
      <c r="N51" s="807">
        <v>18</v>
      </c>
      <c r="O51" s="807">
        <v>18</v>
      </c>
      <c r="P51" s="807"/>
      <c r="Q51" s="807">
        <v>18</v>
      </c>
      <c r="R51" s="807">
        <v>18</v>
      </c>
      <c r="S51" s="807">
        <v>0</v>
      </c>
      <c r="T51" s="807">
        <v>0</v>
      </c>
      <c r="U51" s="807">
        <v>0</v>
      </c>
      <c r="V51" s="807">
        <v>0</v>
      </c>
      <c r="W51" s="807">
        <v>7.8157894736842097</v>
      </c>
      <c r="X51" s="807">
        <v>6.1538461538461542</v>
      </c>
      <c r="Y51" s="807">
        <v>6.1538461538461542</v>
      </c>
      <c r="Z51" s="29"/>
      <c r="AA51" s="811"/>
      <c r="AB51" s="811"/>
      <c r="AC51" s="811"/>
      <c r="AD51" s="811"/>
      <c r="AE51" s="746"/>
      <c r="AF51" s="811"/>
      <c r="AG51" s="807">
        <v>0</v>
      </c>
      <c r="AH51" s="746"/>
      <c r="AI51" s="807">
        <v>0</v>
      </c>
      <c r="AJ51" s="807"/>
      <c r="AK51" s="811"/>
      <c r="AL51" s="746"/>
      <c r="AM51" s="811"/>
      <c r="AN51" s="746"/>
      <c r="AO51" s="746"/>
      <c r="AP51" s="811"/>
      <c r="AQ51" s="19"/>
    </row>
    <row r="52" spans="2:43" x14ac:dyDescent="0.25">
      <c r="B52" s="670" t="s">
        <v>655</v>
      </c>
      <c r="C52" s="791" t="s">
        <v>538</v>
      </c>
      <c r="D52" s="807">
        <v>6</v>
      </c>
      <c r="E52" s="807">
        <v>6</v>
      </c>
      <c r="F52" s="807">
        <v>9</v>
      </c>
      <c r="G52" s="807">
        <v>9</v>
      </c>
      <c r="H52" s="807">
        <v>9</v>
      </c>
      <c r="I52" s="807">
        <v>9</v>
      </c>
      <c r="J52" s="807">
        <v>6</v>
      </c>
      <c r="K52" s="807">
        <v>6</v>
      </c>
      <c r="L52" s="807">
        <v>6</v>
      </c>
      <c r="M52" s="807">
        <v>6</v>
      </c>
      <c r="N52" s="807">
        <v>6</v>
      </c>
      <c r="O52" s="807">
        <v>6</v>
      </c>
      <c r="P52" s="807"/>
      <c r="Q52" s="807">
        <v>15</v>
      </c>
      <c r="R52" s="807">
        <v>15</v>
      </c>
      <c r="S52" s="807">
        <v>10</v>
      </c>
      <c r="T52" s="807">
        <v>10</v>
      </c>
      <c r="U52" s="807">
        <v>10</v>
      </c>
      <c r="V52" s="807">
        <v>10</v>
      </c>
      <c r="W52" s="807">
        <v>6.5131578947368425</v>
      </c>
      <c r="X52" s="807">
        <v>5.1282051282051277</v>
      </c>
      <c r="Y52" s="807">
        <v>5.1282051282051277</v>
      </c>
      <c r="Z52" s="29">
        <v>85</v>
      </c>
      <c r="AA52" s="811">
        <v>137</v>
      </c>
      <c r="AB52" s="811">
        <v>54</v>
      </c>
      <c r="AC52" s="811">
        <v>80</v>
      </c>
      <c r="AD52" s="811">
        <v>20</v>
      </c>
      <c r="AE52" s="811">
        <v>50</v>
      </c>
      <c r="AF52" s="811">
        <v>180</v>
      </c>
      <c r="AG52" s="807">
        <v>17</v>
      </c>
      <c r="AH52" s="746"/>
      <c r="AI52" s="807">
        <v>503</v>
      </c>
      <c r="AJ52" s="807">
        <v>245</v>
      </c>
      <c r="AK52" s="811">
        <v>880</v>
      </c>
      <c r="AL52" s="746"/>
      <c r="AM52" s="811">
        <v>1964</v>
      </c>
      <c r="AN52" s="811">
        <v>698</v>
      </c>
      <c r="AO52" s="811">
        <v>1443</v>
      </c>
      <c r="AP52" s="811">
        <v>850</v>
      </c>
      <c r="AQ52" s="19">
        <v>300</v>
      </c>
    </row>
    <row r="53" spans="2:43" x14ac:dyDescent="0.25">
      <c r="B53" s="667" t="s">
        <v>656</v>
      </c>
      <c r="C53" s="791" t="s">
        <v>538</v>
      </c>
      <c r="D53" s="752">
        <v>25</v>
      </c>
      <c r="E53" s="756">
        <v>22</v>
      </c>
      <c r="F53" s="756">
        <v>23</v>
      </c>
      <c r="G53" s="756">
        <v>24</v>
      </c>
      <c r="H53" s="756">
        <v>23</v>
      </c>
      <c r="I53" s="756">
        <v>24</v>
      </c>
      <c r="J53" s="756">
        <v>15</v>
      </c>
      <c r="K53" s="756">
        <v>20</v>
      </c>
      <c r="L53" s="756">
        <v>18</v>
      </c>
      <c r="M53" s="756">
        <v>16</v>
      </c>
      <c r="N53" s="756">
        <v>16</v>
      </c>
      <c r="O53" s="756">
        <v>20</v>
      </c>
      <c r="P53" s="756"/>
      <c r="Q53" s="756">
        <v>20</v>
      </c>
      <c r="R53" s="756">
        <v>13</v>
      </c>
      <c r="S53" s="756">
        <v>18</v>
      </c>
      <c r="T53" s="756">
        <v>17</v>
      </c>
      <c r="U53" s="756">
        <v>17</v>
      </c>
      <c r="V53" s="756">
        <v>15</v>
      </c>
      <c r="W53" s="756">
        <v>9</v>
      </c>
      <c r="X53" s="756">
        <v>11</v>
      </c>
      <c r="Y53" s="756">
        <v>9</v>
      </c>
      <c r="Z53" s="20">
        <v>17</v>
      </c>
      <c r="AA53" s="756">
        <v>15</v>
      </c>
      <c r="AB53" s="756">
        <v>168</v>
      </c>
      <c r="AC53" s="756">
        <v>12</v>
      </c>
      <c r="AD53" s="756"/>
      <c r="AE53" s="811"/>
      <c r="AF53" s="811"/>
      <c r="AG53" s="756">
        <v>0</v>
      </c>
      <c r="AH53" s="811">
        <v>7950</v>
      </c>
      <c r="AI53" s="756">
        <v>537.37</v>
      </c>
      <c r="AJ53" s="756">
        <v>305</v>
      </c>
      <c r="AK53" s="811">
        <v>3059</v>
      </c>
      <c r="AL53" s="746">
        <v>1500</v>
      </c>
      <c r="AM53" s="811">
        <v>35000</v>
      </c>
      <c r="AN53" s="746"/>
      <c r="AO53" s="746"/>
      <c r="AP53" s="811">
        <v>3119</v>
      </c>
      <c r="AQ53" s="19">
        <v>1093</v>
      </c>
    </row>
    <row r="54" spans="2:43" x14ac:dyDescent="0.25">
      <c r="B54" s="667" t="s">
        <v>657</v>
      </c>
      <c r="C54" s="791" t="s">
        <v>538</v>
      </c>
      <c r="D54" s="752"/>
      <c r="E54" s="756"/>
      <c r="F54" s="756"/>
      <c r="G54" s="756"/>
      <c r="H54" s="756"/>
      <c r="I54" s="756"/>
      <c r="J54" s="756"/>
      <c r="K54" s="756"/>
      <c r="L54" s="756"/>
      <c r="M54" s="756"/>
      <c r="N54" s="756"/>
      <c r="O54" s="756"/>
      <c r="P54" s="756"/>
      <c r="Q54" s="756"/>
      <c r="R54" s="756"/>
      <c r="S54" s="756"/>
      <c r="T54" s="756"/>
      <c r="U54" s="756"/>
      <c r="V54" s="756"/>
      <c r="W54" s="756"/>
      <c r="X54" s="756"/>
      <c r="Y54" s="756"/>
      <c r="Z54" s="20"/>
      <c r="AA54" s="756"/>
      <c r="AB54" s="756"/>
      <c r="AC54" s="756"/>
      <c r="AD54" s="756"/>
      <c r="AE54" s="746"/>
      <c r="AF54" s="746"/>
      <c r="AG54" s="756">
        <v>0</v>
      </c>
      <c r="AH54" s="746"/>
      <c r="AI54" s="756">
        <v>1042.3125</v>
      </c>
      <c r="AJ54" s="756">
        <v>1735</v>
      </c>
      <c r="AK54" s="811">
        <v>222</v>
      </c>
      <c r="AL54" s="746"/>
      <c r="AM54" s="811">
        <v>35250</v>
      </c>
      <c r="AN54" s="746"/>
      <c r="AO54" s="746"/>
      <c r="AP54" s="811"/>
      <c r="AQ54" s="19">
        <v>1080</v>
      </c>
    </row>
    <row r="55" spans="2:43" x14ac:dyDescent="0.25">
      <c r="B55" s="667" t="s">
        <v>658</v>
      </c>
      <c r="C55" s="791" t="s">
        <v>538</v>
      </c>
      <c r="D55" s="752"/>
      <c r="E55" s="756"/>
      <c r="F55" s="756"/>
      <c r="G55" s="756"/>
      <c r="H55" s="756"/>
      <c r="I55" s="756"/>
      <c r="J55" s="756"/>
      <c r="K55" s="756"/>
      <c r="L55" s="756"/>
      <c r="M55" s="756"/>
      <c r="N55" s="756"/>
      <c r="O55" s="756"/>
      <c r="P55" s="756"/>
      <c r="Q55" s="756"/>
      <c r="R55" s="756"/>
      <c r="S55" s="756"/>
      <c r="T55" s="756"/>
      <c r="U55" s="756"/>
      <c r="V55" s="756"/>
      <c r="W55" s="756"/>
      <c r="X55" s="756"/>
      <c r="Y55" s="756"/>
      <c r="Z55" s="20"/>
      <c r="AA55" s="756"/>
      <c r="AB55" s="756"/>
      <c r="AC55" s="756"/>
      <c r="AD55" s="756">
        <v>171</v>
      </c>
      <c r="AE55" s="811">
        <v>85</v>
      </c>
      <c r="AF55" s="811">
        <v>228</v>
      </c>
      <c r="AG55" s="756">
        <v>195</v>
      </c>
      <c r="AH55" s="746"/>
      <c r="AI55" s="756">
        <v>1590</v>
      </c>
      <c r="AJ55" s="756"/>
      <c r="AK55" s="811">
        <v>4650</v>
      </c>
      <c r="AL55" s="746">
        <v>1600</v>
      </c>
      <c r="AM55" s="811"/>
      <c r="AN55" s="811">
        <v>5385</v>
      </c>
      <c r="AO55" s="811">
        <v>34262</v>
      </c>
      <c r="AP55" s="811"/>
      <c r="AQ55" s="19"/>
    </row>
    <row r="56" spans="2:43" x14ac:dyDescent="0.25">
      <c r="B56" s="668" t="s">
        <v>659</v>
      </c>
      <c r="C56" s="791"/>
      <c r="D56" s="752"/>
      <c r="E56" s="811"/>
      <c r="F56" s="811"/>
      <c r="G56" s="811"/>
      <c r="H56" s="811"/>
      <c r="I56" s="811"/>
      <c r="J56" s="811"/>
      <c r="K56" s="811"/>
      <c r="L56" s="811"/>
      <c r="M56" s="811"/>
      <c r="N56" s="811"/>
      <c r="O56" s="811"/>
      <c r="P56" s="811"/>
      <c r="Q56" s="811"/>
      <c r="R56" s="811"/>
      <c r="S56" s="811"/>
      <c r="T56" s="811"/>
      <c r="U56" s="811"/>
      <c r="V56" s="811"/>
      <c r="W56" s="811"/>
      <c r="X56" s="811"/>
      <c r="Y56" s="811"/>
      <c r="Z56" s="29"/>
      <c r="AA56" s="811"/>
      <c r="AB56" s="811"/>
      <c r="AC56" s="811"/>
      <c r="AD56" s="811"/>
      <c r="AE56" s="746"/>
      <c r="AF56" s="746"/>
      <c r="AG56" s="811"/>
      <c r="AH56" s="746"/>
      <c r="AI56" s="811"/>
      <c r="AJ56" s="811"/>
      <c r="AK56" s="811"/>
      <c r="AL56" s="746"/>
      <c r="AM56" s="811"/>
      <c r="AN56" s="746"/>
      <c r="AO56" s="746"/>
      <c r="AP56" s="811"/>
      <c r="AQ56" s="19"/>
    </row>
    <row r="57" spans="2:43" x14ac:dyDescent="0.25">
      <c r="B57" s="667" t="s">
        <v>636</v>
      </c>
      <c r="C57" s="791" t="s">
        <v>538</v>
      </c>
      <c r="D57" s="756">
        <v>65.641625000000005</v>
      </c>
      <c r="E57" s="756">
        <v>88.357500000000016</v>
      </c>
      <c r="F57" s="756">
        <v>63.034999999999997</v>
      </c>
      <c r="G57" s="756">
        <v>96.288500000000013</v>
      </c>
      <c r="H57" s="756">
        <v>57.758749999999999</v>
      </c>
      <c r="I57" s="756">
        <v>88.559625000000011</v>
      </c>
      <c r="J57" s="756">
        <v>78.959999999999994</v>
      </c>
      <c r="K57" s="756">
        <v>58.668750000000003</v>
      </c>
      <c r="L57" s="756">
        <v>62.212499999999999</v>
      </c>
      <c r="M57" s="756">
        <v>57.548750000000005</v>
      </c>
      <c r="N57" s="756">
        <v>59.141249999999999</v>
      </c>
      <c r="O57" s="756">
        <v>60.077500000000001</v>
      </c>
      <c r="P57" s="756"/>
      <c r="Q57" s="756">
        <v>35.728000000000002</v>
      </c>
      <c r="R57" s="756">
        <v>43.515999999999998</v>
      </c>
      <c r="S57" s="756">
        <v>85.625</v>
      </c>
      <c r="T57" s="756">
        <v>91.025000000000006</v>
      </c>
      <c r="U57" s="756">
        <v>90.6875</v>
      </c>
      <c r="V57" s="756">
        <v>83.1</v>
      </c>
      <c r="W57" s="756">
        <v>90</v>
      </c>
      <c r="X57" s="756">
        <v>94.5</v>
      </c>
      <c r="Y57" s="756">
        <v>57.548750000000005</v>
      </c>
      <c r="Z57" s="20">
        <v>60.64</v>
      </c>
      <c r="AA57" s="756">
        <v>87.75</v>
      </c>
      <c r="AB57" s="756">
        <v>190</v>
      </c>
      <c r="AC57" s="756">
        <v>152</v>
      </c>
      <c r="AD57" s="756">
        <v>137</v>
      </c>
      <c r="AE57" s="756">
        <v>170</v>
      </c>
      <c r="AF57" s="756">
        <v>53.999999999999993</v>
      </c>
      <c r="AG57" s="756">
        <v>206.99999999999997</v>
      </c>
      <c r="AH57" s="746"/>
      <c r="AI57" s="756">
        <v>968.59999999999991</v>
      </c>
      <c r="AJ57" s="756">
        <v>1100</v>
      </c>
      <c r="AK57" s="756">
        <v>80</v>
      </c>
      <c r="AL57" s="756">
        <v>0</v>
      </c>
      <c r="AM57" s="756">
        <v>16400</v>
      </c>
      <c r="AN57" s="756">
        <v>12830</v>
      </c>
      <c r="AO57" s="756">
        <v>74188</v>
      </c>
      <c r="AP57" s="756">
        <v>840</v>
      </c>
      <c r="AQ57" s="22">
        <v>787.95</v>
      </c>
    </row>
    <row r="58" spans="2:43" x14ac:dyDescent="0.25">
      <c r="B58" s="667" t="s">
        <v>660</v>
      </c>
      <c r="C58" s="791" t="s">
        <v>538</v>
      </c>
      <c r="D58" s="752">
        <v>228.30328948045926</v>
      </c>
      <c r="E58" s="752">
        <v>221.90931912032949</v>
      </c>
      <c r="F58" s="752">
        <v>249.57686372158679</v>
      </c>
      <c r="G58" s="752">
        <v>243.68934645928908</v>
      </c>
      <c r="H58" s="752">
        <v>246.95501637407446</v>
      </c>
      <c r="I58" s="752">
        <v>240.68765928840273</v>
      </c>
      <c r="J58" s="752">
        <v>203.50586400265965</v>
      </c>
      <c r="K58" s="752">
        <v>159.77123379247581</v>
      </c>
      <c r="L58" s="752">
        <v>121.79865330099912</v>
      </c>
      <c r="M58" s="752">
        <v>130.79339942635909</v>
      </c>
      <c r="N58" s="752">
        <v>102.65803721492492</v>
      </c>
      <c r="O58" s="752">
        <v>151.85269741880143</v>
      </c>
      <c r="P58" s="752"/>
      <c r="Q58" s="752">
        <v>169.78654769756236</v>
      </c>
      <c r="R58" s="752">
        <v>80.042390617658555</v>
      </c>
      <c r="S58" s="752">
        <v>43.630928367635711</v>
      </c>
      <c r="T58" s="752">
        <v>39.531955758940057</v>
      </c>
      <c r="U58" s="752">
        <v>39.531955758940057</v>
      </c>
      <c r="V58" s="752">
        <v>33.958791617704662</v>
      </c>
      <c r="W58" s="752">
        <v>55.484914361001323</v>
      </c>
      <c r="X58" s="752">
        <v>81.4892621870883</v>
      </c>
      <c r="Y58" s="752">
        <v>119.67483019115642</v>
      </c>
      <c r="Z58" s="773">
        <v>115.8227536231884</v>
      </c>
      <c r="AA58" s="752">
        <v>128.96855072463768</v>
      </c>
      <c r="AB58" s="752">
        <v>51.049783549783555</v>
      </c>
      <c r="AC58" s="752">
        <v>60.259552042160742</v>
      </c>
      <c r="AD58" s="752">
        <v>164.53491436100131</v>
      </c>
      <c r="AE58" s="752">
        <v>87.491436100131764</v>
      </c>
      <c r="AF58" s="752">
        <v>171.18152067661188</v>
      </c>
      <c r="AG58" s="752">
        <v>194.13078878932205</v>
      </c>
      <c r="AH58" s="746"/>
      <c r="AI58" s="752">
        <v>239.3172971014493</v>
      </c>
      <c r="AJ58" s="752">
        <v>477</v>
      </c>
      <c r="AK58" s="752">
        <v>130</v>
      </c>
      <c r="AL58" s="752">
        <v>0</v>
      </c>
      <c r="AM58" s="752">
        <v>0</v>
      </c>
      <c r="AN58" s="752">
        <v>2210</v>
      </c>
      <c r="AO58" s="752">
        <v>9335</v>
      </c>
      <c r="AP58" s="752">
        <v>291</v>
      </c>
      <c r="AQ58" s="677">
        <v>325</v>
      </c>
    </row>
    <row r="59" spans="2:43" x14ac:dyDescent="0.25">
      <c r="B59" s="667" t="s">
        <v>661</v>
      </c>
      <c r="C59" s="791" t="s">
        <v>538</v>
      </c>
      <c r="D59" s="752">
        <v>256</v>
      </c>
      <c r="E59" s="752">
        <v>256</v>
      </c>
      <c r="F59" s="752">
        <v>265</v>
      </c>
      <c r="G59" s="752">
        <v>265</v>
      </c>
      <c r="H59" s="752">
        <v>265</v>
      </c>
      <c r="I59" s="752">
        <v>265</v>
      </c>
      <c r="J59" s="752">
        <v>152</v>
      </c>
      <c r="K59" s="752">
        <v>196</v>
      </c>
      <c r="L59" s="752">
        <v>196</v>
      </c>
      <c r="M59" s="752">
        <v>152</v>
      </c>
      <c r="N59" s="752">
        <v>152</v>
      </c>
      <c r="O59" s="752">
        <v>137</v>
      </c>
      <c r="P59" s="752"/>
      <c r="Q59" s="752">
        <v>234</v>
      </c>
      <c r="R59" s="752">
        <v>152</v>
      </c>
      <c r="S59" s="752">
        <v>133</v>
      </c>
      <c r="T59" s="752">
        <v>130</v>
      </c>
      <c r="U59" s="752">
        <v>130</v>
      </c>
      <c r="V59" s="752">
        <v>157</v>
      </c>
      <c r="W59" s="752">
        <v>66</v>
      </c>
      <c r="X59" s="752">
        <v>80</v>
      </c>
      <c r="Y59" s="752">
        <v>74.01709401709401</v>
      </c>
      <c r="Z59" s="773">
        <v>85</v>
      </c>
      <c r="AA59" s="752">
        <v>137</v>
      </c>
      <c r="AB59" s="752">
        <v>54</v>
      </c>
      <c r="AC59" s="752">
        <v>80</v>
      </c>
      <c r="AD59" s="752">
        <v>20</v>
      </c>
      <c r="AE59" s="752">
        <v>50</v>
      </c>
      <c r="AF59" s="752">
        <v>180</v>
      </c>
      <c r="AG59" s="752">
        <v>251</v>
      </c>
      <c r="AH59" s="746"/>
      <c r="AI59" s="752">
        <v>783</v>
      </c>
      <c r="AJ59" s="752">
        <v>245</v>
      </c>
      <c r="AK59" s="752">
        <v>880</v>
      </c>
      <c r="AL59" s="752">
        <v>0</v>
      </c>
      <c r="AM59" s="752">
        <v>1964</v>
      </c>
      <c r="AN59" s="752">
        <v>698</v>
      </c>
      <c r="AO59" s="752">
        <v>1443</v>
      </c>
      <c r="AP59" s="752">
        <v>850</v>
      </c>
      <c r="AQ59" s="677">
        <v>300</v>
      </c>
    </row>
    <row r="60" spans="2:43" x14ac:dyDescent="0.25">
      <c r="B60" s="667" t="s">
        <v>662</v>
      </c>
      <c r="C60" s="791" t="s">
        <v>538</v>
      </c>
      <c r="D60" s="756">
        <v>25</v>
      </c>
      <c r="E60" s="756">
        <v>22</v>
      </c>
      <c r="F60" s="756">
        <v>23</v>
      </c>
      <c r="G60" s="756">
        <v>24</v>
      </c>
      <c r="H60" s="756">
        <v>23</v>
      </c>
      <c r="I60" s="756">
        <v>24</v>
      </c>
      <c r="J60" s="756">
        <v>15</v>
      </c>
      <c r="K60" s="756">
        <v>20</v>
      </c>
      <c r="L60" s="756">
        <v>18</v>
      </c>
      <c r="M60" s="756">
        <v>16</v>
      </c>
      <c r="N60" s="756">
        <v>16</v>
      </c>
      <c r="O60" s="756">
        <v>20</v>
      </c>
      <c r="P60" s="756"/>
      <c r="Q60" s="756">
        <v>20</v>
      </c>
      <c r="R60" s="756">
        <v>13</v>
      </c>
      <c r="S60" s="756">
        <v>18</v>
      </c>
      <c r="T60" s="756">
        <v>17</v>
      </c>
      <c r="U60" s="756">
        <v>17</v>
      </c>
      <c r="V60" s="756">
        <v>15</v>
      </c>
      <c r="W60" s="756">
        <v>9</v>
      </c>
      <c r="X60" s="756">
        <v>11</v>
      </c>
      <c r="Y60" s="756">
        <v>9</v>
      </c>
      <c r="Z60" s="20">
        <v>17</v>
      </c>
      <c r="AA60" s="756">
        <v>15</v>
      </c>
      <c r="AB60" s="756">
        <v>168</v>
      </c>
      <c r="AC60" s="756">
        <v>12</v>
      </c>
      <c r="AD60" s="756">
        <v>0</v>
      </c>
      <c r="AE60" s="756">
        <v>0</v>
      </c>
      <c r="AF60" s="756">
        <v>0</v>
      </c>
      <c r="AG60" s="756">
        <v>0</v>
      </c>
      <c r="AH60" s="756">
        <v>7950</v>
      </c>
      <c r="AI60" s="756">
        <v>537.37</v>
      </c>
      <c r="AJ60" s="756">
        <v>305</v>
      </c>
      <c r="AK60" s="756">
        <v>3059</v>
      </c>
      <c r="AL60" s="756">
        <v>1500</v>
      </c>
      <c r="AM60" s="756">
        <v>35000</v>
      </c>
      <c r="AN60" s="756">
        <v>0</v>
      </c>
      <c r="AO60" s="756">
        <v>0</v>
      </c>
      <c r="AP60" s="756">
        <v>3119</v>
      </c>
      <c r="AQ60" s="22">
        <v>1093</v>
      </c>
    </row>
    <row r="61" spans="2:43" x14ac:dyDescent="0.25">
      <c r="B61" s="667" t="s">
        <v>663</v>
      </c>
      <c r="C61" s="791" t="s">
        <v>538</v>
      </c>
      <c r="D61" s="756"/>
      <c r="E61" s="756"/>
      <c r="F61" s="756"/>
      <c r="G61" s="756"/>
      <c r="H61" s="756"/>
      <c r="I61" s="756"/>
      <c r="J61" s="756"/>
      <c r="K61" s="756"/>
      <c r="L61" s="756"/>
      <c r="M61" s="756"/>
      <c r="N61" s="756"/>
      <c r="O61" s="756"/>
      <c r="P61" s="756"/>
      <c r="Q61" s="756"/>
      <c r="R61" s="756"/>
      <c r="S61" s="756"/>
      <c r="T61" s="756"/>
      <c r="U61" s="756"/>
      <c r="V61" s="756"/>
      <c r="W61" s="756"/>
      <c r="X61" s="756"/>
      <c r="Y61" s="756"/>
      <c r="Z61" s="20"/>
      <c r="AA61" s="756"/>
      <c r="AB61" s="756"/>
      <c r="AC61" s="756"/>
      <c r="AD61" s="756"/>
      <c r="AE61" s="756"/>
      <c r="AF61" s="756"/>
      <c r="AG61" s="756">
        <v>0</v>
      </c>
      <c r="AH61" s="756"/>
      <c r="AI61" s="756">
        <v>1042.3125</v>
      </c>
      <c r="AJ61" s="756">
        <v>1735</v>
      </c>
      <c r="AK61" s="756">
        <v>222</v>
      </c>
      <c r="AL61" s="756">
        <v>0</v>
      </c>
      <c r="AM61" s="756">
        <v>35250</v>
      </c>
      <c r="AN61" s="756">
        <v>0</v>
      </c>
      <c r="AO61" s="756">
        <v>0</v>
      </c>
      <c r="AP61" s="811"/>
      <c r="AQ61" s="22">
        <v>1080</v>
      </c>
    </row>
    <row r="62" spans="2:43" x14ac:dyDescent="0.25">
      <c r="B62" s="667" t="s">
        <v>664</v>
      </c>
      <c r="C62" s="791" t="s">
        <v>538</v>
      </c>
      <c r="D62" s="756">
        <v>0</v>
      </c>
      <c r="E62" s="756">
        <v>0</v>
      </c>
      <c r="F62" s="756">
        <v>0</v>
      </c>
      <c r="G62" s="756">
        <v>0</v>
      </c>
      <c r="H62" s="756">
        <v>0</v>
      </c>
      <c r="I62" s="756">
        <v>0</v>
      </c>
      <c r="J62" s="756">
        <v>0</v>
      </c>
      <c r="K62" s="756">
        <v>0</v>
      </c>
      <c r="L62" s="756">
        <v>0</v>
      </c>
      <c r="M62" s="756">
        <v>0</v>
      </c>
      <c r="N62" s="756">
        <v>0</v>
      </c>
      <c r="O62" s="756">
        <v>0</v>
      </c>
      <c r="P62" s="756"/>
      <c r="Q62" s="756">
        <v>0</v>
      </c>
      <c r="R62" s="756">
        <v>0</v>
      </c>
      <c r="S62" s="756">
        <v>0</v>
      </c>
      <c r="T62" s="756">
        <v>0</v>
      </c>
      <c r="U62" s="756">
        <v>0</v>
      </c>
      <c r="V62" s="756">
        <v>0</v>
      </c>
      <c r="W62" s="756">
        <v>0</v>
      </c>
      <c r="X62" s="756">
        <v>0</v>
      </c>
      <c r="Y62" s="756">
        <v>0</v>
      </c>
      <c r="Z62" s="20">
        <v>0</v>
      </c>
      <c r="AA62" s="756">
        <v>0</v>
      </c>
      <c r="AB62" s="756">
        <v>0</v>
      </c>
      <c r="AC62" s="756">
        <v>0</v>
      </c>
      <c r="AD62" s="756">
        <v>171</v>
      </c>
      <c r="AE62" s="756">
        <v>85</v>
      </c>
      <c r="AF62" s="756">
        <v>228</v>
      </c>
      <c r="AG62" s="756">
        <v>195</v>
      </c>
      <c r="AH62" s="746"/>
      <c r="AI62" s="756">
        <v>1590</v>
      </c>
      <c r="AJ62" s="756">
        <v>0</v>
      </c>
      <c r="AK62" s="756">
        <v>4650</v>
      </c>
      <c r="AL62" s="756">
        <v>1600</v>
      </c>
      <c r="AM62" s="756">
        <v>0</v>
      </c>
      <c r="AN62" s="756">
        <v>5385</v>
      </c>
      <c r="AO62" s="756">
        <v>34262</v>
      </c>
      <c r="AP62" s="811"/>
      <c r="AQ62" s="19"/>
    </row>
    <row r="63" spans="2:43" x14ac:dyDescent="0.25">
      <c r="B63" s="675" t="s">
        <v>665</v>
      </c>
      <c r="C63" s="791" t="s">
        <v>538</v>
      </c>
      <c r="D63" s="439">
        <v>574.94491448045926</v>
      </c>
      <c r="E63" s="439">
        <v>588.2668191203295</v>
      </c>
      <c r="F63" s="439">
        <v>600.61186372158681</v>
      </c>
      <c r="G63" s="439">
        <v>628.97784645928914</v>
      </c>
      <c r="H63" s="439">
        <v>592.71376637407445</v>
      </c>
      <c r="I63" s="439">
        <v>618.24728428840274</v>
      </c>
      <c r="J63" s="439">
        <v>449.46586400265966</v>
      </c>
      <c r="K63" s="439">
        <v>434.4399837924758</v>
      </c>
      <c r="L63" s="439">
        <v>398.01115330099913</v>
      </c>
      <c r="M63" s="439">
        <v>356.34214942635913</v>
      </c>
      <c r="N63" s="439">
        <v>329.7992872149249</v>
      </c>
      <c r="O63" s="439">
        <v>368.93019741880141</v>
      </c>
      <c r="P63" s="439"/>
      <c r="Q63" s="439">
        <v>459.51454769756236</v>
      </c>
      <c r="R63" s="439">
        <v>288.55839061765857</v>
      </c>
      <c r="S63" s="439">
        <v>280.2559283676357</v>
      </c>
      <c r="T63" s="439">
        <v>277.55695575894003</v>
      </c>
      <c r="U63" s="439">
        <v>277.21945575894006</v>
      </c>
      <c r="V63" s="439">
        <v>289.05879161770463</v>
      </c>
      <c r="W63" s="439">
        <v>220.48491436100133</v>
      </c>
      <c r="X63" s="439">
        <v>266.98926218708829</v>
      </c>
      <c r="Y63" s="439">
        <v>260.24067420825043</v>
      </c>
      <c r="Z63" s="77">
        <v>278.46275362318841</v>
      </c>
      <c r="AA63" s="439">
        <v>368.71855072463768</v>
      </c>
      <c r="AB63" s="439">
        <v>463.04978354978357</v>
      </c>
      <c r="AC63" s="439">
        <v>304.25955204216075</v>
      </c>
      <c r="AD63" s="439">
        <v>492.53491436100131</v>
      </c>
      <c r="AE63" s="439">
        <v>392.49143610013175</v>
      </c>
      <c r="AF63" s="439">
        <v>633.18152067661185</v>
      </c>
      <c r="AG63" s="439">
        <v>847.13078878932197</v>
      </c>
      <c r="AH63" s="439">
        <v>7950</v>
      </c>
      <c r="AI63" s="439">
        <v>5160.5997971014494</v>
      </c>
      <c r="AJ63" s="439">
        <v>3862</v>
      </c>
      <c r="AK63" s="439">
        <v>9021</v>
      </c>
      <c r="AL63" s="439">
        <v>3100</v>
      </c>
      <c r="AM63" s="439">
        <v>88614</v>
      </c>
      <c r="AN63" s="439">
        <v>21123</v>
      </c>
      <c r="AO63" s="439">
        <v>119228</v>
      </c>
      <c r="AP63" s="439">
        <v>5100</v>
      </c>
      <c r="AQ63" s="78">
        <v>3585.95</v>
      </c>
    </row>
    <row r="64" spans="2:43" x14ac:dyDescent="0.25">
      <c r="B64" s="675" t="s">
        <v>666</v>
      </c>
      <c r="C64" s="791" t="s">
        <v>538</v>
      </c>
      <c r="D64" s="439">
        <v>872.31973060313373</v>
      </c>
      <c r="E64" s="439">
        <v>739.17600226718719</v>
      </c>
      <c r="F64" s="439">
        <v>855.2433536259357</v>
      </c>
      <c r="G64" s="439">
        <v>706.24882600291608</v>
      </c>
      <c r="H64" s="439">
        <v>854.29821481940292</v>
      </c>
      <c r="I64" s="439">
        <v>708.96660030279975</v>
      </c>
      <c r="J64" s="439">
        <v>711.17360759021471</v>
      </c>
      <c r="K64" s="439">
        <v>700.96031757456615</v>
      </c>
      <c r="L64" s="439">
        <v>810.16895307672246</v>
      </c>
      <c r="M64" s="439">
        <v>613.79199471547327</v>
      </c>
      <c r="N64" s="439">
        <v>769.30352713738796</v>
      </c>
      <c r="O64" s="439">
        <v>546.72660107878403</v>
      </c>
      <c r="P64" s="439"/>
      <c r="Q64" s="439">
        <v>741.65109138717662</v>
      </c>
      <c r="R64" s="439">
        <v>492.19927478742193</v>
      </c>
      <c r="S64" s="439">
        <v>458.47682163236431</v>
      </c>
      <c r="T64" s="439">
        <v>401.65884424105991</v>
      </c>
      <c r="U64" s="439">
        <v>391.15779424105995</v>
      </c>
      <c r="V64" s="439">
        <v>403.45787504896191</v>
      </c>
      <c r="W64" s="439">
        <v>479.5150856389987</v>
      </c>
      <c r="X64" s="439">
        <v>633.01073781291166</v>
      </c>
      <c r="Y64" s="439">
        <v>358.2730411052155</v>
      </c>
      <c r="Z64" s="77">
        <v>545.34924637681161</v>
      </c>
      <c r="AA64" s="439">
        <v>682.59344927536222</v>
      </c>
      <c r="AB64" s="439">
        <v>774.45021645021643</v>
      </c>
      <c r="AC64" s="439">
        <v>475.74044795783925</v>
      </c>
      <c r="AD64" s="439">
        <v>594.96508563899874</v>
      </c>
      <c r="AE64" s="439">
        <v>767.50856389986825</v>
      </c>
      <c r="AF64" s="439">
        <v>796.81847932338815</v>
      </c>
      <c r="AG64" s="439">
        <v>768.08357778885488</v>
      </c>
      <c r="AH64" s="439">
        <v>4349.9999999999982</v>
      </c>
      <c r="AI64" s="439">
        <v>2714.6502028985515</v>
      </c>
      <c r="AJ64" s="439">
        <v>1058</v>
      </c>
      <c r="AK64" s="439">
        <v>10979</v>
      </c>
      <c r="AL64" s="439">
        <v>15650</v>
      </c>
      <c r="AM64" s="439">
        <v>16386</v>
      </c>
      <c r="AN64" s="439">
        <v>51877</v>
      </c>
      <c r="AO64" s="439">
        <v>174700</v>
      </c>
      <c r="AP64" s="439">
        <v>8550</v>
      </c>
      <c r="AQ64" s="78">
        <v>3539.05</v>
      </c>
    </row>
    <row r="65" spans="2:45" ht="11" thickBot="1" x14ac:dyDescent="0.3">
      <c r="B65" s="678" t="s">
        <v>667</v>
      </c>
      <c r="C65" s="794"/>
      <c r="D65" s="810" t="s">
        <v>668</v>
      </c>
      <c r="E65" s="813" t="s">
        <v>668</v>
      </c>
      <c r="F65" s="813" t="s">
        <v>668</v>
      </c>
      <c r="G65" s="813" t="s">
        <v>668</v>
      </c>
      <c r="H65" s="813" t="s">
        <v>668</v>
      </c>
      <c r="I65" s="813" t="s">
        <v>668</v>
      </c>
      <c r="J65" s="813" t="s">
        <v>669</v>
      </c>
      <c r="K65" s="813" t="s">
        <v>668</v>
      </c>
      <c r="L65" s="813" t="s">
        <v>668</v>
      </c>
      <c r="M65" s="813" t="s">
        <v>669</v>
      </c>
      <c r="N65" s="813" t="s">
        <v>669</v>
      </c>
      <c r="O65" s="813" t="s">
        <v>668</v>
      </c>
      <c r="P65" s="813" t="s">
        <v>669</v>
      </c>
      <c r="Q65" s="813" t="s">
        <v>668</v>
      </c>
      <c r="R65" s="813" t="s">
        <v>669</v>
      </c>
      <c r="S65" s="813" t="s">
        <v>668</v>
      </c>
      <c r="T65" s="813" t="s">
        <v>669</v>
      </c>
      <c r="U65" s="813" t="s">
        <v>669</v>
      </c>
      <c r="V65" s="813" t="s">
        <v>669</v>
      </c>
      <c r="W65" s="813" t="s">
        <v>669</v>
      </c>
      <c r="X65" s="813" t="s">
        <v>668</v>
      </c>
      <c r="Y65" s="813" t="s">
        <v>669</v>
      </c>
      <c r="Z65" s="831" t="s">
        <v>669</v>
      </c>
      <c r="AA65" s="813" t="s">
        <v>669</v>
      </c>
      <c r="AB65" s="813" t="s">
        <v>669</v>
      </c>
      <c r="AC65" s="813" t="s">
        <v>669</v>
      </c>
      <c r="AD65" s="813" t="s">
        <v>669</v>
      </c>
      <c r="AE65" s="813" t="s">
        <v>669</v>
      </c>
      <c r="AF65" s="813" t="s">
        <v>669</v>
      </c>
      <c r="AG65" s="813" t="s">
        <v>668</v>
      </c>
      <c r="AH65" s="813" t="s">
        <v>668</v>
      </c>
      <c r="AI65" s="813" t="s">
        <v>668</v>
      </c>
      <c r="AJ65" s="813" t="s">
        <v>668</v>
      </c>
      <c r="AK65" s="813" t="s">
        <v>668</v>
      </c>
      <c r="AL65" s="813" t="s">
        <v>668</v>
      </c>
      <c r="AM65" s="813" t="s">
        <v>668</v>
      </c>
      <c r="AN65" s="813" t="s">
        <v>668</v>
      </c>
      <c r="AO65" s="813" t="s">
        <v>668</v>
      </c>
      <c r="AP65" s="813" t="s">
        <v>668</v>
      </c>
      <c r="AQ65" s="679" t="s">
        <v>668</v>
      </c>
    </row>
    <row r="66" spans="2:45" s="238" customFormat="1" x14ac:dyDescent="0.25">
      <c r="Z66" s="837"/>
      <c r="AA66" s="837"/>
      <c r="AB66" s="837"/>
      <c r="AC66" s="837"/>
      <c r="AD66" s="837"/>
      <c r="AE66" s="837"/>
      <c r="AF66" s="837"/>
      <c r="AG66" s="837"/>
      <c r="AH66" s="837"/>
      <c r="AI66" s="837"/>
      <c r="AJ66" s="837"/>
      <c r="AK66" s="837"/>
      <c r="AL66" s="837"/>
      <c r="AM66" s="837"/>
      <c r="AN66" s="837"/>
      <c r="AO66" s="837"/>
      <c r="AP66" s="837"/>
    </row>
    <row r="67" spans="2:45" s="238" customFormat="1" ht="11" thickBot="1" x14ac:dyDescent="0.3"/>
    <row r="68" spans="2:45" ht="32" thickBot="1" x14ac:dyDescent="0.3">
      <c r="B68" s="778" t="s">
        <v>680</v>
      </c>
      <c r="C68" s="779"/>
      <c r="D68" s="780" t="s">
        <v>541</v>
      </c>
      <c r="E68" s="781"/>
      <c r="F68" s="781"/>
      <c r="G68" s="781"/>
      <c r="H68" s="781"/>
      <c r="I68" s="781"/>
      <c r="J68" s="780" t="s">
        <v>551</v>
      </c>
      <c r="K68" s="780" t="s">
        <v>552</v>
      </c>
      <c r="L68" s="782"/>
      <c r="M68" s="780" t="s">
        <v>555</v>
      </c>
      <c r="N68" s="782"/>
      <c r="O68" s="783" t="s">
        <v>559</v>
      </c>
      <c r="P68" s="784" t="s">
        <v>561</v>
      </c>
      <c r="Q68" s="782"/>
      <c r="R68" s="782"/>
      <c r="S68" s="780" t="s">
        <v>563</v>
      </c>
      <c r="T68" s="780" t="s">
        <v>566</v>
      </c>
      <c r="U68" s="780" t="s">
        <v>567</v>
      </c>
      <c r="V68" s="784" t="s">
        <v>568</v>
      </c>
      <c r="W68" s="985"/>
      <c r="X68" s="986"/>
      <c r="Y68" s="986"/>
      <c r="Z68" s="986"/>
      <c r="AA68" s="986"/>
      <c r="AB68" s="986"/>
      <c r="AC68" s="986"/>
      <c r="AD68" s="986"/>
      <c r="AE68" s="986"/>
      <c r="AF68" s="986"/>
      <c r="AG68" s="986"/>
      <c r="AH68" s="986"/>
      <c r="AI68" s="780" t="s">
        <v>681</v>
      </c>
      <c r="AJ68" s="987"/>
      <c r="AK68" s="987"/>
      <c r="AL68" s="987"/>
      <c r="AM68" s="987"/>
      <c r="AN68" s="987"/>
      <c r="AO68" s="987"/>
      <c r="AP68" s="987"/>
      <c r="AQ68" s="987"/>
      <c r="AR68" s="988" t="s">
        <v>682</v>
      </c>
      <c r="AS68" s="1016" t="s">
        <v>683</v>
      </c>
    </row>
    <row r="69" spans="2:45" x14ac:dyDescent="0.25">
      <c r="B69" s="680" t="s">
        <v>684</v>
      </c>
      <c r="C69" s="661" t="s">
        <v>538</v>
      </c>
      <c r="D69" s="715">
        <f>D105</f>
        <v>870.19199999999989</v>
      </c>
      <c r="E69" s="681"/>
      <c r="F69" s="681"/>
      <c r="G69" s="681"/>
      <c r="H69" s="681"/>
      <c r="I69" s="681"/>
      <c r="J69" s="715">
        <f t="shared" ref="J69:V69" si="0">J105</f>
        <v>573.82100000000014</v>
      </c>
      <c r="K69" s="715">
        <f t="shared" si="0"/>
        <v>519.37729999999988</v>
      </c>
      <c r="L69" s="681"/>
      <c r="M69" s="715">
        <f t="shared" si="0"/>
        <v>532.40654999999992</v>
      </c>
      <c r="N69" s="681"/>
      <c r="O69" s="680">
        <f t="shared" si="0"/>
        <v>585.87876000000006</v>
      </c>
      <c r="P69" s="682">
        <f t="shared" si="0"/>
        <v>549.42200000000003</v>
      </c>
      <c r="Q69" s="681"/>
      <c r="R69" s="681"/>
      <c r="S69" s="715">
        <f t="shared" si="0"/>
        <v>485.93800000000005</v>
      </c>
      <c r="T69" s="715">
        <f t="shared" si="0"/>
        <v>101.71000000000004</v>
      </c>
      <c r="U69" s="715">
        <f t="shared" si="0"/>
        <v>192.35000000000002</v>
      </c>
      <c r="V69" s="682">
        <f t="shared" si="0"/>
        <v>155.74157997499998</v>
      </c>
      <c r="W69" s="973"/>
      <c r="X69" s="972"/>
      <c r="Y69" s="972"/>
      <c r="Z69" s="972"/>
      <c r="AA69" s="972"/>
      <c r="AB69" s="972"/>
      <c r="AC69" s="972"/>
      <c r="AD69" s="972"/>
      <c r="AE69" s="972"/>
      <c r="AF69" s="972"/>
      <c r="AG69" s="972"/>
      <c r="AH69" s="972"/>
      <c r="AI69" s="715">
        <f>AI105</f>
        <v>327.29999999999973</v>
      </c>
      <c r="AJ69" s="972"/>
      <c r="AK69" s="972"/>
      <c r="AL69" s="972"/>
      <c r="AM69" s="972"/>
      <c r="AN69" s="972"/>
      <c r="AO69" s="972"/>
      <c r="AP69" s="972"/>
      <c r="AQ69" s="972"/>
      <c r="AR69" s="715">
        <f>AR105</f>
        <v>-1110</v>
      </c>
      <c r="AS69" s="1013"/>
    </row>
    <row r="70" spans="2:45" x14ac:dyDescent="0.25">
      <c r="B70" s="680" t="s">
        <v>412</v>
      </c>
      <c r="C70" s="661" t="s">
        <v>538</v>
      </c>
      <c r="D70" s="715">
        <f>D103</f>
        <v>712.60199999999998</v>
      </c>
      <c r="E70" s="681"/>
      <c r="F70" s="681"/>
      <c r="G70" s="681"/>
      <c r="H70" s="681"/>
      <c r="I70" s="681"/>
      <c r="J70" s="715">
        <f t="shared" ref="J70:T71" si="1">J103</f>
        <v>465.71220000000011</v>
      </c>
      <c r="K70" s="715">
        <f t="shared" si="1"/>
        <v>427.62490000000008</v>
      </c>
      <c r="L70" s="681"/>
      <c r="M70" s="715">
        <f t="shared" si="1"/>
        <v>440.65415000000007</v>
      </c>
      <c r="N70" s="681"/>
      <c r="O70" s="680">
        <f t="shared" si="1"/>
        <v>488.72916000000009</v>
      </c>
      <c r="P70" s="682"/>
      <c r="Q70" s="681"/>
      <c r="R70" s="681"/>
      <c r="S70" s="715">
        <f t="shared" si="1"/>
        <v>352.55300000000005</v>
      </c>
      <c r="T70" s="715">
        <f t="shared" si="1"/>
        <v>43.618000000000052</v>
      </c>
      <c r="U70" s="715"/>
      <c r="V70" s="682"/>
      <c r="W70" s="973"/>
      <c r="X70" s="972"/>
      <c r="Y70" s="972"/>
      <c r="Z70" s="972"/>
      <c r="AA70" s="972"/>
      <c r="AB70" s="972"/>
      <c r="AC70" s="972"/>
      <c r="AD70" s="972"/>
      <c r="AE70" s="972"/>
      <c r="AF70" s="972"/>
      <c r="AG70" s="972"/>
      <c r="AH70" s="972"/>
      <c r="AI70" s="715">
        <f>AI103</f>
        <v>-478.15999999999985</v>
      </c>
      <c r="AJ70" s="972"/>
      <c r="AK70" s="972"/>
      <c r="AL70" s="972"/>
      <c r="AM70" s="972"/>
      <c r="AN70" s="972"/>
      <c r="AO70" s="972"/>
      <c r="AP70" s="972"/>
      <c r="AQ70" s="972"/>
      <c r="AR70" s="715">
        <f>AR103</f>
        <v>3100</v>
      </c>
      <c r="AS70" s="1012"/>
    </row>
    <row r="71" spans="2:45" x14ac:dyDescent="0.25">
      <c r="B71" s="680" t="s">
        <v>414</v>
      </c>
      <c r="C71" s="661" t="s">
        <v>538</v>
      </c>
      <c r="D71" s="715">
        <f>D104</f>
        <v>1027.7819999999999</v>
      </c>
      <c r="E71" s="681"/>
      <c r="F71" s="681"/>
      <c r="G71" s="681"/>
      <c r="H71" s="681"/>
      <c r="I71" s="681"/>
      <c r="J71" s="715">
        <f t="shared" si="1"/>
        <v>681.92980000000011</v>
      </c>
      <c r="K71" s="715">
        <f t="shared" si="1"/>
        <v>611.12969999999996</v>
      </c>
      <c r="L71" s="681"/>
      <c r="M71" s="715">
        <f t="shared" si="1"/>
        <v>624.15895</v>
      </c>
      <c r="N71" s="681"/>
      <c r="O71" s="680">
        <f t="shared" si="1"/>
        <v>683.02836000000002</v>
      </c>
      <c r="P71" s="682"/>
      <c r="Q71" s="681"/>
      <c r="R71" s="681"/>
      <c r="S71" s="715">
        <f t="shared" si="1"/>
        <v>619.32300000000009</v>
      </c>
      <c r="T71" s="715">
        <f t="shared" si="1"/>
        <v>159.80199999999996</v>
      </c>
      <c r="U71" s="715"/>
      <c r="V71" s="682"/>
      <c r="W71" s="973"/>
      <c r="X71" s="972"/>
      <c r="Y71" s="972"/>
      <c r="Z71" s="972"/>
      <c r="AA71" s="972"/>
      <c r="AB71" s="972"/>
      <c r="AC71" s="972"/>
      <c r="AD71" s="972"/>
      <c r="AE71" s="972"/>
      <c r="AF71" s="972"/>
      <c r="AG71" s="972"/>
      <c r="AH71" s="972"/>
      <c r="AI71" s="715">
        <f>AI104</f>
        <v>1132.7599999999993</v>
      </c>
      <c r="AJ71" s="972"/>
      <c r="AK71" s="972"/>
      <c r="AL71" s="972"/>
      <c r="AM71" s="972"/>
      <c r="AN71" s="972"/>
      <c r="AO71" s="972"/>
      <c r="AP71" s="972"/>
      <c r="AQ71" s="972"/>
      <c r="AR71" s="715">
        <f>AR104</f>
        <v>7780</v>
      </c>
      <c r="AS71" s="1014"/>
    </row>
    <row r="72" spans="2:45" x14ac:dyDescent="0.25">
      <c r="B72" s="680" t="s">
        <v>216</v>
      </c>
      <c r="C72" s="661" t="s">
        <v>538</v>
      </c>
      <c r="D72" s="715">
        <f>D107</f>
        <v>2.9939712000000003</v>
      </c>
      <c r="E72" s="681"/>
      <c r="F72" s="681"/>
      <c r="G72" s="681"/>
      <c r="H72" s="681"/>
      <c r="I72" s="681"/>
      <c r="J72" s="715">
        <f t="shared" ref="J72:V72" si="2">J107</f>
        <v>3.2474599999999998</v>
      </c>
      <c r="K72" s="715">
        <f t="shared" si="2"/>
        <v>3.3893560800000007</v>
      </c>
      <c r="L72" s="681"/>
      <c r="M72" s="715">
        <f t="shared" si="2"/>
        <v>2.2771090000000003</v>
      </c>
      <c r="N72" s="681"/>
      <c r="O72" s="680">
        <f t="shared" si="2"/>
        <v>2.4973848000000003</v>
      </c>
      <c r="P72" s="682">
        <f t="shared" si="2"/>
        <v>3.0287599999999997</v>
      </c>
      <c r="Q72" s="681"/>
      <c r="R72" s="681"/>
      <c r="S72" s="715">
        <f t="shared" si="2"/>
        <v>4.7780568000000008</v>
      </c>
      <c r="T72" s="715">
        <f t="shared" si="2"/>
        <v>4.9830000000000005</v>
      </c>
      <c r="U72" s="715">
        <f t="shared" si="2"/>
        <v>3.7749999999999999</v>
      </c>
      <c r="V72" s="682">
        <f t="shared" si="2"/>
        <v>4.5071684005000012</v>
      </c>
      <c r="W72" s="973"/>
      <c r="X72" s="972"/>
      <c r="Y72" s="972"/>
      <c r="Z72" s="972"/>
      <c r="AA72" s="972"/>
      <c r="AB72" s="972"/>
      <c r="AC72" s="972"/>
      <c r="AD72" s="972"/>
      <c r="AE72" s="972"/>
      <c r="AF72" s="972"/>
      <c r="AG72" s="972"/>
      <c r="AH72" s="972"/>
      <c r="AI72" s="715">
        <f>AI107</f>
        <v>74</v>
      </c>
      <c r="AJ72" s="972"/>
      <c r="AK72" s="972"/>
      <c r="AL72" s="972"/>
      <c r="AM72" s="972"/>
      <c r="AN72" s="972"/>
      <c r="AO72" s="972"/>
      <c r="AP72" s="972"/>
      <c r="AQ72" s="972"/>
      <c r="AR72" s="715">
        <f>AR107</f>
        <v>125.2</v>
      </c>
      <c r="AS72" s="1014"/>
    </row>
    <row r="73" spans="2:45" x14ac:dyDescent="0.25">
      <c r="B73" s="683"/>
      <c r="C73" s="684"/>
      <c r="D73" s="716"/>
      <c r="E73" s="685"/>
      <c r="F73" s="685"/>
      <c r="G73" s="685"/>
      <c r="H73" s="685"/>
      <c r="I73" s="1"/>
      <c r="J73" s="758"/>
      <c r="K73" s="758"/>
      <c r="L73" s="685"/>
      <c r="M73" s="758"/>
      <c r="N73" s="685"/>
      <c r="O73" s="5"/>
      <c r="P73" s="6"/>
      <c r="Q73" s="685"/>
      <c r="R73" s="685"/>
      <c r="S73" s="758"/>
      <c r="T73" s="758"/>
      <c r="U73" s="758"/>
      <c r="V73" s="6"/>
      <c r="W73" s="683"/>
      <c r="AA73" s="45"/>
      <c r="AB73" s="45"/>
      <c r="AC73" s="45"/>
      <c r="AD73" s="45"/>
      <c r="AE73" s="45"/>
      <c r="AF73" s="45"/>
      <c r="AG73" s="45"/>
      <c r="AH73" s="45"/>
      <c r="AI73" s="758"/>
      <c r="AJ73" s="45"/>
      <c r="AK73" s="45"/>
      <c r="AL73" s="45"/>
      <c r="AM73" s="45"/>
      <c r="AN73" s="45"/>
      <c r="AO73" s="45"/>
      <c r="AP73" s="45"/>
      <c r="AR73" s="758"/>
      <c r="AS73" s="746"/>
    </row>
    <row r="74" spans="2:45" x14ac:dyDescent="0.25">
      <c r="B74" s="665" t="s">
        <v>685</v>
      </c>
      <c r="C74" s="686" t="s">
        <v>495</v>
      </c>
      <c r="D74" s="744">
        <f>D5*D75</f>
        <v>154.5</v>
      </c>
      <c r="E74" s="687"/>
      <c r="F74" s="687"/>
      <c r="G74" s="687"/>
      <c r="H74" s="259"/>
      <c r="I74" s="259"/>
      <c r="J74" s="744">
        <f t="shared" ref="J74:K74" si="3">J5*J75</f>
        <v>168.92000000000002</v>
      </c>
      <c r="K74" s="744">
        <f t="shared" si="3"/>
        <v>134.93</v>
      </c>
      <c r="L74" s="687"/>
      <c r="M74" s="744">
        <f>M5*M75</f>
        <v>134.93</v>
      </c>
      <c r="N74" s="687"/>
      <c r="O74" s="744">
        <f t="shared" ref="O74:P74" si="4">O5*O75</f>
        <v>134.93</v>
      </c>
      <c r="P74" s="744">
        <f t="shared" si="4"/>
        <v>144.20000000000002</v>
      </c>
      <c r="Q74" s="687"/>
      <c r="R74" s="687"/>
      <c r="S74" s="744">
        <f t="shared" ref="S74:V74" si="5">S5*S75</f>
        <v>190.55</v>
      </c>
      <c r="T74" s="744">
        <f t="shared" si="5"/>
        <v>193.64000000000001</v>
      </c>
      <c r="U74" s="744">
        <f t="shared" si="5"/>
        <v>190.55</v>
      </c>
      <c r="V74" s="744">
        <f t="shared" si="5"/>
        <v>190.55</v>
      </c>
      <c r="W74" s="974"/>
      <c r="AA74" s="45"/>
      <c r="AB74" s="45"/>
      <c r="AC74" s="45"/>
      <c r="AD74" s="45"/>
      <c r="AE74" s="45"/>
      <c r="AF74" s="45"/>
      <c r="AG74" s="45"/>
      <c r="AH74" s="45"/>
      <c r="AI74" s="744">
        <f>AI5*AI75</f>
        <v>175.1</v>
      </c>
      <c r="AJ74" s="45"/>
      <c r="AK74" s="45"/>
      <c r="AL74" s="45"/>
      <c r="AM74" s="45"/>
      <c r="AN74" s="45"/>
      <c r="AO74" s="45"/>
      <c r="AP74" s="45"/>
      <c r="AR74" s="744">
        <f>200*AR75</f>
        <v>206</v>
      </c>
      <c r="AS74" s="744">
        <f>700*AS75</f>
        <v>721</v>
      </c>
    </row>
    <row r="75" spans="2:45" x14ac:dyDescent="0.25">
      <c r="B75" s="667" t="s">
        <v>986</v>
      </c>
      <c r="C75" s="686" t="s">
        <v>495</v>
      </c>
      <c r="D75" s="745">
        <f>$C$110</f>
        <v>1.03</v>
      </c>
      <c r="E75" s="688"/>
      <c r="F75" s="688"/>
      <c r="G75" s="688"/>
      <c r="H75" s="258"/>
      <c r="I75" s="258"/>
      <c r="J75" s="745">
        <f t="shared" ref="J75:K75" si="6">$C$110</f>
        <v>1.03</v>
      </c>
      <c r="K75" s="745">
        <f t="shared" si="6"/>
        <v>1.03</v>
      </c>
      <c r="L75" s="688"/>
      <c r="M75" s="745">
        <f>$C$110</f>
        <v>1.03</v>
      </c>
      <c r="N75" s="688"/>
      <c r="O75" s="745">
        <f t="shared" ref="O75:P75" si="7">$C$110</f>
        <v>1.03</v>
      </c>
      <c r="P75" s="745">
        <f t="shared" si="7"/>
        <v>1.03</v>
      </c>
      <c r="Q75" s="688"/>
      <c r="R75" s="688"/>
      <c r="S75" s="745">
        <f t="shared" ref="S75:V75" si="8">$C$110</f>
        <v>1.03</v>
      </c>
      <c r="T75" s="745">
        <f t="shared" si="8"/>
        <v>1.03</v>
      </c>
      <c r="U75" s="745">
        <f t="shared" si="8"/>
        <v>1.03</v>
      </c>
      <c r="V75" s="745">
        <f t="shared" si="8"/>
        <v>1.03</v>
      </c>
      <c r="W75" s="975"/>
      <c r="AA75" s="45"/>
      <c r="AB75" s="45"/>
      <c r="AC75" s="45"/>
      <c r="AD75" s="45"/>
      <c r="AE75" s="45"/>
      <c r="AF75" s="45"/>
      <c r="AG75" s="45"/>
      <c r="AH75" s="45"/>
      <c r="AI75" s="745">
        <f>$C$110</f>
        <v>1.03</v>
      </c>
      <c r="AJ75" s="45"/>
      <c r="AK75" s="45"/>
      <c r="AL75" s="45"/>
      <c r="AM75" s="45"/>
      <c r="AN75" s="45"/>
      <c r="AO75" s="45"/>
      <c r="AP75" s="45"/>
      <c r="AR75" s="745">
        <f t="shared" ref="AR75:AS75" si="9">$C$110</f>
        <v>1.03</v>
      </c>
      <c r="AS75" s="745">
        <f t="shared" si="9"/>
        <v>1.03</v>
      </c>
    </row>
    <row r="76" spans="2:45" x14ac:dyDescent="0.25">
      <c r="B76" s="667" t="s">
        <v>687</v>
      </c>
      <c r="C76" s="686" t="s">
        <v>449</v>
      </c>
      <c r="D76" s="745">
        <v>1</v>
      </c>
      <c r="E76" s="688"/>
      <c r="F76" s="688"/>
      <c r="G76" s="688"/>
      <c r="H76" s="258"/>
      <c r="I76" s="258"/>
      <c r="J76" s="745">
        <v>1</v>
      </c>
      <c r="K76" s="745">
        <v>1</v>
      </c>
      <c r="L76" s="688"/>
      <c r="M76" s="745">
        <v>1</v>
      </c>
      <c r="N76" s="688"/>
      <c r="O76" s="745">
        <v>1</v>
      </c>
      <c r="P76" s="745">
        <v>1</v>
      </c>
      <c r="Q76" s="688"/>
      <c r="R76" s="688"/>
      <c r="S76" s="745">
        <v>1</v>
      </c>
      <c r="T76" s="745">
        <v>1</v>
      </c>
      <c r="U76" s="745">
        <v>1</v>
      </c>
      <c r="V76" s="745">
        <v>1</v>
      </c>
      <c r="W76" s="975"/>
      <c r="AA76" s="45"/>
      <c r="AB76" s="45"/>
      <c r="AC76" s="45"/>
      <c r="AD76" s="45"/>
      <c r="AE76" s="45"/>
      <c r="AF76" s="45"/>
      <c r="AG76" s="45"/>
      <c r="AH76" s="45"/>
      <c r="AI76" s="745"/>
      <c r="AJ76" s="45"/>
      <c r="AK76" s="45"/>
      <c r="AL76" s="45"/>
      <c r="AM76" s="45"/>
      <c r="AN76" s="45"/>
      <c r="AO76" s="45"/>
      <c r="AP76" s="45"/>
      <c r="AR76" s="745"/>
      <c r="AS76" s="745"/>
    </row>
    <row r="77" spans="2:45" x14ac:dyDescent="0.25">
      <c r="B77" s="668" t="s">
        <v>688</v>
      </c>
      <c r="C77" s="690"/>
      <c r="D77" s="746"/>
      <c r="E77" s="155"/>
      <c r="F77" s="155"/>
      <c r="G77" s="155"/>
      <c r="H77" s="155"/>
      <c r="I77" s="155"/>
      <c r="J77" s="746"/>
      <c r="K77" s="746"/>
      <c r="L77" s="155"/>
      <c r="M77" s="746"/>
      <c r="N77" s="155"/>
      <c r="O77" s="46"/>
      <c r="P77" s="153"/>
      <c r="Q77" s="155"/>
      <c r="R77" s="155"/>
      <c r="S77" s="746"/>
      <c r="T77" s="746"/>
      <c r="U77" s="746"/>
      <c r="V77" s="153"/>
      <c r="W77" s="46"/>
      <c r="AA77" s="45"/>
      <c r="AB77" s="45"/>
      <c r="AC77" s="45"/>
      <c r="AD77" s="45"/>
      <c r="AE77" s="45"/>
      <c r="AF77" s="45"/>
      <c r="AG77" s="45"/>
      <c r="AH77" s="45"/>
      <c r="AI77" s="811"/>
      <c r="AJ77" s="45"/>
      <c r="AK77" s="45"/>
      <c r="AL77" s="45"/>
      <c r="AM77" s="45"/>
      <c r="AN77" s="45"/>
      <c r="AO77" s="45"/>
      <c r="AP77" s="45"/>
      <c r="AR77" s="989"/>
      <c r="AS77" s="1019"/>
    </row>
    <row r="78" spans="2:45" x14ac:dyDescent="0.25">
      <c r="B78" s="670" t="s">
        <v>412</v>
      </c>
      <c r="C78" s="392" t="s">
        <v>539</v>
      </c>
      <c r="D78" s="747">
        <f>D80*80%</f>
        <v>4.08</v>
      </c>
      <c r="E78" s="692"/>
      <c r="F78" s="692"/>
      <c r="G78" s="692"/>
      <c r="H78" s="691"/>
      <c r="I78" s="691"/>
      <c r="J78" s="747">
        <f>J80*80%</f>
        <v>2.5600000000000005</v>
      </c>
      <c r="K78" s="747">
        <f>K80*80%</f>
        <v>2.72</v>
      </c>
      <c r="L78" s="692"/>
      <c r="M78" s="747">
        <f>M80*80%</f>
        <v>2.72</v>
      </c>
      <c r="N78" s="692"/>
      <c r="O78" s="763">
        <f>O80*80%</f>
        <v>2.8800000000000003</v>
      </c>
      <c r="P78" s="693"/>
      <c r="Q78" s="692"/>
      <c r="R78" s="692"/>
      <c r="S78" s="747">
        <f>S80*80%</f>
        <v>2.8000000000000003</v>
      </c>
      <c r="T78" s="747">
        <f>T80*80%</f>
        <v>1.2000000000000002</v>
      </c>
      <c r="U78" s="747"/>
      <c r="V78" s="693"/>
      <c r="W78" s="976"/>
      <c r="AA78" s="45"/>
      <c r="AB78" s="45"/>
      <c r="AC78" s="45"/>
      <c r="AD78" s="45"/>
      <c r="AE78" s="45"/>
      <c r="AF78" s="45"/>
      <c r="AG78" s="45"/>
      <c r="AH78" s="45"/>
      <c r="AI78" s="747">
        <f>AI80*80%</f>
        <v>18.400000000000002</v>
      </c>
      <c r="AJ78" s="45"/>
      <c r="AK78" s="45"/>
      <c r="AL78" s="45"/>
      <c r="AM78" s="45"/>
      <c r="AN78" s="45"/>
      <c r="AO78" s="45"/>
      <c r="AP78" s="45"/>
      <c r="AR78" s="747">
        <f>AR80*0.8</f>
        <v>20</v>
      </c>
      <c r="AS78" s="1018"/>
    </row>
    <row r="79" spans="2:45" x14ac:dyDescent="0.25">
      <c r="B79" s="670" t="s">
        <v>414</v>
      </c>
      <c r="C79" s="392" t="s">
        <v>539</v>
      </c>
      <c r="D79" s="747">
        <f>D80*120%</f>
        <v>6.1199999999999992</v>
      </c>
      <c r="E79" s="692"/>
      <c r="F79" s="692"/>
      <c r="G79" s="692"/>
      <c r="H79" s="691"/>
      <c r="I79" s="691"/>
      <c r="J79" s="747">
        <f>J80*120%</f>
        <v>3.84</v>
      </c>
      <c r="K79" s="747">
        <f>K80*120%</f>
        <v>4.08</v>
      </c>
      <c r="L79" s="692"/>
      <c r="M79" s="747">
        <f>M80*120%</f>
        <v>4.08</v>
      </c>
      <c r="N79" s="692"/>
      <c r="O79" s="763">
        <f>O80*120%</f>
        <v>4.32</v>
      </c>
      <c r="P79" s="693"/>
      <c r="Q79" s="692"/>
      <c r="R79" s="692"/>
      <c r="S79" s="747">
        <f>S80*120%</f>
        <v>4.2</v>
      </c>
      <c r="T79" s="747">
        <f>T80*120%</f>
        <v>1.7999999999999998</v>
      </c>
      <c r="U79" s="747"/>
      <c r="V79" s="693"/>
      <c r="W79" s="976"/>
      <c r="AA79" s="45"/>
      <c r="AB79" s="45"/>
      <c r="AC79" s="45"/>
      <c r="AD79" s="45"/>
      <c r="AE79" s="45"/>
      <c r="AF79" s="45"/>
      <c r="AG79" s="45"/>
      <c r="AH79" s="45"/>
      <c r="AI79" s="747">
        <f>AI80*120%</f>
        <v>27.599999999999998</v>
      </c>
      <c r="AJ79" s="45"/>
      <c r="AK79" s="45"/>
      <c r="AL79" s="45"/>
      <c r="AM79" s="45"/>
      <c r="AN79" s="45"/>
      <c r="AO79" s="45"/>
      <c r="AP79" s="45"/>
      <c r="AR79" s="747">
        <f>AR80*1.2</f>
        <v>30</v>
      </c>
      <c r="AS79" s="1018"/>
    </row>
    <row r="80" spans="2:45" x14ac:dyDescent="0.25">
      <c r="B80" s="667" t="s">
        <v>620</v>
      </c>
      <c r="C80" s="392" t="s">
        <v>539</v>
      </c>
      <c r="D80" s="748">
        <v>5.0999999999999996</v>
      </c>
      <c r="E80" s="695" t="s">
        <v>690</v>
      </c>
      <c r="F80" s="694"/>
      <c r="G80" s="694"/>
      <c r="H80" s="23"/>
      <c r="I80" s="23"/>
      <c r="J80" s="759">
        <v>3.2</v>
      </c>
      <c r="K80" s="759">
        <v>3.4</v>
      </c>
      <c r="L80" s="695" t="s">
        <v>690</v>
      </c>
      <c r="M80" s="759">
        <v>3.4</v>
      </c>
      <c r="N80" s="695" t="s">
        <v>690</v>
      </c>
      <c r="O80" s="764">
        <v>3.6</v>
      </c>
      <c r="P80" s="696">
        <v>3.3</v>
      </c>
      <c r="Q80" s="695"/>
      <c r="R80" s="694"/>
      <c r="S80" s="759">
        <v>3.5</v>
      </c>
      <c r="T80" s="759">
        <v>1.5</v>
      </c>
      <c r="U80" s="759">
        <v>2</v>
      </c>
      <c r="V80" s="696">
        <v>2</v>
      </c>
      <c r="W80" s="977"/>
      <c r="AA80" s="45"/>
      <c r="AB80" s="45"/>
      <c r="AC80" s="45"/>
      <c r="AD80" s="45"/>
      <c r="AE80" s="45"/>
      <c r="AF80" s="45"/>
      <c r="AG80" s="45"/>
      <c r="AH80" s="45"/>
      <c r="AI80" s="759">
        <v>23</v>
      </c>
      <c r="AJ80" s="45"/>
      <c r="AK80" s="45"/>
      <c r="AL80" s="45"/>
      <c r="AM80" s="45"/>
      <c r="AN80" s="45"/>
      <c r="AO80" s="45"/>
      <c r="AP80" s="45"/>
      <c r="AR80" s="760">
        <v>25</v>
      </c>
      <c r="AS80" s="1017">
        <v>11.9</v>
      </c>
    </row>
    <row r="81" spans="2:46" x14ac:dyDescent="0.25">
      <c r="B81" s="667" t="s">
        <v>625</v>
      </c>
      <c r="C81" s="392" t="s">
        <v>539</v>
      </c>
      <c r="D81" s="749">
        <v>3.01</v>
      </c>
      <c r="E81" s="697"/>
      <c r="F81" s="697"/>
      <c r="G81" s="697"/>
      <c r="H81" s="672"/>
      <c r="I81" s="672"/>
      <c r="J81" s="749">
        <v>3.01</v>
      </c>
      <c r="K81" s="749">
        <v>2.52</v>
      </c>
      <c r="L81" s="697"/>
      <c r="M81" s="749">
        <v>2.5</v>
      </c>
      <c r="N81" s="697"/>
      <c r="O81" s="765">
        <v>3</v>
      </c>
      <c r="P81" s="766">
        <v>3</v>
      </c>
      <c r="Q81" s="697"/>
      <c r="R81" s="697"/>
      <c r="S81" s="759">
        <v>0</v>
      </c>
      <c r="T81" s="759">
        <v>0</v>
      </c>
      <c r="U81" s="759"/>
      <c r="V81" s="696"/>
      <c r="W81" s="978"/>
      <c r="AA81" s="45"/>
      <c r="AB81" s="45"/>
      <c r="AC81" s="45"/>
      <c r="AD81" s="45"/>
      <c r="AE81" s="45"/>
      <c r="AF81" s="45"/>
      <c r="AG81" s="45"/>
      <c r="AH81" s="45"/>
      <c r="AI81" s="749"/>
      <c r="AJ81" s="45"/>
      <c r="AK81" s="45"/>
      <c r="AL81" s="45"/>
      <c r="AM81" s="45"/>
      <c r="AN81" s="45"/>
      <c r="AO81" s="45"/>
      <c r="AP81" s="45"/>
      <c r="AR81" s="989"/>
      <c r="AS81" s="746"/>
    </row>
    <row r="82" spans="2:46" x14ac:dyDescent="0.25">
      <c r="B82" s="667" t="s">
        <v>626</v>
      </c>
      <c r="C82" s="698" t="s">
        <v>495</v>
      </c>
      <c r="D82" s="750">
        <v>65</v>
      </c>
      <c r="E82" s="176"/>
      <c r="F82" s="699"/>
      <c r="G82" s="699"/>
      <c r="H82" s="700"/>
      <c r="I82" s="700"/>
      <c r="J82" s="750">
        <v>65</v>
      </c>
      <c r="K82" s="750">
        <v>75</v>
      </c>
      <c r="L82" s="699"/>
      <c r="M82" s="750">
        <v>75</v>
      </c>
      <c r="N82" s="699"/>
      <c r="O82" s="767">
        <v>75</v>
      </c>
      <c r="P82" s="768">
        <v>75</v>
      </c>
      <c r="Q82" s="699"/>
      <c r="R82" s="699"/>
      <c r="S82" s="776">
        <v>0</v>
      </c>
      <c r="T82" s="776">
        <v>0</v>
      </c>
      <c r="U82" s="776"/>
      <c r="V82" s="701"/>
      <c r="W82" s="979"/>
      <c r="AA82" s="45"/>
      <c r="AB82" s="45"/>
      <c r="AC82" s="45"/>
      <c r="AD82" s="45"/>
      <c r="AE82" s="45"/>
      <c r="AF82" s="45"/>
      <c r="AG82" s="45"/>
      <c r="AH82" s="45"/>
      <c r="AI82" s="776"/>
      <c r="AJ82" s="45"/>
      <c r="AK82" s="45"/>
      <c r="AL82" s="45"/>
      <c r="AM82" s="45"/>
      <c r="AN82" s="45"/>
      <c r="AO82" s="45"/>
      <c r="AP82" s="45"/>
      <c r="AR82" s="756"/>
      <c r="AS82" s="1011"/>
    </row>
    <row r="83" spans="2:46" x14ac:dyDescent="0.25">
      <c r="B83" s="702" t="s">
        <v>628</v>
      </c>
      <c r="C83" s="177" t="s">
        <v>538</v>
      </c>
      <c r="D83" s="751">
        <f>(D74*D78)+(D81*D82)</f>
        <v>826.01</v>
      </c>
      <c r="E83" s="178"/>
      <c r="F83" s="178"/>
      <c r="G83" s="178"/>
      <c r="H83" s="178"/>
      <c r="I83" s="178"/>
      <c r="J83" s="751">
        <f t="shared" ref="J83:T83" si="10">(J74*J78)+(J81*J82)</f>
        <v>628.0852000000001</v>
      </c>
      <c r="K83" s="751">
        <f t="shared" si="10"/>
        <v>556.00960000000009</v>
      </c>
      <c r="L83" s="178"/>
      <c r="M83" s="751">
        <f t="shared" si="10"/>
        <v>554.50960000000009</v>
      </c>
      <c r="N83" s="178"/>
      <c r="O83" s="769">
        <f t="shared" si="10"/>
        <v>613.59840000000008</v>
      </c>
      <c r="P83" s="703">
        <f t="shared" si="10"/>
        <v>225</v>
      </c>
      <c r="Q83" s="178"/>
      <c r="R83" s="178"/>
      <c r="S83" s="751">
        <f t="shared" si="10"/>
        <v>533.54000000000008</v>
      </c>
      <c r="T83" s="751">
        <f t="shared" si="10"/>
        <v>232.36800000000005</v>
      </c>
      <c r="U83" s="751"/>
      <c r="V83" s="703"/>
      <c r="W83" s="980"/>
      <c r="AA83" s="45"/>
      <c r="AB83" s="45"/>
      <c r="AC83" s="45"/>
      <c r="AD83" s="45"/>
      <c r="AE83" s="45"/>
      <c r="AF83" s="45"/>
      <c r="AG83" s="45"/>
      <c r="AH83" s="45"/>
      <c r="AI83" s="751">
        <f>AI74*AI78</f>
        <v>3221.84</v>
      </c>
      <c r="AJ83" s="45"/>
      <c r="AK83" s="45"/>
      <c r="AL83" s="45"/>
      <c r="AM83" s="45"/>
      <c r="AN83" s="45"/>
      <c r="AO83" s="45"/>
      <c r="AP83" s="45"/>
      <c r="AR83" s="990">
        <v>9360</v>
      </c>
      <c r="AS83" s="1010"/>
    </row>
    <row r="84" spans="2:46" x14ac:dyDescent="0.25">
      <c r="B84" s="702" t="s">
        <v>629</v>
      </c>
      <c r="C84" s="177" t="s">
        <v>538</v>
      </c>
      <c r="D84" s="751">
        <f>(D74*D79)+(D81*D82)</f>
        <v>1141.1899999999998</v>
      </c>
      <c r="E84" s="178"/>
      <c r="F84" s="178"/>
      <c r="G84" s="178"/>
      <c r="H84" s="178"/>
      <c r="I84" s="178"/>
      <c r="J84" s="751">
        <f t="shared" ref="J84:T84" si="11">(J74*J79)+(J81*J82)</f>
        <v>844.30280000000005</v>
      </c>
      <c r="K84" s="751">
        <f t="shared" si="11"/>
        <v>739.51440000000002</v>
      </c>
      <c r="L84" s="178"/>
      <c r="M84" s="751">
        <f t="shared" si="11"/>
        <v>738.01440000000002</v>
      </c>
      <c r="N84" s="178"/>
      <c r="O84" s="769">
        <f t="shared" si="11"/>
        <v>807.89760000000001</v>
      </c>
      <c r="P84" s="703">
        <f t="shared" si="11"/>
        <v>225</v>
      </c>
      <c r="Q84" s="178"/>
      <c r="R84" s="178"/>
      <c r="S84" s="751">
        <f t="shared" si="11"/>
        <v>800.31000000000006</v>
      </c>
      <c r="T84" s="751">
        <f t="shared" si="11"/>
        <v>348.55199999999996</v>
      </c>
      <c r="U84" s="751"/>
      <c r="V84" s="703"/>
      <c r="W84" s="980"/>
      <c r="AA84" s="45"/>
      <c r="AB84" s="45"/>
      <c r="AC84" s="45"/>
      <c r="AD84" s="45"/>
      <c r="AE84" s="45"/>
      <c r="AF84" s="45"/>
      <c r="AG84" s="45"/>
      <c r="AH84" s="45"/>
      <c r="AI84" s="751">
        <f>AI79*AI74</f>
        <v>4832.7599999999993</v>
      </c>
      <c r="AJ84" s="45"/>
      <c r="AK84" s="45"/>
      <c r="AL84" s="45"/>
      <c r="AM84" s="45"/>
      <c r="AN84" s="45"/>
      <c r="AO84" s="45"/>
      <c r="AP84" s="45"/>
      <c r="AR84" s="990">
        <v>14040</v>
      </c>
      <c r="AS84" s="1010"/>
    </row>
    <row r="85" spans="2:46" x14ac:dyDescent="0.25">
      <c r="B85" s="675" t="s">
        <v>630</v>
      </c>
      <c r="C85" s="179" t="s">
        <v>538</v>
      </c>
      <c r="D85" s="439">
        <f>(D74*D80)+(D81*D82)</f>
        <v>983.59999999999991</v>
      </c>
      <c r="E85" s="79"/>
      <c r="F85" s="79"/>
      <c r="G85" s="79"/>
      <c r="H85" s="79"/>
      <c r="I85" s="79"/>
      <c r="J85" s="439">
        <f t="shared" ref="J85:V85" si="12">(J74*J80)+(J81*J82)</f>
        <v>736.19400000000007</v>
      </c>
      <c r="K85" s="439">
        <f t="shared" si="12"/>
        <v>647.76199999999994</v>
      </c>
      <c r="L85" s="79"/>
      <c r="M85" s="439">
        <f t="shared" si="12"/>
        <v>646.26199999999994</v>
      </c>
      <c r="N85" s="79"/>
      <c r="O85" s="77">
        <f t="shared" si="12"/>
        <v>710.74800000000005</v>
      </c>
      <c r="P85" s="78">
        <f t="shared" si="12"/>
        <v>700.86</v>
      </c>
      <c r="Q85" s="79"/>
      <c r="R85" s="79"/>
      <c r="S85" s="439">
        <f t="shared" si="12"/>
        <v>666.92500000000007</v>
      </c>
      <c r="T85" s="439">
        <f t="shared" si="12"/>
        <v>290.46000000000004</v>
      </c>
      <c r="U85" s="439">
        <f t="shared" si="12"/>
        <v>381.1</v>
      </c>
      <c r="V85" s="78">
        <f t="shared" si="12"/>
        <v>381.1</v>
      </c>
      <c r="W85" s="980"/>
      <c r="AA85" s="45"/>
      <c r="AB85" s="45"/>
      <c r="AC85" s="45"/>
      <c r="AD85" s="45"/>
      <c r="AE85" s="45"/>
      <c r="AF85" s="45"/>
      <c r="AG85" s="45"/>
      <c r="AH85" s="45"/>
      <c r="AI85" s="439">
        <f>AI74*AI80</f>
        <v>4027.2999999999997</v>
      </c>
      <c r="AJ85" s="45"/>
      <c r="AK85" s="45"/>
      <c r="AL85" s="45"/>
      <c r="AM85" s="45"/>
      <c r="AN85" s="45"/>
      <c r="AO85" s="45"/>
      <c r="AP85" s="45"/>
      <c r="AR85" s="991">
        <f>AR80*AR74</f>
        <v>5150</v>
      </c>
      <c r="AS85" s="439">
        <f>AS74*AS80</f>
        <v>8579.9</v>
      </c>
      <c r="AT85" s="1021"/>
    </row>
    <row r="86" spans="2:46" x14ac:dyDescent="0.25">
      <c r="B86" s="668" t="s">
        <v>631</v>
      </c>
      <c r="C86" s="690"/>
      <c r="D86" s="752"/>
      <c r="E86" s="1"/>
      <c r="F86" s="1"/>
      <c r="G86" s="1"/>
      <c r="H86" s="1"/>
      <c r="I86" s="1"/>
      <c r="J86" s="758"/>
      <c r="K86" s="758"/>
      <c r="L86" s="685"/>
      <c r="M86" s="758"/>
      <c r="N86" s="685"/>
      <c r="O86" s="5"/>
      <c r="P86" s="6"/>
      <c r="Q86" s="685"/>
      <c r="R86" s="685"/>
      <c r="S86" s="758"/>
      <c r="T86" s="758"/>
      <c r="U86" s="758"/>
      <c r="V86" s="6"/>
      <c r="W86" s="683"/>
      <c r="AA86" s="45"/>
      <c r="AB86" s="45"/>
      <c r="AC86" s="45"/>
      <c r="AD86" s="45"/>
      <c r="AE86" s="45"/>
      <c r="AF86" s="45"/>
      <c r="AG86" s="45"/>
      <c r="AH86" s="45"/>
      <c r="AI86" s="811"/>
      <c r="AJ86" s="45"/>
      <c r="AK86" s="45"/>
      <c r="AL86" s="45"/>
      <c r="AM86" s="45"/>
      <c r="AN86" s="45"/>
      <c r="AO86" s="45"/>
      <c r="AP86" s="45"/>
      <c r="AR86" s="811"/>
      <c r="AS86" s="746"/>
      <c r="AT86" s="1021"/>
    </row>
    <row r="87" spans="2:46" x14ac:dyDescent="0.25">
      <c r="B87" s="668"/>
      <c r="C87" s="690"/>
      <c r="D87" s="753"/>
      <c r="E87" s="1"/>
      <c r="F87" s="1"/>
      <c r="G87" s="1"/>
      <c r="H87" s="1"/>
      <c r="I87" s="1"/>
      <c r="J87" s="758"/>
      <c r="K87" s="758"/>
      <c r="L87" s="685"/>
      <c r="M87" s="758"/>
      <c r="N87" s="685"/>
      <c r="O87" s="5"/>
      <c r="P87" s="6"/>
      <c r="Q87" s="685"/>
      <c r="R87" s="685"/>
      <c r="S87" s="758"/>
      <c r="T87" s="758"/>
      <c r="U87" s="758"/>
      <c r="V87" s="6"/>
      <c r="W87" s="683"/>
      <c r="AA87" s="45"/>
      <c r="AB87" s="45"/>
      <c r="AC87" s="45"/>
      <c r="AD87" s="45"/>
      <c r="AE87" s="45"/>
      <c r="AF87" s="45"/>
      <c r="AG87" s="45"/>
      <c r="AH87" s="45"/>
      <c r="AI87" s="811"/>
      <c r="AJ87" s="45"/>
      <c r="AK87" s="45"/>
      <c r="AL87" s="45"/>
      <c r="AM87" s="45"/>
      <c r="AN87" s="45"/>
      <c r="AO87" s="45"/>
      <c r="AP87" s="45"/>
      <c r="AR87" s="811"/>
      <c r="AS87" s="776">
        <v>709.75168867187483</v>
      </c>
      <c r="AT87" s="1015" t="s">
        <v>692</v>
      </c>
    </row>
    <row r="88" spans="2:46" x14ac:dyDescent="0.25">
      <c r="B88" s="667" t="s">
        <v>693</v>
      </c>
      <c r="C88" s="698"/>
      <c r="D88" s="753">
        <v>200</v>
      </c>
      <c r="E88" s="704"/>
      <c r="F88" s="704"/>
      <c r="G88" s="704"/>
      <c r="H88" s="704"/>
      <c r="I88" s="704"/>
      <c r="J88" s="753">
        <v>250</v>
      </c>
      <c r="K88" s="753">
        <v>180</v>
      </c>
      <c r="L88" s="704"/>
      <c r="M88" s="753">
        <v>230</v>
      </c>
      <c r="N88" s="704"/>
      <c r="O88" s="770">
        <v>195</v>
      </c>
      <c r="P88" s="705">
        <v>220</v>
      </c>
      <c r="Q88" s="704"/>
      <c r="R88" s="704"/>
      <c r="S88" s="753">
        <v>210</v>
      </c>
      <c r="T88" s="753">
        <v>250</v>
      </c>
      <c r="U88" s="753">
        <v>250</v>
      </c>
      <c r="V88" s="705">
        <v>275</v>
      </c>
      <c r="W88" s="981"/>
      <c r="AA88" s="45"/>
      <c r="AB88" s="45"/>
      <c r="AC88" s="45"/>
      <c r="AD88" s="45"/>
      <c r="AE88" s="45"/>
      <c r="AF88" s="45"/>
      <c r="AG88" s="45"/>
      <c r="AH88" s="45"/>
      <c r="AI88" s="753">
        <v>200</v>
      </c>
      <c r="AJ88" s="45"/>
      <c r="AK88" s="45"/>
      <c r="AL88" s="45"/>
      <c r="AM88" s="45"/>
      <c r="AN88" s="45"/>
      <c r="AO88" s="45"/>
      <c r="AP88" s="45"/>
      <c r="AR88" s="811"/>
      <c r="AS88" s="776">
        <v>1116.5067388671873</v>
      </c>
      <c r="AT88" s="1015" t="s">
        <v>694</v>
      </c>
    </row>
    <row r="89" spans="2:46" x14ac:dyDescent="0.25">
      <c r="B89" s="667" t="s">
        <v>695</v>
      </c>
      <c r="C89" s="698"/>
      <c r="D89" s="752">
        <f>D37*D75</f>
        <v>432.6</v>
      </c>
      <c r="E89" s="704"/>
      <c r="F89" s="704"/>
      <c r="G89" s="704"/>
      <c r="H89" s="704"/>
      <c r="I89" s="704"/>
      <c r="J89" s="752">
        <f t="shared" ref="J89:K89" si="13">J37*J75</f>
        <v>463.5</v>
      </c>
      <c r="K89" s="752">
        <f t="shared" si="13"/>
        <v>412</v>
      </c>
      <c r="L89" s="704"/>
      <c r="M89" s="752">
        <f>M37*M75</f>
        <v>442.90000000000003</v>
      </c>
      <c r="N89" s="704"/>
      <c r="O89" s="752">
        <f t="shared" ref="O89" si="14">O37*O75</f>
        <v>442.90000000000003</v>
      </c>
      <c r="P89" s="752">
        <f>O37*P75</f>
        <v>442.90000000000003</v>
      </c>
      <c r="Q89" s="704"/>
      <c r="R89" s="704"/>
      <c r="S89" s="752">
        <f t="shared" ref="S89:V89" si="15">S37*S75</f>
        <v>504.7</v>
      </c>
      <c r="T89" s="752">
        <f t="shared" si="15"/>
        <v>515</v>
      </c>
      <c r="U89" s="752">
        <f t="shared" si="15"/>
        <v>515</v>
      </c>
      <c r="V89" s="752">
        <f t="shared" si="15"/>
        <v>525.30000000000007</v>
      </c>
      <c r="W89" s="981"/>
      <c r="AA89" s="45"/>
      <c r="AB89" s="45"/>
      <c r="AC89" s="45"/>
      <c r="AD89" s="45"/>
      <c r="AE89" s="45"/>
      <c r="AF89" s="45"/>
      <c r="AG89" s="45"/>
      <c r="AH89" s="45"/>
      <c r="AI89" s="752">
        <f>AI37*AI75</f>
        <v>381.1</v>
      </c>
      <c r="AJ89" s="45"/>
      <c r="AK89" s="45"/>
      <c r="AL89" s="45"/>
      <c r="AM89" s="45"/>
      <c r="AN89" s="45"/>
      <c r="AO89" s="45"/>
      <c r="AP89" s="45"/>
      <c r="AR89" s="811"/>
      <c r="AS89" s="776">
        <v>1379.2142068359371</v>
      </c>
      <c r="AT89" s="1015" t="s">
        <v>696</v>
      </c>
    </row>
    <row r="90" spans="2:46" x14ac:dyDescent="0.25">
      <c r="B90" s="676" t="s">
        <v>641</v>
      </c>
      <c r="C90" s="706"/>
      <c r="D90" s="754">
        <v>0.4</v>
      </c>
      <c r="E90" s="707"/>
      <c r="F90" s="707"/>
      <c r="G90" s="707"/>
      <c r="H90" s="707"/>
      <c r="I90" s="707"/>
      <c r="J90" s="754">
        <v>0.35</v>
      </c>
      <c r="K90" s="754">
        <v>0.5</v>
      </c>
      <c r="L90" s="707"/>
      <c r="M90" s="754">
        <v>0.5</v>
      </c>
      <c r="N90" s="707"/>
      <c r="O90" s="771">
        <v>0.4</v>
      </c>
      <c r="P90" s="772"/>
      <c r="Q90" s="707"/>
      <c r="R90" s="707"/>
      <c r="S90" s="777">
        <v>0</v>
      </c>
      <c r="T90" s="754">
        <v>0</v>
      </c>
      <c r="U90" s="777"/>
      <c r="V90" s="708"/>
      <c r="W90" s="982"/>
      <c r="AA90" s="45"/>
      <c r="AB90" s="45"/>
      <c r="AC90" s="45"/>
      <c r="AD90" s="45"/>
      <c r="AE90" s="45"/>
      <c r="AF90" s="45"/>
      <c r="AG90" s="45"/>
      <c r="AH90" s="45"/>
      <c r="AI90" s="754">
        <v>0</v>
      </c>
      <c r="AJ90" s="45"/>
      <c r="AK90" s="45"/>
      <c r="AL90" s="45"/>
      <c r="AM90" s="45"/>
      <c r="AN90" s="45"/>
      <c r="AO90" s="45"/>
      <c r="AP90" s="45"/>
      <c r="AR90" s="811"/>
      <c r="AS90" s="776">
        <v>1026.2010467529294</v>
      </c>
      <c r="AT90" s="1015" t="s">
        <v>697</v>
      </c>
    </row>
    <row r="91" spans="2:46" x14ac:dyDescent="0.25">
      <c r="B91" s="667" t="s">
        <v>698</v>
      </c>
      <c r="C91" s="698"/>
      <c r="D91" s="752">
        <f>D74+10</f>
        <v>164.5</v>
      </c>
      <c r="E91" s="669"/>
      <c r="F91" s="669"/>
      <c r="G91" s="669"/>
      <c r="H91" s="669"/>
      <c r="I91" s="669"/>
      <c r="J91" s="752">
        <f t="shared" ref="J91:V91" si="16">J74+10</f>
        <v>178.92000000000002</v>
      </c>
      <c r="K91" s="752">
        <f t="shared" si="16"/>
        <v>144.93</v>
      </c>
      <c r="L91" s="669"/>
      <c r="M91" s="752">
        <f t="shared" si="16"/>
        <v>144.93</v>
      </c>
      <c r="N91" s="669"/>
      <c r="O91" s="773">
        <f t="shared" si="16"/>
        <v>144.93</v>
      </c>
      <c r="P91" s="677">
        <f t="shared" si="16"/>
        <v>154.20000000000002</v>
      </c>
      <c r="Q91" s="669"/>
      <c r="R91" s="669"/>
      <c r="S91" s="752">
        <f t="shared" si="16"/>
        <v>200.55</v>
      </c>
      <c r="T91" s="752">
        <f t="shared" si="16"/>
        <v>203.64000000000001</v>
      </c>
      <c r="U91" s="752">
        <f t="shared" si="16"/>
        <v>200.55</v>
      </c>
      <c r="V91" s="677">
        <f t="shared" si="16"/>
        <v>200.55</v>
      </c>
      <c r="W91" s="981"/>
      <c r="AA91" s="45"/>
      <c r="AB91" s="45"/>
      <c r="AC91" s="45"/>
      <c r="AD91" s="45"/>
      <c r="AE91" s="45"/>
      <c r="AF91" s="45"/>
      <c r="AG91" s="45"/>
      <c r="AH91" s="45"/>
      <c r="AI91" s="752">
        <v>370</v>
      </c>
      <c r="AJ91" s="45"/>
      <c r="AK91" s="45"/>
      <c r="AL91" s="45"/>
      <c r="AM91" s="45"/>
      <c r="AN91" s="45"/>
      <c r="AO91" s="45"/>
      <c r="AP91" s="45"/>
      <c r="AR91" s="811"/>
      <c r="AS91" s="776">
        <v>1176.9294564999998</v>
      </c>
      <c r="AT91" s="1015" t="s">
        <v>699</v>
      </c>
    </row>
    <row r="92" spans="2:46" x14ac:dyDescent="0.25">
      <c r="B92" s="667" t="s">
        <v>700</v>
      </c>
      <c r="C92" s="698"/>
      <c r="D92" s="752">
        <f>D31/2+D32+D33</f>
        <v>104.2</v>
      </c>
      <c r="E92" s="704"/>
      <c r="F92" s="704"/>
      <c r="G92" s="704"/>
      <c r="H92" s="704"/>
      <c r="I92" s="704"/>
      <c r="J92" s="752">
        <f>J31+J32+J33</f>
        <v>141.69999999999999</v>
      </c>
      <c r="K92" s="752">
        <f>K31/2+K32+K33</f>
        <v>102.9</v>
      </c>
      <c r="L92" s="704"/>
      <c r="M92" s="753">
        <v>37</v>
      </c>
      <c r="N92" s="704"/>
      <c r="O92" s="770">
        <v>99.3</v>
      </c>
      <c r="P92" s="705">
        <v>99.3</v>
      </c>
      <c r="Q92" s="704"/>
      <c r="R92" s="704"/>
      <c r="S92" s="753">
        <v>89.3</v>
      </c>
      <c r="T92" s="753">
        <v>89.3</v>
      </c>
      <c r="U92" s="753"/>
      <c r="V92" s="705"/>
      <c r="W92" s="981"/>
      <c r="AA92" s="45"/>
      <c r="AB92" s="45"/>
      <c r="AC92" s="45"/>
      <c r="AD92" s="45"/>
      <c r="AE92" s="45"/>
      <c r="AF92" s="45"/>
      <c r="AG92" s="45"/>
      <c r="AH92" s="45"/>
      <c r="AI92" s="753">
        <v>0</v>
      </c>
      <c r="AJ92" s="45"/>
      <c r="AK92" s="45"/>
      <c r="AL92" s="45"/>
      <c r="AM92" s="45"/>
      <c r="AN92" s="45"/>
      <c r="AO92" s="45"/>
      <c r="AP92" s="45"/>
      <c r="AR92" s="811"/>
      <c r="AS92" s="776">
        <v>1444.8910738281247</v>
      </c>
      <c r="AT92" s="1015" t="s">
        <v>701</v>
      </c>
    </row>
    <row r="93" spans="2:46" x14ac:dyDescent="0.25">
      <c r="B93" s="668" t="s">
        <v>702</v>
      </c>
      <c r="C93" s="690" t="s">
        <v>538</v>
      </c>
      <c r="D93" s="752">
        <f>((D89*(1-D90))+((D91+D92)*D90))/1000*D88</f>
        <v>73.408000000000001</v>
      </c>
      <c r="E93" s="669"/>
      <c r="F93" s="669"/>
      <c r="G93" s="669"/>
      <c r="H93" s="669"/>
      <c r="I93" s="669"/>
      <c r="J93" s="752">
        <f t="shared" ref="J93:V93" si="17">((J89*(1-J90))+((J91+J92)*J90))/1000*J88</f>
        <v>103.373</v>
      </c>
      <c r="K93" s="752">
        <f t="shared" si="17"/>
        <v>59.384700000000002</v>
      </c>
      <c r="L93" s="669"/>
      <c r="M93" s="752">
        <f t="shared" si="17"/>
        <v>71.855450000000005</v>
      </c>
      <c r="N93" s="669"/>
      <c r="O93" s="773">
        <f t="shared" si="17"/>
        <v>70.869240000000005</v>
      </c>
      <c r="P93" s="677">
        <f t="shared" si="17"/>
        <v>97.438000000000002</v>
      </c>
      <c r="Q93" s="669"/>
      <c r="R93" s="669"/>
      <c r="S93" s="752">
        <f t="shared" si="17"/>
        <v>105.98700000000001</v>
      </c>
      <c r="T93" s="752">
        <f t="shared" si="17"/>
        <v>128.75</v>
      </c>
      <c r="U93" s="752">
        <f t="shared" si="17"/>
        <v>128.75</v>
      </c>
      <c r="V93" s="677">
        <f t="shared" si="17"/>
        <v>144.45750000000004</v>
      </c>
      <c r="W93" s="981"/>
      <c r="AA93" s="45"/>
      <c r="AB93" s="45"/>
      <c r="AC93" s="45"/>
      <c r="AD93" s="45"/>
      <c r="AE93" s="45"/>
      <c r="AF93" s="45"/>
      <c r="AG93" s="45"/>
      <c r="AH93" s="45"/>
      <c r="AI93" s="755">
        <v>1600</v>
      </c>
      <c r="AJ93" s="45"/>
      <c r="AK93" s="45"/>
      <c r="AL93" s="45"/>
      <c r="AM93" s="45"/>
      <c r="AN93" s="45"/>
      <c r="AO93" s="45"/>
      <c r="AP93" s="45"/>
      <c r="AR93" s="760">
        <v>1750</v>
      </c>
      <c r="AS93" s="776">
        <v>1555.2723628906247</v>
      </c>
      <c r="AT93" s="1021"/>
    </row>
    <row r="94" spans="2:46" x14ac:dyDescent="0.25">
      <c r="B94" s="668" t="s">
        <v>703</v>
      </c>
      <c r="C94" s="690" t="s">
        <v>538</v>
      </c>
      <c r="D94" s="755">
        <v>20</v>
      </c>
      <c r="E94" s="685"/>
      <c r="F94" s="685"/>
      <c r="G94" s="685"/>
      <c r="H94" s="685"/>
      <c r="I94" s="685"/>
      <c r="J94" s="760">
        <v>39</v>
      </c>
      <c r="K94" s="760">
        <v>39</v>
      </c>
      <c r="L94" s="685"/>
      <c r="M94" s="760">
        <v>16</v>
      </c>
      <c r="N94" s="685"/>
      <c r="O94" s="9">
        <v>19</v>
      </c>
      <c r="P94" s="10">
        <v>19</v>
      </c>
      <c r="Q94" s="685"/>
      <c r="R94" s="685"/>
      <c r="S94" s="760">
        <v>35</v>
      </c>
      <c r="T94" s="760">
        <v>32</v>
      </c>
      <c r="U94" s="760">
        <v>32</v>
      </c>
      <c r="V94" s="10">
        <v>35</v>
      </c>
      <c r="W94" s="683"/>
      <c r="AA94" s="45"/>
      <c r="AB94" s="45"/>
      <c r="AC94" s="45"/>
      <c r="AD94" s="45"/>
      <c r="AE94" s="45"/>
      <c r="AF94" s="45"/>
      <c r="AG94" s="45"/>
      <c r="AH94" s="45"/>
      <c r="AI94" s="760">
        <v>40</v>
      </c>
      <c r="AJ94" s="45"/>
      <c r="AK94" s="45"/>
      <c r="AL94" s="45"/>
      <c r="AM94" s="45"/>
      <c r="AN94" s="45"/>
      <c r="AO94" s="45"/>
      <c r="AP94" s="45"/>
      <c r="AR94" s="760">
        <v>60</v>
      </c>
      <c r="AS94" s="776">
        <v>165.57193359374997</v>
      </c>
    </row>
    <row r="95" spans="2:46" x14ac:dyDescent="0.25">
      <c r="B95" s="668" t="s">
        <v>704</v>
      </c>
      <c r="C95" s="690" t="s">
        <v>538</v>
      </c>
      <c r="D95" s="755">
        <v>0</v>
      </c>
      <c r="E95" s="685"/>
      <c r="F95" s="685"/>
      <c r="G95" s="685"/>
      <c r="H95" s="685"/>
      <c r="I95" s="685"/>
      <c r="J95" s="760">
        <v>0</v>
      </c>
      <c r="K95" s="758"/>
      <c r="L95" s="685"/>
      <c r="M95" s="760">
        <v>2</v>
      </c>
      <c r="N95" s="685"/>
      <c r="O95" s="9">
        <v>5</v>
      </c>
      <c r="P95" s="10">
        <v>5</v>
      </c>
      <c r="Q95" s="685"/>
      <c r="R95" s="685"/>
      <c r="S95" s="760"/>
      <c r="T95" s="760">
        <v>5</v>
      </c>
      <c r="U95" s="760">
        <v>5</v>
      </c>
      <c r="V95" s="10"/>
      <c r="W95" s="683"/>
      <c r="AA95" s="45"/>
      <c r="AB95" s="45"/>
      <c r="AC95" s="45"/>
      <c r="AD95" s="45"/>
      <c r="AE95" s="45"/>
      <c r="AF95" s="45"/>
      <c r="AG95" s="45"/>
      <c r="AH95" s="45"/>
      <c r="AI95" s="760">
        <v>50</v>
      </c>
      <c r="AJ95" s="45"/>
      <c r="AK95" s="45"/>
      <c r="AL95" s="45"/>
      <c r="AM95" s="45"/>
      <c r="AN95" s="45"/>
      <c r="AO95" s="45"/>
      <c r="AP95" s="45"/>
      <c r="AR95" s="760">
        <v>340</v>
      </c>
      <c r="AS95" s="776">
        <v>1103.8128906249997</v>
      </c>
    </row>
    <row r="96" spans="2:46" x14ac:dyDescent="0.25">
      <c r="B96" s="668" t="s">
        <v>705</v>
      </c>
      <c r="C96" s="690" t="s">
        <v>538</v>
      </c>
      <c r="D96" s="755">
        <v>20</v>
      </c>
      <c r="E96" s="704"/>
      <c r="F96" s="704"/>
      <c r="G96" s="704"/>
      <c r="H96" s="704"/>
      <c r="I96" s="704"/>
      <c r="J96" s="755">
        <v>20</v>
      </c>
      <c r="K96" s="755">
        <v>30</v>
      </c>
      <c r="L96" s="704"/>
      <c r="M96" s="755">
        <v>24</v>
      </c>
      <c r="N96" s="704"/>
      <c r="O96" s="774">
        <v>30</v>
      </c>
      <c r="P96" s="709">
        <v>30</v>
      </c>
      <c r="Q96" s="704"/>
      <c r="R96" s="704"/>
      <c r="S96" s="755">
        <v>40</v>
      </c>
      <c r="T96" s="755">
        <v>23</v>
      </c>
      <c r="U96" s="755">
        <v>23</v>
      </c>
      <c r="V96" s="709">
        <v>45.900920024999991</v>
      </c>
      <c r="W96" s="981"/>
      <c r="AA96" s="45"/>
      <c r="AB96" s="45"/>
      <c r="AC96" s="45"/>
      <c r="AD96" s="45"/>
      <c r="AE96" s="45"/>
      <c r="AF96" s="45"/>
      <c r="AG96" s="45"/>
      <c r="AH96" s="45"/>
      <c r="AI96" s="755">
        <v>2010</v>
      </c>
      <c r="AJ96" s="45"/>
      <c r="AK96" s="45"/>
      <c r="AL96" s="45"/>
      <c r="AM96" s="45"/>
      <c r="AN96" s="45"/>
      <c r="AO96" s="45"/>
      <c r="AP96" s="45"/>
      <c r="AR96" s="760">
        <v>4110</v>
      </c>
      <c r="AS96" s="776">
        <v>275.95322265624992</v>
      </c>
    </row>
    <row r="97" spans="2:45" x14ac:dyDescent="0.25">
      <c r="B97" s="668" t="s">
        <v>659</v>
      </c>
      <c r="C97" s="690"/>
      <c r="D97" s="752"/>
      <c r="E97" s="685"/>
      <c r="F97" s="685"/>
      <c r="G97" s="685"/>
      <c r="H97" s="685"/>
      <c r="I97" s="685"/>
      <c r="J97" s="758"/>
      <c r="K97" s="758"/>
      <c r="L97" s="685"/>
      <c r="M97" s="758"/>
      <c r="N97" s="685"/>
      <c r="O97" s="5"/>
      <c r="P97" s="6"/>
      <c r="Q97" s="685"/>
      <c r="R97" s="685"/>
      <c r="S97" s="758"/>
      <c r="T97" s="758"/>
      <c r="U97" s="758"/>
      <c r="V97" s="6"/>
      <c r="W97" s="683"/>
      <c r="AA97" s="45"/>
      <c r="AB97" s="45"/>
      <c r="AC97" s="45"/>
      <c r="AD97" s="45"/>
      <c r="AE97" s="45"/>
      <c r="AF97" s="45"/>
      <c r="AG97" s="45"/>
      <c r="AH97" s="45"/>
      <c r="AI97" s="811"/>
      <c r="AJ97" s="45"/>
      <c r="AK97" s="45"/>
      <c r="AL97" s="45"/>
      <c r="AM97" s="45"/>
      <c r="AN97" s="45"/>
      <c r="AO97" s="45"/>
      <c r="AP97" s="45"/>
      <c r="AR97" s="811"/>
      <c r="AS97" s="746"/>
    </row>
    <row r="98" spans="2:45" x14ac:dyDescent="0.25">
      <c r="B98" s="667" t="s">
        <v>702</v>
      </c>
      <c r="C98" s="690" t="s">
        <v>538</v>
      </c>
      <c r="D98" s="756">
        <f>D93</f>
        <v>73.408000000000001</v>
      </c>
      <c r="E98" s="21"/>
      <c r="F98" s="21"/>
      <c r="G98" s="21"/>
      <c r="H98" s="21"/>
      <c r="I98" s="21"/>
      <c r="J98" s="756">
        <f t="shared" ref="J98:V101" si="18">J93</f>
        <v>103.373</v>
      </c>
      <c r="K98" s="756">
        <f t="shared" si="18"/>
        <v>59.384700000000002</v>
      </c>
      <c r="L98" s="21"/>
      <c r="M98" s="756">
        <f t="shared" si="18"/>
        <v>71.855450000000005</v>
      </c>
      <c r="N98" s="21"/>
      <c r="O98" s="20">
        <f t="shared" si="18"/>
        <v>70.869240000000005</v>
      </c>
      <c r="P98" s="22">
        <f t="shared" si="18"/>
        <v>97.438000000000002</v>
      </c>
      <c r="Q98" s="21"/>
      <c r="R98" s="21"/>
      <c r="S98" s="756">
        <f t="shared" si="18"/>
        <v>105.98700000000001</v>
      </c>
      <c r="T98" s="756">
        <f t="shared" si="18"/>
        <v>128.75</v>
      </c>
      <c r="U98" s="756">
        <f t="shared" si="18"/>
        <v>128.75</v>
      </c>
      <c r="V98" s="22">
        <f t="shared" si="18"/>
        <v>144.45750000000004</v>
      </c>
      <c r="W98" s="983"/>
      <c r="AA98" s="45"/>
      <c r="AB98" s="45"/>
      <c r="AC98" s="45"/>
      <c r="AD98" s="45"/>
      <c r="AE98" s="45"/>
      <c r="AF98" s="45"/>
      <c r="AG98" s="45"/>
      <c r="AH98" s="45"/>
      <c r="AI98" s="756">
        <f>AI93</f>
        <v>1600</v>
      </c>
      <c r="AJ98" s="45"/>
      <c r="AK98" s="45"/>
      <c r="AL98" s="45"/>
      <c r="AM98" s="45"/>
      <c r="AN98" s="45"/>
      <c r="AO98" s="45"/>
      <c r="AP98" s="45"/>
      <c r="AR98" s="756">
        <f>AR93</f>
        <v>1750</v>
      </c>
      <c r="AS98" s="756">
        <f>AS93</f>
        <v>1555.2723628906247</v>
      </c>
    </row>
    <row r="99" spans="2:45" x14ac:dyDescent="0.25">
      <c r="B99" s="667" t="s">
        <v>706</v>
      </c>
      <c r="C99" s="690" t="s">
        <v>538</v>
      </c>
      <c r="D99" s="752">
        <f>D94</f>
        <v>20</v>
      </c>
      <c r="E99" s="669"/>
      <c r="F99" s="669"/>
      <c r="G99" s="669"/>
      <c r="H99" s="669"/>
      <c r="I99" s="669"/>
      <c r="J99" s="752">
        <f t="shared" si="18"/>
        <v>39</v>
      </c>
      <c r="K99" s="752">
        <f t="shared" si="18"/>
        <v>39</v>
      </c>
      <c r="L99" s="669"/>
      <c r="M99" s="752">
        <f t="shared" si="18"/>
        <v>16</v>
      </c>
      <c r="N99" s="669"/>
      <c r="O99" s="773">
        <f t="shared" si="18"/>
        <v>19</v>
      </c>
      <c r="P99" s="677">
        <f t="shared" si="18"/>
        <v>19</v>
      </c>
      <c r="Q99" s="669"/>
      <c r="R99" s="669"/>
      <c r="S99" s="752">
        <f t="shared" si="18"/>
        <v>35</v>
      </c>
      <c r="T99" s="752">
        <f t="shared" si="18"/>
        <v>32</v>
      </c>
      <c r="U99" s="752">
        <f t="shared" si="18"/>
        <v>32</v>
      </c>
      <c r="V99" s="677">
        <f t="shared" si="18"/>
        <v>35</v>
      </c>
      <c r="W99" s="981"/>
      <c r="AA99" s="45"/>
      <c r="AB99" s="45"/>
      <c r="AC99" s="45"/>
      <c r="AD99" s="45"/>
      <c r="AE99" s="45"/>
      <c r="AF99" s="45"/>
      <c r="AG99" s="45"/>
      <c r="AH99" s="45"/>
      <c r="AI99" s="756">
        <f t="shared" ref="AI99:AI101" si="19">AI94</f>
        <v>40</v>
      </c>
      <c r="AJ99" s="45"/>
      <c r="AK99" s="45"/>
      <c r="AL99" s="45"/>
      <c r="AM99" s="45"/>
      <c r="AN99" s="45"/>
      <c r="AO99" s="45"/>
      <c r="AP99" s="45"/>
      <c r="AR99" s="756">
        <f t="shared" ref="AR99:AR101" si="20">AR94</f>
        <v>60</v>
      </c>
      <c r="AS99" s="752">
        <f>AS94</f>
        <v>165.57193359374997</v>
      </c>
    </row>
    <row r="100" spans="2:45" x14ac:dyDescent="0.25">
      <c r="B100" s="667" t="s">
        <v>707</v>
      </c>
      <c r="C100" s="690" t="s">
        <v>538</v>
      </c>
      <c r="D100" s="752">
        <f>D95</f>
        <v>0</v>
      </c>
      <c r="E100" s="669"/>
      <c r="F100" s="669"/>
      <c r="G100" s="669"/>
      <c r="H100" s="669"/>
      <c r="I100" s="669"/>
      <c r="J100" s="752">
        <f t="shared" si="18"/>
        <v>0</v>
      </c>
      <c r="K100" s="752">
        <f t="shared" si="18"/>
        <v>0</v>
      </c>
      <c r="L100" s="669"/>
      <c r="M100" s="752">
        <f t="shared" si="18"/>
        <v>2</v>
      </c>
      <c r="N100" s="669"/>
      <c r="O100" s="773">
        <f t="shared" si="18"/>
        <v>5</v>
      </c>
      <c r="P100" s="677">
        <f t="shared" si="18"/>
        <v>5</v>
      </c>
      <c r="Q100" s="669"/>
      <c r="R100" s="669"/>
      <c r="S100" s="752">
        <f t="shared" si="18"/>
        <v>0</v>
      </c>
      <c r="T100" s="752">
        <f t="shared" si="18"/>
        <v>5</v>
      </c>
      <c r="U100" s="752">
        <f t="shared" si="18"/>
        <v>5</v>
      </c>
      <c r="V100" s="677">
        <f t="shared" si="18"/>
        <v>0</v>
      </c>
      <c r="W100" s="981"/>
      <c r="AA100" s="45"/>
      <c r="AB100" s="45"/>
      <c r="AC100" s="45"/>
      <c r="AD100" s="45"/>
      <c r="AE100" s="45"/>
      <c r="AF100" s="45"/>
      <c r="AG100" s="45"/>
      <c r="AH100" s="45"/>
      <c r="AI100" s="756">
        <f t="shared" si="19"/>
        <v>50</v>
      </c>
      <c r="AJ100" s="45"/>
      <c r="AK100" s="45"/>
      <c r="AL100" s="45"/>
      <c r="AM100" s="45"/>
      <c r="AN100" s="45"/>
      <c r="AO100" s="45"/>
      <c r="AP100" s="45"/>
      <c r="AR100" s="756">
        <f t="shared" si="20"/>
        <v>340</v>
      </c>
      <c r="AS100" s="752">
        <f>AS95</f>
        <v>1103.8128906249997</v>
      </c>
    </row>
    <row r="101" spans="2:45" x14ac:dyDescent="0.25">
      <c r="B101" s="667" t="s">
        <v>656</v>
      </c>
      <c r="C101" s="690" t="s">
        <v>538</v>
      </c>
      <c r="D101" s="752">
        <f>D96</f>
        <v>20</v>
      </c>
      <c r="E101" s="669"/>
      <c r="F101" s="669"/>
      <c r="G101" s="669"/>
      <c r="H101" s="669"/>
      <c r="I101" s="669"/>
      <c r="J101" s="752">
        <f t="shared" si="18"/>
        <v>20</v>
      </c>
      <c r="K101" s="752">
        <f t="shared" si="18"/>
        <v>30</v>
      </c>
      <c r="L101" s="669"/>
      <c r="M101" s="752">
        <f t="shared" si="18"/>
        <v>24</v>
      </c>
      <c r="N101" s="669"/>
      <c r="O101" s="773">
        <f t="shared" si="18"/>
        <v>30</v>
      </c>
      <c r="P101" s="677">
        <f t="shared" si="18"/>
        <v>30</v>
      </c>
      <c r="Q101" s="669"/>
      <c r="R101" s="669"/>
      <c r="S101" s="752">
        <f t="shared" si="18"/>
        <v>40</v>
      </c>
      <c r="T101" s="752">
        <f t="shared" si="18"/>
        <v>23</v>
      </c>
      <c r="U101" s="752">
        <f t="shared" si="18"/>
        <v>23</v>
      </c>
      <c r="V101" s="677">
        <f t="shared" si="18"/>
        <v>45.900920024999991</v>
      </c>
      <c r="W101" s="981"/>
      <c r="AA101" s="45"/>
      <c r="AB101" s="45"/>
      <c r="AC101" s="45"/>
      <c r="AD101" s="45"/>
      <c r="AE101" s="45"/>
      <c r="AF101" s="45"/>
      <c r="AG101" s="45"/>
      <c r="AH101" s="45"/>
      <c r="AI101" s="756">
        <f t="shared" si="19"/>
        <v>2010</v>
      </c>
      <c r="AJ101" s="45"/>
      <c r="AK101" s="45"/>
      <c r="AL101" s="45"/>
      <c r="AM101" s="45"/>
      <c r="AN101" s="45"/>
      <c r="AO101" s="45"/>
      <c r="AP101" s="45"/>
      <c r="AR101" s="756">
        <f t="shared" si="20"/>
        <v>4110</v>
      </c>
      <c r="AS101" s="753">
        <v>7129.4474341123032</v>
      </c>
    </row>
    <row r="102" spans="2:45" x14ac:dyDescent="0.25">
      <c r="B102" s="675" t="s">
        <v>709</v>
      </c>
      <c r="C102" s="690" t="s">
        <v>538</v>
      </c>
      <c r="D102" s="439">
        <f>SUM(D98:D101)</f>
        <v>113.408</v>
      </c>
      <c r="E102" s="79"/>
      <c r="F102" s="79"/>
      <c r="G102" s="79"/>
      <c r="H102" s="79"/>
      <c r="I102" s="79"/>
      <c r="J102" s="439">
        <f t="shared" ref="J102:V102" si="21">SUM(J98:J101)</f>
        <v>162.37299999999999</v>
      </c>
      <c r="K102" s="439">
        <f t="shared" si="21"/>
        <v>128.38470000000001</v>
      </c>
      <c r="L102" s="79"/>
      <c r="M102" s="439">
        <f t="shared" si="21"/>
        <v>113.85545</v>
      </c>
      <c r="N102" s="79"/>
      <c r="O102" s="77">
        <f t="shared" si="21"/>
        <v>124.86924</v>
      </c>
      <c r="P102" s="78">
        <f t="shared" si="21"/>
        <v>151.43799999999999</v>
      </c>
      <c r="Q102" s="79"/>
      <c r="R102" s="79"/>
      <c r="S102" s="439">
        <f t="shared" si="21"/>
        <v>180.98700000000002</v>
      </c>
      <c r="T102" s="439">
        <f t="shared" si="21"/>
        <v>188.75</v>
      </c>
      <c r="U102" s="439">
        <f t="shared" si="21"/>
        <v>188.75</v>
      </c>
      <c r="V102" s="78">
        <f t="shared" si="21"/>
        <v>225.35842002500004</v>
      </c>
      <c r="W102" s="980"/>
      <c r="AA102" s="45"/>
      <c r="AB102" s="45"/>
      <c r="AC102" s="45"/>
      <c r="AD102" s="45"/>
      <c r="AE102" s="45"/>
      <c r="AF102" s="45"/>
      <c r="AG102" s="45"/>
      <c r="AH102" s="45"/>
      <c r="AI102" s="439">
        <f>SUM(AI98:AI101)</f>
        <v>3700</v>
      </c>
      <c r="AJ102" s="45"/>
      <c r="AK102" s="45"/>
      <c r="AL102" s="45"/>
      <c r="AM102" s="45"/>
      <c r="AN102" s="45"/>
      <c r="AO102" s="45"/>
      <c r="AP102" s="45"/>
      <c r="AR102" s="991">
        <f>SUM(AR98:AR101)</f>
        <v>6260</v>
      </c>
      <c r="AS102" s="439">
        <f>SUM(AS98:AS101)</f>
        <v>9954.104621221677</v>
      </c>
    </row>
    <row r="103" spans="2:45" x14ac:dyDescent="0.25">
      <c r="B103" s="702" t="s">
        <v>710</v>
      </c>
      <c r="C103" s="690" t="s">
        <v>538</v>
      </c>
      <c r="D103" s="751">
        <f>D83-D102</f>
        <v>712.60199999999998</v>
      </c>
      <c r="E103" s="178"/>
      <c r="F103" s="178"/>
      <c r="G103" s="178"/>
      <c r="H103" s="178"/>
      <c r="I103" s="178"/>
      <c r="J103" s="751">
        <f t="shared" ref="J103:T103" si="22">J83-J102</f>
        <v>465.71220000000011</v>
      </c>
      <c r="K103" s="751">
        <f t="shared" si="22"/>
        <v>427.62490000000008</v>
      </c>
      <c r="L103" s="178"/>
      <c r="M103" s="751">
        <f t="shared" si="22"/>
        <v>440.65415000000007</v>
      </c>
      <c r="N103" s="178"/>
      <c r="O103" s="769">
        <f t="shared" si="22"/>
        <v>488.72916000000009</v>
      </c>
      <c r="P103" s="703"/>
      <c r="Q103" s="178"/>
      <c r="R103" s="178"/>
      <c r="S103" s="751">
        <f t="shared" si="22"/>
        <v>352.55300000000005</v>
      </c>
      <c r="T103" s="751">
        <f t="shared" si="22"/>
        <v>43.618000000000052</v>
      </c>
      <c r="U103" s="751"/>
      <c r="V103" s="703"/>
      <c r="W103" s="980"/>
      <c r="AA103" s="45"/>
      <c r="AB103" s="45"/>
      <c r="AC103" s="45"/>
      <c r="AD103" s="45"/>
      <c r="AE103" s="45"/>
      <c r="AF103" s="45"/>
      <c r="AG103" s="45"/>
      <c r="AH103" s="45"/>
      <c r="AI103" s="751">
        <f>AI83-AI102</f>
        <v>-478.15999999999985</v>
      </c>
      <c r="AJ103" s="45"/>
      <c r="AK103" s="45"/>
      <c r="AL103" s="45"/>
      <c r="AM103" s="45"/>
      <c r="AN103" s="45"/>
      <c r="AO103" s="45"/>
      <c r="AP103" s="45"/>
      <c r="AR103" s="990">
        <f>AR83-AR102</f>
        <v>3100</v>
      </c>
      <c r="AS103" s="751"/>
    </row>
    <row r="104" spans="2:45" x14ac:dyDescent="0.25">
      <c r="B104" s="702" t="s">
        <v>711</v>
      </c>
      <c r="C104" s="690" t="s">
        <v>538</v>
      </c>
      <c r="D104" s="751">
        <f>D84-D102</f>
        <v>1027.7819999999999</v>
      </c>
      <c r="E104" s="178"/>
      <c r="F104" s="178"/>
      <c r="G104" s="178"/>
      <c r="H104" s="178"/>
      <c r="I104" s="178"/>
      <c r="J104" s="751">
        <f t="shared" ref="J104:T104" si="23">J84-J102</f>
        <v>681.92980000000011</v>
      </c>
      <c r="K104" s="751">
        <f t="shared" si="23"/>
        <v>611.12969999999996</v>
      </c>
      <c r="L104" s="178"/>
      <c r="M104" s="751">
        <f t="shared" si="23"/>
        <v>624.15895</v>
      </c>
      <c r="N104" s="178"/>
      <c r="O104" s="769">
        <f t="shared" si="23"/>
        <v>683.02836000000002</v>
      </c>
      <c r="P104" s="703"/>
      <c r="Q104" s="178"/>
      <c r="R104" s="178"/>
      <c r="S104" s="751">
        <f t="shared" si="23"/>
        <v>619.32300000000009</v>
      </c>
      <c r="T104" s="751">
        <f t="shared" si="23"/>
        <v>159.80199999999996</v>
      </c>
      <c r="U104" s="751"/>
      <c r="V104" s="703"/>
      <c r="W104" s="980"/>
      <c r="AA104" s="45"/>
      <c r="AB104" s="45"/>
      <c r="AC104" s="45"/>
      <c r="AD104" s="45"/>
      <c r="AE104" s="45"/>
      <c r="AF104" s="45"/>
      <c r="AG104" s="45"/>
      <c r="AH104" s="45"/>
      <c r="AI104" s="751">
        <f>AI84-AI102</f>
        <v>1132.7599999999993</v>
      </c>
      <c r="AJ104" s="45"/>
      <c r="AK104" s="45"/>
      <c r="AL104" s="45"/>
      <c r="AM104" s="45"/>
      <c r="AN104" s="45"/>
      <c r="AO104" s="45"/>
      <c r="AP104" s="45"/>
      <c r="AR104" s="990">
        <f>AR84-AR102</f>
        <v>7780</v>
      </c>
      <c r="AS104" s="751"/>
    </row>
    <row r="105" spans="2:45" x14ac:dyDescent="0.25">
      <c r="B105" s="675" t="s">
        <v>712</v>
      </c>
      <c r="C105" s="690" t="s">
        <v>538</v>
      </c>
      <c r="D105" s="439">
        <f>D85-D102</f>
        <v>870.19199999999989</v>
      </c>
      <c r="E105" s="79"/>
      <c r="F105" s="79"/>
      <c r="G105" s="79"/>
      <c r="H105" s="79"/>
      <c r="I105" s="79"/>
      <c r="J105" s="439">
        <f t="shared" ref="J105:V105" si="24">J85-J102</f>
        <v>573.82100000000014</v>
      </c>
      <c r="K105" s="439">
        <f t="shared" si="24"/>
        <v>519.37729999999988</v>
      </c>
      <c r="L105" s="79"/>
      <c r="M105" s="439">
        <f t="shared" si="24"/>
        <v>532.40654999999992</v>
      </c>
      <c r="N105" s="79"/>
      <c r="O105" s="77">
        <f t="shared" si="24"/>
        <v>585.87876000000006</v>
      </c>
      <c r="P105" s="78">
        <f t="shared" si="24"/>
        <v>549.42200000000003</v>
      </c>
      <c r="Q105" s="79"/>
      <c r="R105" s="79"/>
      <c r="S105" s="439">
        <f t="shared" si="24"/>
        <v>485.93800000000005</v>
      </c>
      <c r="T105" s="439">
        <f t="shared" si="24"/>
        <v>101.71000000000004</v>
      </c>
      <c r="U105" s="439">
        <f t="shared" si="24"/>
        <v>192.35000000000002</v>
      </c>
      <c r="V105" s="78">
        <f t="shared" si="24"/>
        <v>155.74157997499998</v>
      </c>
      <c r="W105" s="980"/>
      <c r="AA105" s="45"/>
      <c r="AB105" s="45"/>
      <c r="AC105" s="45"/>
      <c r="AD105" s="45"/>
      <c r="AE105" s="45"/>
      <c r="AF105" s="45"/>
      <c r="AG105" s="45"/>
      <c r="AH105" s="45"/>
      <c r="AI105" s="439">
        <f>AI85-AI102</f>
        <v>327.29999999999973</v>
      </c>
      <c r="AJ105" s="45"/>
      <c r="AK105" s="45"/>
      <c r="AL105" s="45"/>
      <c r="AM105" s="45"/>
      <c r="AN105" s="45"/>
      <c r="AO105" s="45"/>
      <c r="AP105" s="45"/>
      <c r="AR105" s="991">
        <f>AR85-AR102</f>
        <v>-1110</v>
      </c>
      <c r="AS105" s="439">
        <f>AS85-AS102</f>
        <v>-1374.2046212216774</v>
      </c>
    </row>
    <row r="106" spans="2:45" x14ac:dyDescent="0.25">
      <c r="B106" s="667" t="s">
        <v>667</v>
      </c>
      <c r="C106" s="698"/>
      <c r="D106" s="752" t="s">
        <v>668</v>
      </c>
      <c r="E106" s="710"/>
      <c r="F106" s="710"/>
      <c r="G106" s="710"/>
      <c r="H106" s="710"/>
      <c r="I106" s="710"/>
      <c r="J106" s="756" t="s">
        <v>669</v>
      </c>
      <c r="K106" s="756" t="s">
        <v>668</v>
      </c>
      <c r="L106" s="710"/>
      <c r="M106" s="756" t="s">
        <v>669</v>
      </c>
      <c r="N106" s="710"/>
      <c r="O106" s="20" t="s">
        <v>669</v>
      </c>
      <c r="P106" s="22" t="s">
        <v>669</v>
      </c>
      <c r="Q106" s="710"/>
      <c r="R106" s="710"/>
      <c r="S106" s="756" t="s">
        <v>668</v>
      </c>
      <c r="T106" s="756" t="s">
        <v>668</v>
      </c>
      <c r="U106" s="756" t="s">
        <v>669</v>
      </c>
      <c r="V106" s="22" t="s">
        <v>669</v>
      </c>
      <c r="W106" s="983"/>
      <c r="AA106" s="45"/>
      <c r="AB106" s="45"/>
      <c r="AC106" s="45"/>
      <c r="AD106" s="45"/>
      <c r="AE106" s="45"/>
      <c r="AF106" s="45"/>
      <c r="AG106" s="45"/>
      <c r="AH106" s="45"/>
      <c r="AI106" s="756" t="s">
        <v>669</v>
      </c>
      <c r="AJ106" s="45"/>
      <c r="AK106" s="45"/>
      <c r="AL106" s="45"/>
      <c r="AM106" s="45"/>
      <c r="AN106" s="45"/>
      <c r="AO106" s="45"/>
      <c r="AP106" s="45"/>
      <c r="AR106" s="756" t="s">
        <v>669</v>
      </c>
      <c r="AS106" s="756" t="s">
        <v>669</v>
      </c>
    </row>
    <row r="107" spans="2:45" ht="11" thickBot="1" x14ac:dyDescent="0.3">
      <c r="B107" s="711" t="s">
        <v>713</v>
      </c>
      <c r="C107" s="712" t="s">
        <v>538</v>
      </c>
      <c r="D107" s="757">
        <f>D102*66%*4%</f>
        <v>2.9939712000000003</v>
      </c>
      <c r="E107" s="713"/>
      <c r="F107" s="713"/>
      <c r="G107" s="713"/>
      <c r="H107" s="713"/>
      <c r="I107" s="713"/>
      <c r="J107" s="757">
        <f>J102*50%*4%</f>
        <v>3.2474599999999998</v>
      </c>
      <c r="K107" s="757">
        <f>K102*66%*4%</f>
        <v>3.3893560800000007</v>
      </c>
      <c r="L107" s="713"/>
      <c r="M107" s="757">
        <f>M102*50%*4%</f>
        <v>2.2771090000000003</v>
      </c>
      <c r="N107" s="713"/>
      <c r="O107" s="775">
        <f>O102*50%*4%</f>
        <v>2.4973848000000003</v>
      </c>
      <c r="P107" s="714">
        <f>P102*50%*4%</f>
        <v>3.0287599999999997</v>
      </c>
      <c r="Q107" s="713"/>
      <c r="R107" s="713"/>
      <c r="S107" s="757">
        <f>S102*66%*4%</f>
        <v>4.7780568000000008</v>
      </c>
      <c r="T107" s="757">
        <f>T102*66%*4%</f>
        <v>4.9830000000000005</v>
      </c>
      <c r="U107" s="757">
        <f>U102*50%*4%</f>
        <v>3.7749999999999999</v>
      </c>
      <c r="V107" s="714">
        <f>V102*50%*4%</f>
        <v>4.5071684005000012</v>
      </c>
      <c r="W107" s="984"/>
      <c r="X107" s="490"/>
      <c r="Y107" s="490"/>
      <c r="Z107" s="490"/>
      <c r="AA107" s="490"/>
      <c r="AB107" s="490"/>
      <c r="AC107" s="490"/>
      <c r="AD107" s="490"/>
      <c r="AE107" s="490"/>
      <c r="AF107" s="490"/>
      <c r="AG107" s="490"/>
      <c r="AH107" s="490"/>
      <c r="AI107" s="757">
        <f>AI102*50%*4%</f>
        <v>74</v>
      </c>
      <c r="AJ107" s="490"/>
      <c r="AK107" s="490"/>
      <c r="AL107" s="490"/>
      <c r="AM107" s="490"/>
      <c r="AN107" s="490"/>
      <c r="AO107" s="490"/>
      <c r="AP107" s="490"/>
      <c r="AQ107" s="490"/>
      <c r="AR107" s="757">
        <f>AR102*50%*4%</f>
        <v>125.2</v>
      </c>
      <c r="AS107" s="757">
        <f>AS102*50%*4%</f>
        <v>199.08209242443354</v>
      </c>
    </row>
    <row r="108" spans="2:45" s="238" customFormat="1" ht="11" thickBot="1" x14ac:dyDescent="0.3"/>
    <row r="109" spans="2:45" s="238" customFormat="1" x14ac:dyDescent="0.25">
      <c r="B109" s="1037" t="s">
        <v>49</v>
      </c>
      <c r="C109" s="1038" t="s">
        <v>714</v>
      </c>
    </row>
    <row r="110" spans="2:45" s="238" customFormat="1" ht="21.5" thickBot="1" x14ac:dyDescent="0.3">
      <c r="B110" s="1039" t="s">
        <v>987</v>
      </c>
      <c r="C110" s="1040">
        <v>1.03</v>
      </c>
    </row>
    <row r="111" spans="2:45" s="238" customFormat="1" x14ac:dyDescent="0.25"/>
    <row r="112" spans="2:45" s="238" customFormat="1" x14ac:dyDescent="0.25"/>
    <row r="113" s="238" customFormat="1" x14ac:dyDescent="0.25"/>
    <row r="114" s="238" customFormat="1" x14ac:dyDescent="0.25"/>
    <row r="115" s="238" customFormat="1" x14ac:dyDescent="0.25"/>
    <row r="116" s="238" customFormat="1" x14ac:dyDescent="0.25"/>
    <row r="117" s="238" customFormat="1" x14ac:dyDescent="0.25"/>
    <row r="118" s="238" customFormat="1" x14ac:dyDescent="0.25"/>
    <row r="119" s="238" customFormat="1" x14ac:dyDescent="0.25"/>
    <row r="120" s="238" customFormat="1" x14ac:dyDescent="0.25"/>
    <row r="121" s="238" customFormat="1" x14ac:dyDescent="0.25"/>
    <row r="122" s="238" customFormat="1" x14ac:dyDescent="0.25"/>
    <row r="123" s="238" customFormat="1" x14ac:dyDescent="0.25"/>
    <row r="124" s="238" customFormat="1" x14ac:dyDescent="0.25"/>
    <row r="125" s="238" customFormat="1" x14ac:dyDescent="0.25"/>
    <row r="126" s="238" customFormat="1" x14ac:dyDescent="0.25"/>
    <row r="127" s="238" customFormat="1" x14ac:dyDescent="0.25"/>
    <row r="128" s="238" customFormat="1" x14ac:dyDescent="0.25"/>
    <row r="129" s="238" customFormat="1" x14ac:dyDescent="0.25"/>
    <row r="130" s="238" customFormat="1" x14ac:dyDescent="0.25"/>
    <row r="131" s="238" customFormat="1" x14ac:dyDescent="0.25"/>
    <row r="132" s="238" customFormat="1" x14ac:dyDescent="0.25"/>
    <row r="133" s="238" customFormat="1" x14ac:dyDescent="0.25"/>
    <row r="134" s="238" customFormat="1" x14ac:dyDescent="0.25"/>
    <row r="135" s="238" customFormat="1" x14ac:dyDescent="0.25"/>
    <row r="136" s="238" customFormat="1" x14ac:dyDescent="0.25"/>
    <row r="137" s="238" customFormat="1" x14ac:dyDescent="0.25"/>
    <row r="138" s="238" customFormat="1" x14ac:dyDescent="0.25"/>
    <row r="139" s="238" customFormat="1" x14ac:dyDescent="0.25"/>
    <row r="140" s="238" customFormat="1" x14ac:dyDescent="0.25"/>
    <row r="141" s="238" customFormat="1" x14ac:dyDescent="0.25"/>
    <row r="142" s="238" customFormat="1" x14ac:dyDescent="0.25"/>
    <row r="143" s="238" customFormat="1" x14ac:dyDescent="0.25"/>
    <row r="144" s="238" customFormat="1" x14ac:dyDescent="0.25"/>
    <row r="145" s="238" customFormat="1" x14ac:dyDescent="0.25"/>
    <row r="146" s="238" customFormat="1" x14ac:dyDescent="0.25"/>
    <row r="147" s="238" customFormat="1"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84CDF-1D73-45F2-9687-10B805F8723B}">
  <dimension ref="A1:AY148"/>
  <sheetViews>
    <sheetView workbookViewId="0"/>
  </sheetViews>
  <sheetFormatPr defaultColWidth="8.81640625" defaultRowHeight="10.5" x14ac:dyDescent="0.25"/>
  <cols>
    <col min="1" max="1" width="2.54296875" style="238" customWidth="1"/>
    <col min="2" max="2" width="24.453125" style="45" customWidth="1"/>
    <col min="3" max="26" width="8.81640625" style="45"/>
    <col min="27" max="42" width="8.81640625" style="832"/>
    <col min="43" max="43" width="8.81640625" style="45"/>
    <col min="44" max="51" width="8.81640625" style="238"/>
    <col min="52" max="16384" width="8.81640625" style="45"/>
  </cols>
  <sheetData>
    <row r="1" spans="2:43" s="238" customFormat="1" ht="11" thickBot="1" x14ac:dyDescent="0.3">
      <c r="Z1" s="835"/>
      <c r="AA1" s="836"/>
      <c r="AB1" s="836"/>
      <c r="AC1" s="836"/>
      <c r="AD1" s="836"/>
      <c r="AE1" s="836"/>
      <c r="AF1" s="836"/>
      <c r="AG1" s="836"/>
      <c r="AH1" s="836"/>
      <c r="AI1" s="836"/>
      <c r="AJ1" s="836"/>
      <c r="AK1" s="836"/>
      <c r="AL1" s="836"/>
      <c r="AM1" s="836"/>
      <c r="AN1" s="836"/>
      <c r="AO1" s="836"/>
      <c r="AP1" s="835"/>
    </row>
    <row r="2" spans="2:43" ht="42.5" thickBot="1" x14ac:dyDescent="0.3">
      <c r="B2" s="785" t="s">
        <v>596</v>
      </c>
      <c r="C2" s="786"/>
      <c r="D2" s="780" t="s">
        <v>541</v>
      </c>
      <c r="E2" s="780" t="s">
        <v>543</v>
      </c>
      <c r="F2" s="780" t="s">
        <v>544</v>
      </c>
      <c r="G2" s="780" t="s">
        <v>546</v>
      </c>
      <c r="H2" s="780" t="s">
        <v>548</v>
      </c>
      <c r="I2" s="780" t="s">
        <v>549</v>
      </c>
      <c r="J2" s="780" t="s">
        <v>551</v>
      </c>
      <c r="K2" s="780" t="s">
        <v>552</v>
      </c>
      <c r="L2" s="780" t="s">
        <v>554</v>
      </c>
      <c r="M2" s="780" t="s">
        <v>555</v>
      </c>
      <c r="N2" s="780" t="s">
        <v>557</v>
      </c>
      <c r="O2" s="780" t="s">
        <v>558</v>
      </c>
      <c r="P2" s="780" t="s">
        <v>597</v>
      </c>
      <c r="Q2" s="780" t="s">
        <v>562</v>
      </c>
      <c r="R2" s="780" t="s">
        <v>565</v>
      </c>
      <c r="S2" s="780" t="s">
        <v>563</v>
      </c>
      <c r="T2" s="780" t="s">
        <v>566</v>
      </c>
      <c r="U2" s="780" t="s">
        <v>569</v>
      </c>
      <c r="V2" s="780" t="s">
        <v>571</v>
      </c>
      <c r="W2" s="780" t="s">
        <v>574</v>
      </c>
      <c r="X2" s="780" t="s">
        <v>575</v>
      </c>
      <c r="Y2" s="780" t="s">
        <v>570</v>
      </c>
      <c r="Z2" s="783" t="s">
        <v>572</v>
      </c>
      <c r="AA2" s="780" t="s">
        <v>598</v>
      </c>
      <c r="AB2" s="780" t="s">
        <v>599</v>
      </c>
      <c r="AC2" s="780" t="s">
        <v>600</v>
      </c>
      <c r="AD2" s="780" t="s">
        <v>601</v>
      </c>
      <c r="AE2" s="780" t="s">
        <v>602</v>
      </c>
      <c r="AF2" s="780" t="s">
        <v>603</v>
      </c>
      <c r="AG2" s="780" t="s">
        <v>604</v>
      </c>
      <c r="AH2" s="780" t="s">
        <v>605</v>
      </c>
      <c r="AI2" s="780" t="s">
        <v>585</v>
      </c>
      <c r="AJ2" s="780" t="s">
        <v>606</v>
      </c>
      <c r="AK2" s="780" t="s">
        <v>607</v>
      </c>
      <c r="AL2" s="780" t="s">
        <v>608</v>
      </c>
      <c r="AM2" s="780" t="s">
        <v>609</v>
      </c>
      <c r="AN2" s="780" t="s">
        <v>610</v>
      </c>
      <c r="AO2" s="780" t="s">
        <v>611</v>
      </c>
      <c r="AP2" s="780" t="s">
        <v>612</v>
      </c>
      <c r="AQ2" s="784" t="s">
        <v>613</v>
      </c>
    </row>
    <row r="3" spans="2:43" x14ac:dyDescent="0.25">
      <c r="B3" s="411" t="s">
        <v>614</v>
      </c>
      <c r="C3" s="787" t="s">
        <v>425</v>
      </c>
      <c r="D3" s="795">
        <v>872.31973060313373</v>
      </c>
      <c r="E3" s="795">
        <v>739.17600226718719</v>
      </c>
      <c r="F3" s="795">
        <v>855.2433536259357</v>
      </c>
      <c r="G3" s="795">
        <v>706.24882600291608</v>
      </c>
      <c r="H3" s="795">
        <v>854.29821481940292</v>
      </c>
      <c r="I3" s="795">
        <v>708.96660030279975</v>
      </c>
      <c r="J3" s="795">
        <v>711.17360759021471</v>
      </c>
      <c r="K3" s="795">
        <v>700.96031757456615</v>
      </c>
      <c r="L3" s="795">
        <v>810.16895307672246</v>
      </c>
      <c r="M3" s="795">
        <v>613.79199471547327</v>
      </c>
      <c r="N3" s="795">
        <v>769.30352713738796</v>
      </c>
      <c r="O3" s="795">
        <v>546.72660107878403</v>
      </c>
      <c r="P3" s="795">
        <v>595</v>
      </c>
      <c r="Q3" s="795">
        <v>741.65109138717662</v>
      </c>
      <c r="R3" s="795">
        <v>492.19927478742193</v>
      </c>
      <c r="S3" s="795">
        <v>458.47682163236431</v>
      </c>
      <c r="T3" s="795">
        <v>401.65884424105991</v>
      </c>
      <c r="U3" s="795">
        <v>391.15779424105995</v>
      </c>
      <c r="V3" s="795">
        <v>403.45787504896191</v>
      </c>
      <c r="W3" s="795">
        <v>479.5150856389987</v>
      </c>
      <c r="X3" s="795">
        <v>633.01073781291166</v>
      </c>
      <c r="Y3" s="795">
        <v>358.2730411052155</v>
      </c>
      <c r="Z3" s="821">
        <v>545.34924637681161</v>
      </c>
      <c r="AA3" s="795">
        <v>682.59344927536222</v>
      </c>
      <c r="AB3" s="795">
        <v>774.45021645021643</v>
      </c>
      <c r="AC3" s="795">
        <v>475.74044795783925</v>
      </c>
      <c r="AD3" s="795">
        <v>594.96508563899874</v>
      </c>
      <c r="AE3" s="795">
        <v>767.50856389986825</v>
      </c>
      <c r="AF3" s="795">
        <v>796.81847932338815</v>
      </c>
      <c r="AG3" s="795">
        <v>768.08357778885488</v>
      </c>
      <c r="AH3" s="795">
        <v>4349.9999999999982</v>
      </c>
      <c r="AI3" s="795">
        <v>2714.6502028985515</v>
      </c>
      <c r="AJ3" s="795">
        <v>1058</v>
      </c>
      <c r="AK3" s="795">
        <v>10979</v>
      </c>
      <c r="AL3" s="795">
        <v>15650</v>
      </c>
      <c r="AM3" s="795">
        <v>16386</v>
      </c>
      <c r="AN3" s="795">
        <v>51877</v>
      </c>
      <c r="AO3" s="795">
        <v>174700</v>
      </c>
      <c r="AP3" s="795">
        <v>8550</v>
      </c>
      <c r="AQ3" s="662">
        <v>3539.05</v>
      </c>
    </row>
    <row r="4" spans="2:43" x14ac:dyDescent="0.25">
      <c r="B4" s="663" t="s">
        <v>615</v>
      </c>
      <c r="C4" s="787" t="s">
        <v>425</v>
      </c>
      <c r="D4" s="796">
        <v>15.178545742284125</v>
      </c>
      <c r="E4" s="796">
        <v>15.5302440247767</v>
      </c>
      <c r="F4" s="796">
        <v>15.856153202249894</v>
      </c>
      <c r="G4" s="796">
        <v>16.605015146525233</v>
      </c>
      <c r="H4" s="796">
        <v>15.647643432275565</v>
      </c>
      <c r="I4" s="796">
        <v>16.321728305213831</v>
      </c>
      <c r="J4" s="796">
        <v>8.9893172800531929</v>
      </c>
      <c r="K4" s="796">
        <v>11.469215572121362</v>
      </c>
      <c r="L4" s="796">
        <v>10.507494447146378</v>
      </c>
      <c r="M4" s="796">
        <v>7.1268429885271827</v>
      </c>
      <c r="N4" s="796">
        <v>6.5959857442984982</v>
      </c>
      <c r="O4" s="796">
        <v>9.7397572118563573</v>
      </c>
      <c r="P4" s="796"/>
      <c r="Q4" s="796">
        <v>12.131184059215649</v>
      </c>
      <c r="R4" s="796">
        <v>5.7711678123531716</v>
      </c>
      <c r="S4" s="796">
        <v>7.3987565089055831</v>
      </c>
      <c r="T4" s="796">
        <v>5.5511391151788008</v>
      </c>
      <c r="U4" s="796">
        <v>5.5443891151788014</v>
      </c>
      <c r="V4" s="796">
        <v>5.7811758323540925</v>
      </c>
      <c r="W4" s="796">
        <v>4.409698287220027</v>
      </c>
      <c r="X4" s="796">
        <v>7.0485165217391303</v>
      </c>
      <c r="Y4" s="796">
        <v>5.2048134841650082</v>
      </c>
      <c r="Z4" s="822">
        <v>5.5692550724637684</v>
      </c>
      <c r="AA4" s="796">
        <v>7.3743710144927537</v>
      </c>
      <c r="AB4" s="796">
        <v>9.2609956709956709</v>
      </c>
      <c r="AC4" s="796">
        <v>6.085191040843215</v>
      </c>
      <c r="AD4" s="796">
        <v>9.8506982872200268</v>
      </c>
      <c r="AE4" s="796">
        <v>7.849828722002635</v>
      </c>
      <c r="AF4" s="796">
        <v>12.663630413532237</v>
      </c>
      <c r="AG4" s="796">
        <v>22.3642528240381</v>
      </c>
      <c r="AH4" s="796">
        <v>209.88000000000002</v>
      </c>
      <c r="AI4" s="796">
        <v>136.23983464347828</v>
      </c>
      <c r="AJ4" s="796">
        <v>101.9568</v>
      </c>
      <c r="AK4" s="796">
        <v>238.15440000000004</v>
      </c>
      <c r="AL4" s="796">
        <v>81.84</v>
      </c>
      <c r="AM4" s="796">
        <v>2339.4096</v>
      </c>
      <c r="AN4" s="796">
        <v>557.64720000000011</v>
      </c>
      <c r="AO4" s="796">
        <v>3147.6192000000001</v>
      </c>
      <c r="AP4" s="796">
        <v>134.64000000000001</v>
      </c>
      <c r="AQ4" s="664">
        <v>94.669079999999994</v>
      </c>
    </row>
    <row r="5" spans="2:43" s="238" customFormat="1" x14ac:dyDescent="0.25">
      <c r="B5" s="665" t="s">
        <v>616</v>
      </c>
      <c r="C5" s="788" t="s">
        <v>495</v>
      </c>
      <c r="D5" s="744">
        <f>'Cropping GMs - N cost Grain £'!D5*(1+'Cropping GMs - grain price var'!D6)</f>
        <v>472.5</v>
      </c>
      <c r="E5" s="744">
        <v>150</v>
      </c>
      <c r="F5" s="744">
        <v>164</v>
      </c>
      <c r="G5" s="744">
        <v>164</v>
      </c>
      <c r="H5" s="744">
        <v>153</v>
      </c>
      <c r="I5" s="744">
        <v>153</v>
      </c>
      <c r="J5" s="744">
        <v>164</v>
      </c>
      <c r="K5" s="744">
        <v>131</v>
      </c>
      <c r="L5" s="744">
        <v>152</v>
      </c>
      <c r="M5" s="744">
        <v>131</v>
      </c>
      <c r="N5" s="744">
        <v>157</v>
      </c>
      <c r="O5" s="744">
        <v>131</v>
      </c>
      <c r="P5" s="744">
        <v>140</v>
      </c>
      <c r="Q5" s="744">
        <v>350</v>
      </c>
      <c r="R5" s="744">
        <v>350</v>
      </c>
      <c r="S5" s="744">
        <v>185</v>
      </c>
      <c r="T5" s="744">
        <v>188</v>
      </c>
      <c r="U5" s="744">
        <v>185</v>
      </c>
      <c r="V5" s="744">
        <v>185</v>
      </c>
      <c r="W5" s="744">
        <v>400</v>
      </c>
      <c r="X5" s="744">
        <v>400</v>
      </c>
      <c r="Y5" s="744">
        <v>131</v>
      </c>
      <c r="Z5" s="761">
        <v>145</v>
      </c>
      <c r="AA5" s="744">
        <v>160</v>
      </c>
      <c r="AB5" s="744">
        <v>165</v>
      </c>
      <c r="AC5" s="744">
        <v>260</v>
      </c>
      <c r="AD5" s="744">
        <v>145</v>
      </c>
      <c r="AE5" s="744">
        <v>2900</v>
      </c>
      <c r="AF5" s="744">
        <v>1100</v>
      </c>
      <c r="AG5" s="797">
        <v>21.66</v>
      </c>
      <c r="AH5" s="744">
        <v>8.1999999999999993</v>
      </c>
      <c r="AI5" s="744">
        <v>170</v>
      </c>
      <c r="AJ5" s="744">
        <v>410</v>
      </c>
      <c r="AK5" s="744">
        <v>800</v>
      </c>
      <c r="AL5" s="744">
        <v>2500</v>
      </c>
      <c r="AM5" s="744">
        <v>3500</v>
      </c>
      <c r="AN5" s="744">
        <v>73000</v>
      </c>
      <c r="AO5" s="744">
        <v>293928</v>
      </c>
      <c r="AP5" s="744">
        <v>325</v>
      </c>
      <c r="AQ5" s="666">
        <v>750</v>
      </c>
    </row>
    <row r="6" spans="2:43" s="238" customFormat="1" x14ac:dyDescent="0.25">
      <c r="B6" s="1099" t="s">
        <v>988</v>
      </c>
      <c r="C6" s="788" t="s">
        <v>449</v>
      </c>
      <c r="D6" s="1100">
        <f>'Cropping GMs - N cost Grain £'!$E$133</f>
        <v>2.15</v>
      </c>
      <c r="E6" s="1100">
        <f>'Cropping GMs - N cost Grain £'!$E$133</f>
        <v>2.15</v>
      </c>
      <c r="F6" s="1100">
        <f>'Cropping GMs - N cost Grain £'!$E$133</f>
        <v>2.15</v>
      </c>
      <c r="G6" s="1100">
        <f>'Cropping GMs - N cost Grain £'!$E$133</f>
        <v>2.15</v>
      </c>
      <c r="H6" s="1100">
        <f>'Cropping GMs - N cost Grain £'!$E$133</f>
        <v>2.15</v>
      </c>
      <c r="I6" s="1100">
        <f>'Cropping GMs - N cost Grain £'!$E$133</f>
        <v>2.15</v>
      </c>
      <c r="J6" s="1100">
        <f>'Cropping GMs - N cost Grain £'!$E$133</f>
        <v>2.15</v>
      </c>
      <c r="K6" s="1100">
        <f>'Cropping GMs - N cost Grain £'!$E$133</f>
        <v>2.15</v>
      </c>
      <c r="L6" s="1100">
        <f>'Cropping GMs - N cost Grain £'!$E$133</f>
        <v>2.15</v>
      </c>
      <c r="M6" s="1100">
        <f>'Cropping GMs - N cost Grain £'!$E$133</f>
        <v>2.15</v>
      </c>
      <c r="N6" s="1100">
        <f>'Cropping GMs - N cost Grain £'!$E$133</f>
        <v>2.15</v>
      </c>
      <c r="O6" s="1100">
        <f>'Cropping GMs - N cost Grain £'!$E$133</f>
        <v>2.15</v>
      </c>
      <c r="P6" s="1100">
        <f>'Cropping GMs - N cost Grain £'!$E$133</f>
        <v>2.15</v>
      </c>
      <c r="Q6" s="1100">
        <f>'Cropping GMs - N cost Grain £'!$E$133</f>
        <v>2.15</v>
      </c>
      <c r="R6" s="1100">
        <f>'Cropping GMs - N cost Grain £'!$E$133</f>
        <v>2.15</v>
      </c>
      <c r="S6" s="1100">
        <f>'Cropping GMs - N cost Grain £'!$E$133</f>
        <v>2.15</v>
      </c>
      <c r="T6" s="1100">
        <f>'Cropping GMs - N cost Grain £'!$E$133</f>
        <v>2.15</v>
      </c>
      <c r="U6" s="1100">
        <f>'Cropping GMs - N cost Grain £'!$E$133</f>
        <v>2.15</v>
      </c>
      <c r="V6" s="1100">
        <f>'Cropping GMs - N cost Grain £'!$E$133</f>
        <v>2.15</v>
      </c>
      <c r="W6" s="1100">
        <f>'Cropping GMs - N cost Grain £'!$E$133</f>
        <v>2.15</v>
      </c>
      <c r="X6" s="1100">
        <f>'Cropping GMs - N cost Grain £'!$E$133</f>
        <v>2.15</v>
      </c>
      <c r="Y6" s="1100">
        <f>'Cropping GMs - N cost Grain £'!$E$133</f>
        <v>2.15</v>
      </c>
      <c r="Z6" s="1100">
        <f>'Cropping GMs - N cost Grain £'!$E$133</f>
        <v>2.15</v>
      </c>
      <c r="AA6" s="1100">
        <f>'Cropping GMs - N cost Grain £'!$E$133</f>
        <v>2.15</v>
      </c>
      <c r="AB6" s="1100">
        <f>'Cropping GMs - N cost Grain £'!$E$133</f>
        <v>2.15</v>
      </c>
      <c r="AC6" s="1100">
        <f>'Cropping GMs - N cost Grain £'!$E$133</f>
        <v>2.15</v>
      </c>
      <c r="AD6" s="1100">
        <f>'Cropping GMs - N cost Grain £'!$E$133</f>
        <v>2.15</v>
      </c>
      <c r="AE6" s="1100">
        <f>'Cropping GMs - N cost Grain £'!$E$133</f>
        <v>2.15</v>
      </c>
      <c r="AF6" s="1100">
        <f>'Cropping GMs - N cost Grain £'!$E$133</f>
        <v>2.15</v>
      </c>
      <c r="AG6" s="1100">
        <f>'Cropping GMs - N cost Grain £'!$E$133</f>
        <v>2.15</v>
      </c>
      <c r="AH6" s="1100">
        <f>'Cropping GMs - N cost Grain £'!$E$133</f>
        <v>2.15</v>
      </c>
      <c r="AI6" s="1100">
        <f>'Cropping GMs - N cost Grain £'!$E$133</f>
        <v>2.15</v>
      </c>
      <c r="AJ6" s="1100">
        <f>'Cropping GMs - N cost Grain £'!$E$133</f>
        <v>2.15</v>
      </c>
      <c r="AK6" s="1100">
        <f>'Cropping GMs - N cost Grain £'!$E$133</f>
        <v>2.15</v>
      </c>
      <c r="AL6" s="1100">
        <f>'Cropping GMs - N cost Grain £'!$E$133</f>
        <v>2.15</v>
      </c>
      <c r="AM6" s="1100">
        <f>'Cropping GMs - N cost Grain £'!$E$133</f>
        <v>2.15</v>
      </c>
      <c r="AN6" s="1100">
        <f>'Cropping GMs - N cost Grain £'!$E$133</f>
        <v>2.15</v>
      </c>
      <c r="AO6" s="1100">
        <f>'Cropping GMs - N cost Grain £'!$E$133</f>
        <v>2.15</v>
      </c>
      <c r="AP6" s="1100">
        <f>'Cropping GMs - N cost Grain £'!$E$133</f>
        <v>2.15</v>
      </c>
      <c r="AQ6" s="1100">
        <f>'Cropping GMs - N cost Grain £'!$E$133</f>
        <v>2.15</v>
      </c>
    </row>
    <row r="7" spans="2:43" s="238" customFormat="1" x14ac:dyDescent="0.25">
      <c r="B7" s="667" t="s">
        <v>617</v>
      </c>
      <c r="C7" s="789" t="s">
        <v>495</v>
      </c>
      <c r="D7" s="797"/>
      <c r="E7" s="797"/>
      <c r="F7" s="814">
        <v>0.09</v>
      </c>
      <c r="G7" s="797"/>
      <c r="H7" s="814">
        <v>1.7000000000000001E-2</v>
      </c>
      <c r="I7" s="815">
        <v>1.7000000000000001E-2</v>
      </c>
      <c r="J7" s="797"/>
      <c r="K7" s="816">
        <v>0.87</v>
      </c>
      <c r="L7" s="816">
        <v>0.16</v>
      </c>
      <c r="M7" s="797"/>
      <c r="N7" s="797"/>
      <c r="O7" s="816">
        <v>1</v>
      </c>
      <c r="P7" s="816"/>
      <c r="Q7" s="816">
        <v>0.44</v>
      </c>
      <c r="R7" s="811"/>
      <c r="S7" s="818">
        <v>35</v>
      </c>
      <c r="T7" s="814">
        <v>0.25</v>
      </c>
      <c r="U7" s="797"/>
      <c r="V7" s="797"/>
      <c r="W7" s="820">
        <v>1.1299999999999999</v>
      </c>
      <c r="X7" s="797"/>
      <c r="Y7" s="797"/>
      <c r="Z7" s="823">
        <v>-5</v>
      </c>
      <c r="AA7" s="797">
        <v>10</v>
      </c>
      <c r="AB7" s="816">
        <v>0.1</v>
      </c>
      <c r="AC7" s="816">
        <v>0.75</v>
      </c>
      <c r="AD7" s="797"/>
      <c r="AE7" s="746"/>
      <c r="AF7" s="746"/>
      <c r="AG7" s="816"/>
      <c r="AH7" s="811" t="s">
        <v>618</v>
      </c>
      <c r="AI7" s="816"/>
      <c r="AJ7" s="816"/>
      <c r="AK7" s="816"/>
      <c r="AL7" s="816"/>
      <c r="AM7" s="816"/>
      <c r="AN7" s="816"/>
      <c r="AO7" s="746"/>
      <c r="AP7" s="811"/>
      <c r="AQ7" s="19"/>
    </row>
    <row r="8" spans="2:43" s="238" customFormat="1" x14ac:dyDescent="0.25">
      <c r="B8" s="668" t="s">
        <v>619</v>
      </c>
      <c r="C8" s="790"/>
      <c r="D8" s="752"/>
      <c r="E8" s="811"/>
      <c r="F8" s="811"/>
      <c r="G8" s="811"/>
      <c r="H8" s="811"/>
      <c r="I8" s="811"/>
      <c r="J8" s="811"/>
      <c r="K8" s="811"/>
      <c r="L8" s="811"/>
      <c r="M8" s="811"/>
      <c r="N8" s="811"/>
      <c r="O8" s="811"/>
      <c r="P8" s="811"/>
      <c r="Q8" s="811"/>
      <c r="R8" s="811"/>
      <c r="S8" s="811"/>
      <c r="T8" s="811"/>
      <c r="U8" s="811"/>
      <c r="V8" s="811"/>
      <c r="W8" s="811"/>
      <c r="X8" s="811"/>
      <c r="Y8" s="811"/>
      <c r="Z8" s="29"/>
      <c r="AA8" s="811"/>
      <c r="AB8" s="811"/>
      <c r="AC8" s="811"/>
      <c r="AD8" s="811"/>
      <c r="AE8" s="746"/>
      <c r="AF8" s="746"/>
      <c r="AG8" s="811"/>
      <c r="AH8" s="746"/>
      <c r="AI8" s="811"/>
      <c r="AJ8" s="811"/>
      <c r="AK8" s="811"/>
      <c r="AL8" s="811"/>
      <c r="AM8" s="811"/>
      <c r="AN8" s="811"/>
      <c r="AO8" s="746"/>
      <c r="AP8" s="811"/>
      <c r="AQ8" s="19"/>
    </row>
    <row r="9" spans="2:43" s="238" customFormat="1" x14ac:dyDescent="0.25">
      <c r="B9" s="668" t="s">
        <v>620</v>
      </c>
      <c r="C9" s="791" t="s">
        <v>539</v>
      </c>
      <c r="D9" s="798">
        <v>8.5063509672239537</v>
      </c>
      <c r="E9" s="812">
        <v>7.7075388092501118</v>
      </c>
      <c r="F9" s="812">
        <v>7.8325805935824544</v>
      </c>
      <c r="G9" s="812">
        <v>7.0970406857451538</v>
      </c>
      <c r="H9" s="812">
        <v>8.337908373813578</v>
      </c>
      <c r="I9" s="812">
        <v>7.5549142783738725</v>
      </c>
      <c r="J9" s="812">
        <v>6.0324845828833809</v>
      </c>
      <c r="K9" s="812">
        <v>7.2730710028018475</v>
      </c>
      <c r="L9" s="812">
        <v>6.7470533314323795</v>
      </c>
      <c r="M9" s="812">
        <v>5.9018484285636061</v>
      </c>
      <c r="N9" s="812">
        <v>5.7459287538363872</v>
      </c>
      <c r="O9" s="812">
        <v>5.5695328129586672</v>
      </c>
      <c r="P9" s="812">
        <v>6.6</v>
      </c>
      <c r="Q9" s="812">
        <v>3.4319018259563974</v>
      </c>
      <c r="R9" s="812">
        <v>2.2307361868716584</v>
      </c>
      <c r="S9" s="812">
        <v>3.99315</v>
      </c>
      <c r="T9" s="812">
        <v>3.6128499999999999</v>
      </c>
      <c r="U9" s="812">
        <v>3.6128499999999999</v>
      </c>
      <c r="V9" s="812">
        <v>3.7433333333333327</v>
      </c>
      <c r="W9" s="812">
        <v>1.75</v>
      </c>
      <c r="X9" s="812">
        <v>2.25</v>
      </c>
      <c r="Y9" s="812">
        <v>4.7214787428508851</v>
      </c>
      <c r="Z9" s="29">
        <v>4.5</v>
      </c>
      <c r="AA9" s="811">
        <v>5.5</v>
      </c>
      <c r="AB9" s="811">
        <v>7.5</v>
      </c>
      <c r="AC9" s="812">
        <v>3</v>
      </c>
      <c r="AD9" s="811">
        <v>7.5</v>
      </c>
      <c r="AE9" s="811">
        <v>0.4</v>
      </c>
      <c r="AF9" s="811">
        <v>1.3</v>
      </c>
      <c r="AG9" s="812">
        <v>74.571300396037714</v>
      </c>
      <c r="AH9" s="811">
        <v>1500</v>
      </c>
      <c r="AI9" s="812">
        <v>46.325000000000003</v>
      </c>
      <c r="AJ9" s="812">
        <v>12</v>
      </c>
      <c r="AK9" s="809">
        <v>25</v>
      </c>
      <c r="AL9" s="809">
        <v>7.5</v>
      </c>
      <c r="AM9" s="809">
        <v>30</v>
      </c>
      <c r="AN9" s="809">
        <v>1</v>
      </c>
      <c r="AO9" s="809">
        <v>1</v>
      </c>
      <c r="AP9" s="811">
        <v>42</v>
      </c>
      <c r="AQ9" s="19">
        <v>9.5</v>
      </c>
    </row>
    <row r="10" spans="2:43" s="238" customFormat="1" x14ac:dyDescent="0.25">
      <c r="B10" s="667" t="s">
        <v>621</v>
      </c>
      <c r="C10" s="791" t="s">
        <v>539</v>
      </c>
      <c r="D10" s="799">
        <v>0.15</v>
      </c>
      <c r="E10" s="799">
        <v>0.15</v>
      </c>
      <c r="F10" s="799">
        <v>0.15</v>
      </c>
      <c r="G10" s="799">
        <v>0.15</v>
      </c>
      <c r="H10" s="799">
        <v>0.15</v>
      </c>
      <c r="I10" s="799">
        <v>0.15</v>
      </c>
      <c r="J10" s="799">
        <v>0.15</v>
      </c>
      <c r="K10" s="799">
        <v>0.2</v>
      </c>
      <c r="L10" s="799">
        <v>0.2</v>
      </c>
      <c r="M10" s="799">
        <v>0.2</v>
      </c>
      <c r="N10" s="799">
        <v>0.2</v>
      </c>
      <c r="O10" s="799">
        <v>0.2</v>
      </c>
      <c r="P10" s="799"/>
      <c r="Q10" s="799">
        <v>0.05</v>
      </c>
      <c r="R10" s="799">
        <v>0.05</v>
      </c>
      <c r="S10" s="799">
        <v>0.05</v>
      </c>
      <c r="T10" s="799">
        <v>0.05</v>
      </c>
      <c r="U10" s="799">
        <v>0.05</v>
      </c>
      <c r="V10" s="799">
        <v>0.05</v>
      </c>
      <c r="W10" s="799">
        <v>0.05</v>
      </c>
      <c r="X10" s="799">
        <v>0.05</v>
      </c>
      <c r="Y10" s="799">
        <v>0.2</v>
      </c>
      <c r="Z10" s="824">
        <v>0.15</v>
      </c>
      <c r="AA10" s="799">
        <v>0.15</v>
      </c>
      <c r="AB10" s="799">
        <v>0.15</v>
      </c>
      <c r="AC10" s="799">
        <v>0.05</v>
      </c>
      <c r="AD10" s="799">
        <v>0.05</v>
      </c>
      <c r="AE10" s="799">
        <v>0.05</v>
      </c>
      <c r="AF10" s="799">
        <v>0.15</v>
      </c>
      <c r="AG10" s="799">
        <v>0.1</v>
      </c>
      <c r="AH10" s="799">
        <v>0.1</v>
      </c>
      <c r="AI10" s="799">
        <v>0.1</v>
      </c>
      <c r="AJ10" s="799">
        <v>0.15</v>
      </c>
      <c r="AK10" s="799">
        <v>0.15</v>
      </c>
      <c r="AL10" s="799">
        <v>0.15</v>
      </c>
      <c r="AM10" s="799">
        <v>0.15</v>
      </c>
      <c r="AN10" s="799">
        <v>0.2</v>
      </c>
      <c r="AO10" s="799">
        <v>0.2</v>
      </c>
      <c r="AP10" s="811"/>
      <c r="AQ10" s="19"/>
    </row>
    <row r="11" spans="2:43" s="238" customFormat="1" x14ac:dyDescent="0.25">
      <c r="B11" s="667" t="s">
        <v>622</v>
      </c>
      <c r="C11" s="791" t="s">
        <v>539</v>
      </c>
      <c r="D11" s="799">
        <v>0.04</v>
      </c>
      <c r="E11" s="799">
        <v>0.04</v>
      </c>
      <c r="F11" s="799">
        <v>0.04</v>
      </c>
      <c r="G11" s="799">
        <v>0.04</v>
      </c>
      <c r="H11" s="799">
        <v>0.04</v>
      </c>
      <c r="I11" s="799">
        <v>0.04</v>
      </c>
      <c r="J11" s="799">
        <v>0.04</v>
      </c>
      <c r="K11" s="799">
        <v>7.0000000000000007E-2</v>
      </c>
      <c r="L11" s="799">
        <v>7.0000000000000007E-2</v>
      </c>
      <c r="M11" s="799">
        <v>7.0000000000000007E-2</v>
      </c>
      <c r="N11" s="799">
        <v>7.0000000000000007E-2</v>
      </c>
      <c r="O11" s="799">
        <v>7.0000000000000007E-2</v>
      </c>
      <c r="P11" s="799"/>
      <c r="Q11" s="799">
        <v>0.05</v>
      </c>
      <c r="R11" s="799">
        <v>0.05</v>
      </c>
      <c r="S11" s="799">
        <v>0.05</v>
      </c>
      <c r="T11" s="799">
        <v>0.05</v>
      </c>
      <c r="U11" s="799">
        <v>0.05</v>
      </c>
      <c r="V11" s="799">
        <v>0.05</v>
      </c>
      <c r="W11" s="799">
        <v>0.05</v>
      </c>
      <c r="X11" s="799">
        <v>0.05</v>
      </c>
      <c r="Y11" s="799">
        <v>7.0000000000000007E-2</v>
      </c>
      <c r="Z11" s="824">
        <v>0.04</v>
      </c>
      <c r="AA11" s="799">
        <v>0.04</v>
      </c>
      <c r="AB11" s="799">
        <v>7.0000000000000007E-2</v>
      </c>
      <c r="AC11" s="799">
        <v>0.05</v>
      </c>
      <c r="AD11" s="799">
        <v>0.05</v>
      </c>
      <c r="AE11" s="799">
        <v>0.05</v>
      </c>
      <c r="AF11" s="799">
        <v>0.04</v>
      </c>
      <c r="AG11" s="799">
        <v>0.1</v>
      </c>
      <c r="AH11" s="799">
        <v>0.1</v>
      </c>
      <c r="AI11" s="799">
        <v>0.1</v>
      </c>
      <c r="AJ11" s="799">
        <v>0.15</v>
      </c>
      <c r="AK11" s="799">
        <v>0.15</v>
      </c>
      <c r="AL11" s="799">
        <v>0.15</v>
      </c>
      <c r="AM11" s="799">
        <v>0.15</v>
      </c>
      <c r="AN11" s="799">
        <v>0.2</v>
      </c>
      <c r="AO11" s="799">
        <v>0.2</v>
      </c>
      <c r="AP11" s="811"/>
      <c r="AQ11" s="19"/>
    </row>
    <row r="12" spans="2:43" s="238" customFormat="1" x14ac:dyDescent="0.25">
      <c r="B12" s="667" t="s">
        <v>623</v>
      </c>
      <c r="C12" s="791" t="s">
        <v>539</v>
      </c>
      <c r="D12" s="800">
        <v>0.105</v>
      </c>
      <c r="E12" s="800">
        <v>0.105</v>
      </c>
      <c r="F12" s="800">
        <v>0.105</v>
      </c>
      <c r="G12" s="800">
        <v>0.105</v>
      </c>
      <c r="H12" s="800">
        <v>0.105</v>
      </c>
      <c r="I12" s="800">
        <v>0.105</v>
      </c>
      <c r="J12" s="800">
        <v>0.105</v>
      </c>
      <c r="K12" s="800">
        <v>0.105</v>
      </c>
      <c r="L12" s="800">
        <v>0.105</v>
      </c>
      <c r="M12" s="800">
        <v>0.105</v>
      </c>
      <c r="N12" s="800">
        <v>0.105</v>
      </c>
      <c r="O12" s="800">
        <v>0.105</v>
      </c>
      <c r="P12" s="800"/>
      <c r="Q12" s="800">
        <v>0.105</v>
      </c>
      <c r="R12" s="800">
        <v>0.105</v>
      </c>
      <c r="S12" s="800">
        <v>0.105</v>
      </c>
      <c r="T12" s="800">
        <v>0.105</v>
      </c>
      <c r="U12" s="800">
        <v>0.105</v>
      </c>
      <c r="V12" s="800">
        <v>0.105</v>
      </c>
      <c r="W12" s="800">
        <v>0.105</v>
      </c>
      <c r="X12" s="800">
        <v>0.105</v>
      </c>
      <c r="Y12" s="800">
        <v>0.105</v>
      </c>
      <c r="Z12" s="825">
        <v>0.105</v>
      </c>
      <c r="AA12" s="800">
        <v>0.105</v>
      </c>
      <c r="AB12" s="800">
        <v>0.105</v>
      </c>
      <c r="AC12" s="800">
        <v>0.105</v>
      </c>
      <c r="AD12" s="800">
        <v>0.105</v>
      </c>
      <c r="AE12" s="800">
        <v>0.105</v>
      </c>
      <c r="AF12" s="800">
        <v>0.105</v>
      </c>
      <c r="AG12" s="800">
        <v>0.26</v>
      </c>
      <c r="AH12" s="800">
        <v>0.105</v>
      </c>
      <c r="AI12" s="800">
        <v>0.26</v>
      </c>
      <c r="AJ12" s="800"/>
      <c r="AK12" s="800"/>
      <c r="AL12" s="800"/>
      <c r="AM12" s="800"/>
      <c r="AN12" s="800"/>
      <c r="AO12" s="800"/>
      <c r="AP12" s="811"/>
      <c r="AQ12" s="19"/>
    </row>
    <row r="13" spans="2:43" s="238" customFormat="1" x14ac:dyDescent="0.25">
      <c r="B13" s="667" t="s">
        <v>411</v>
      </c>
      <c r="C13" s="791" t="s">
        <v>539</v>
      </c>
      <c r="D13" s="799">
        <v>0.3</v>
      </c>
      <c r="E13" s="799">
        <v>0.3</v>
      </c>
      <c r="F13" s="799">
        <v>0.3</v>
      </c>
      <c r="G13" s="799">
        <v>0.3</v>
      </c>
      <c r="H13" s="799">
        <v>0.3</v>
      </c>
      <c r="I13" s="799">
        <v>0.3</v>
      </c>
      <c r="J13" s="799">
        <v>0.3</v>
      </c>
      <c r="K13" s="799">
        <v>0.3</v>
      </c>
      <c r="L13" s="799">
        <v>0.3</v>
      </c>
      <c r="M13" s="799">
        <v>0.3</v>
      </c>
      <c r="N13" s="799">
        <v>0.3</v>
      </c>
      <c r="O13" s="799">
        <v>0.3</v>
      </c>
      <c r="P13" s="799"/>
      <c r="Q13" s="799">
        <v>0.15</v>
      </c>
      <c r="R13" s="799">
        <v>0.2</v>
      </c>
      <c r="S13" s="799">
        <v>0.15</v>
      </c>
      <c r="T13" s="799">
        <v>0.15</v>
      </c>
      <c r="U13" s="799">
        <v>0.15</v>
      </c>
      <c r="V13" s="799">
        <v>0.15</v>
      </c>
      <c r="W13" s="799">
        <v>0.15</v>
      </c>
      <c r="X13" s="799">
        <v>0.15</v>
      </c>
      <c r="Y13" s="800"/>
      <c r="Z13" s="825"/>
      <c r="AA13" s="800"/>
      <c r="AB13" s="800"/>
      <c r="AC13" s="800"/>
      <c r="AD13" s="800"/>
      <c r="AE13" s="800"/>
      <c r="AF13" s="800"/>
      <c r="AG13" s="800"/>
      <c r="AH13" s="800"/>
      <c r="AI13" s="800"/>
      <c r="AJ13" s="800"/>
      <c r="AK13" s="800"/>
      <c r="AL13" s="800"/>
      <c r="AM13" s="800"/>
      <c r="AN13" s="800"/>
      <c r="AO13" s="800"/>
      <c r="AP13" s="811"/>
      <c r="AQ13" s="19"/>
    </row>
    <row r="14" spans="2:43" s="238" customFormat="1" x14ac:dyDescent="0.25">
      <c r="B14" s="667" t="s">
        <v>415</v>
      </c>
      <c r="C14" s="791" t="s">
        <v>539</v>
      </c>
      <c r="D14" s="799">
        <v>0.2</v>
      </c>
      <c r="E14" s="799">
        <v>0.2</v>
      </c>
      <c r="F14" s="799">
        <v>0.2</v>
      </c>
      <c r="G14" s="799">
        <v>0.2</v>
      </c>
      <c r="H14" s="799">
        <v>0.2</v>
      </c>
      <c r="I14" s="799">
        <v>0.2</v>
      </c>
      <c r="J14" s="799">
        <v>0.2</v>
      </c>
      <c r="K14" s="799">
        <v>0.2</v>
      </c>
      <c r="L14" s="799">
        <v>0.2</v>
      </c>
      <c r="M14" s="799">
        <v>0.2</v>
      </c>
      <c r="N14" s="799">
        <v>0.2</v>
      </c>
      <c r="O14" s="799">
        <v>0.2</v>
      </c>
      <c r="P14" s="799"/>
      <c r="Q14" s="799">
        <v>0.1</v>
      </c>
      <c r="R14" s="799">
        <v>0.1</v>
      </c>
      <c r="S14" s="799">
        <v>0.1</v>
      </c>
      <c r="T14" s="799">
        <v>0.1</v>
      </c>
      <c r="U14" s="799">
        <v>0.1</v>
      </c>
      <c r="V14" s="799">
        <v>0.1</v>
      </c>
      <c r="W14" s="799">
        <v>0.1</v>
      </c>
      <c r="X14" s="799">
        <v>0.1</v>
      </c>
      <c r="Y14" s="800"/>
      <c r="Z14" s="825"/>
      <c r="AA14" s="800"/>
      <c r="AB14" s="800"/>
      <c r="AC14" s="800"/>
      <c r="AD14" s="800"/>
      <c r="AE14" s="800"/>
      <c r="AF14" s="800"/>
      <c r="AG14" s="800"/>
      <c r="AH14" s="800"/>
      <c r="AI14" s="800"/>
      <c r="AJ14" s="800"/>
      <c r="AK14" s="800"/>
      <c r="AL14" s="800"/>
      <c r="AM14" s="800"/>
      <c r="AN14" s="800"/>
      <c r="AO14" s="800"/>
      <c r="AP14" s="811"/>
      <c r="AQ14" s="19"/>
    </row>
    <row r="15" spans="2:43" s="238" customFormat="1" x14ac:dyDescent="0.25">
      <c r="B15" s="670" t="s">
        <v>412</v>
      </c>
      <c r="C15" s="791" t="s">
        <v>539</v>
      </c>
      <c r="D15" s="801">
        <v>7.25</v>
      </c>
      <c r="E15" s="801">
        <v>6.5</v>
      </c>
      <c r="F15" s="801">
        <v>6.75</v>
      </c>
      <c r="G15" s="801">
        <v>6</v>
      </c>
      <c r="H15" s="801">
        <v>7</v>
      </c>
      <c r="I15" s="801">
        <v>6.5</v>
      </c>
      <c r="J15" s="801">
        <v>5.25</v>
      </c>
      <c r="K15" s="801">
        <v>5.75</v>
      </c>
      <c r="L15" s="801">
        <v>5.5</v>
      </c>
      <c r="M15" s="801">
        <v>4.75</v>
      </c>
      <c r="N15" s="801">
        <v>4.5</v>
      </c>
      <c r="O15" s="801">
        <v>4.5</v>
      </c>
      <c r="P15" s="801"/>
      <c r="Q15" s="801">
        <v>3.25</v>
      </c>
      <c r="R15" s="801">
        <v>2</v>
      </c>
      <c r="S15" s="801">
        <v>3.75</v>
      </c>
      <c r="T15" s="801">
        <v>3.5</v>
      </c>
      <c r="U15" s="801">
        <v>3.5</v>
      </c>
      <c r="V15" s="801">
        <v>3.5</v>
      </c>
      <c r="W15" s="801">
        <v>1.75</v>
      </c>
      <c r="X15" s="801">
        <v>2.25</v>
      </c>
      <c r="Y15" s="801">
        <v>3.75</v>
      </c>
      <c r="Z15" s="826">
        <v>3.75</v>
      </c>
      <c r="AA15" s="801">
        <v>4.75</v>
      </c>
      <c r="AB15" s="801">
        <v>6.5</v>
      </c>
      <c r="AC15" s="801">
        <v>2.75</v>
      </c>
      <c r="AD15" s="801">
        <v>7.25</v>
      </c>
      <c r="AE15" s="801">
        <v>0.5</v>
      </c>
      <c r="AF15" s="801">
        <v>1</v>
      </c>
      <c r="AG15" s="801">
        <v>67</v>
      </c>
      <c r="AH15" s="833">
        <v>1350</v>
      </c>
      <c r="AI15" s="801">
        <v>41.75</v>
      </c>
      <c r="AJ15" s="801">
        <v>10.25</v>
      </c>
      <c r="AK15" s="801">
        <v>21.25</v>
      </c>
      <c r="AL15" s="801">
        <v>6.375</v>
      </c>
      <c r="AM15" s="801">
        <v>25.5</v>
      </c>
      <c r="AN15" s="801">
        <v>0.8</v>
      </c>
      <c r="AO15" s="801">
        <v>0.8</v>
      </c>
      <c r="AP15" s="834"/>
      <c r="AQ15" s="671"/>
    </row>
    <row r="16" spans="2:43" s="238" customFormat="1" x14ac:dyDescent="0.25">
      <c r="B16" s="670" t="s">
        <v>414</v>
      </c>
      <c r="C16" s="791" t="s">
        <v>539</v>
      </c>
      <c r="D16" s="801">
        <v>8.75</v>
      </c>
      <c r="E16" s="801">
        <v>8</v>
      </c>
      <c r="F16" s="801">
        <v>8.25</v>
      </c>
      <c r="G16" s="801">
        <v>7.5</v>
      </c>
      <c r="H16" s="801">
        <v>8.75</v>
      </c>
      <c r="I16" s="801">
        <v>7.75</v>
      </c>
      <c r="J16" s="801">
        <v>6.25</v>
      </c>
      <c r="K16" s="801">
        <v>7.75</v>
      </c>
      <c r="L16" s="801">
        <v>7.25</v>
      </c>
      <c r="M16" s="801">
        <v>6.25</v>
      </c>
      <c r="N16" s="801">
        <v>6.25</v>
      </c>
      <c r="O16" s="801">
        <v>6</v>
      </c>
      <c r="P16" s="801"/>
      <c r="Q16" s="801">
        <v>3.5</v>
      </c>
      <c r="R16" s="801">
        <v>2.25</v>
      </c>
      <c r="S16" s="801">
        <v>4.25</v>
      </c>
      <c r="T16" s="801">
        <v>3.75</v>
      </c>
      <c r="U16" s="801">
        <v>3.75</v>
      </c>
      <c r="V16" s="801">
        <v>4</v>
      </c>
      <c r="W16" s="801">
        <v>1.75</v>
      </c>
      <c r="X16" s="801">
        <v>2.25</v>
      </c>
      <c r="Y16" s="801">
        <v>5</v>
      </c>
      <c r="Z16" s="826">
        <v>4.75</v>
      </c>
      <c r="AA16" s="801">
        <v>5.75</v>
      </c>
      <c r="AB16" s="801">
        <v>8</v>
      </c>
      <c r="AC16" s="801">
        <v>3.25</v>
      </c>
      <c r="AD16" s="801">
        <v>8</v>
      </c>
      <c r="AE16" s="801">
        <v>0.5</v>
      </c>
      <c r="AF16" s="801">
        <v>1.25</v>
      </c>
      <c r="AG16" s="801">
        <v>82</v>
      </c>
      <c r="AH16" s="833">
        <v>1650</v>
      </c>
      <c r="AI16" s="801">
        <v>51</v>
      </c>
      <c r="AJ16" s="801">
        <v>13.75</v>
      </c>
      <c r="AK16" s="801">
        <v>28.749999999999996</v>
      </c>
      <c r="AL16" s="801">
        <v>8.625</v>
      </c>
      <c r="AM16" s="801">
        <v>34.5</v>
      </c>
      <c r="AN16" s="801">
        <v>1.2000000000000002</v>
      </c>
      <c r="AO16" s="801">
        <v>1.2000000000000002</v>
      </c>
      <c r="AP16" s="834"/>
      <c r="AQ16" s="671"/>
    </row>
    <row r="17" spans="2:43" s="238" customFormat="1" x14ac:dyDescent="0.25">
      <c r="B17" s="670" t="s">
        <v>624</v>
      </c>
      <c r="C17" s="791" t="s">
        <v>539</v>
      </c>
      <c r="D17" s="801">
        <v>6</v>
      </c>
      <c r="E17" s="801">
        <v>5.5</v>
      </c>
      <c r="F17" s="801">
        <v>5.5</v>
      </c>
      <c r="G17" s="801">
        <v>5</v>
      </c>
      <c r="H17" s="801">
        <v>5.75</v>
      </c>
      <c r="I17" s="801">
        <v>5.25</v>
      </c>
      <c r="J17" s="801">
        <v>4.25</v>
      </c>
      <c r="K17" s="801">
        <v>5</v>
      </c>
      <c r="L17" s="801">
        <v>4.75</v>
      </c>
      <c r="M17" s="801">
        <v>4.25</v>
      </c>
      <c r="N17" s="801">
        <v>4</v>
      </c>
      <c r="O17" s="801">
        <v>4</v>
      </c>
      <c r="P17" s="801"/>
      <c r="Q17" s="801">
        <v>3</v>
      </c>
      <c r="R17" s="801">
        <v>1.75</v>
      </c>
      <c r="S17" s="801">
        <v>3.5</v>
      </c>
      <c r="T17" s="801">
        <v>3</v>
      </c>
      <c r="U17" s="801">
        <v>3</v>
      </c>
      <c r="V17" s="801">
        <v>3.25</v>
      </c>
      <c r="W17" s="801">
        <v>1.5</v>
      </c>
      <c r="X17" s="801">
        <v>2</v>
      </c>
      <c r="Y17" s="801"/>
      <c r="Z17" s="826"/>
      <c r="AA17" s="801"/>
      <c r="AB17" s="801"/>
      <c r="AC17" s="801"/>
      <c r="AD17" s="801"/>
      <c r="AE17" s="801"/>
      <c r="AF17" s="801"/>
      <c r="AG17" s="801"/>
      <c r="AH17" s="833"/>
      <c r="AI17" s="801"/>
      <c r="AJ17" s="801"/>
      <c r="AK17" s="801"/>
      <c r="AL17" s="801"/>
      <c r="AM17" s="801"/>
      <c r="AN17" s="801"/>
      <c r="AO17" s="801"/>
      <c r="AP17" s="834"/>
      <c r="AQ17" s="671"/>
    </row>
    <row r="18" spans="2:43" s="238" customFormat="1" x14ac:dyDescent="0.25">
      <c r="B18" s="670" t="s">
        <v>415</v>
      </c>
      <c r="C18" s="791" t="s">
        <v>539</v>
      </c>
      <c r="D18" s="801">
        <v>10.25</v>
      </c>
      <c r="E18" s="801">
        <v>9.25</v>
      </c>
      <c r="F18" s="801">
        <v>9.5</v>
      </c>
      <c r="G18" s="801">
        <v>8.5</v>
      </c>
      <c r="H18" s="801">
        <v>10</v>
      </c>
      <c r="I18" s="801">
        <v>9</v>
      </c>
      <c r="J18" s="801">
        <v>7.25</v>
      </c>
      <c r="K18" s="801">
        <v>8.75</v>
      </c>
      <c r="L18" s="801">
        <v>8</v>
      </c>
      <c r="M18" s="801">
        <v>7</v>
      </c>
      <c r="N18" s="801">
        <v>7</v>
      </c>
      <c r="O18" s="801">
        <v>6.75</v>
      </c>
      <c r="P18" s="801"/>
      <c r="Q18" s="801">
        <v>3.75</v>
      </c>
      <c r="R18" s="801">
        <v>2.5</v>
      </c>
      <c r="S18" s="801">
        <v>4.5</v>
      </c>
      <c r="T18" s="801">
        <v>4</v>
      </c>
      <c r="U18" s="801">
        <v>4</v>
      </c>
      <c r="V18" s="801">
        <v>4</v>
      </c>
      <c r="W18" s="801">
        <v>2</v>
      </c>
      <c r="X18" s="801">
        <v>2.5</v>
      </c>
      <c r="Y18" s="801"/>
      <c r="Z18" s="826"/>
      <c r="AA18" s="801"/>
      <c r="AB18" s="801"/>
      <c r="AC18" s="801"/>
      <c r="AD18" s="801"/>
      <c r="AE18" s="801"/>
      <c r="AF18" s="801"/>
      <c r="AG18" s="801"/>
      <c r="AH18" s="833"/>
      <c r="AI18" s="801"/>
      <c r="AJ18" s="801"/>
      <c r="AK18" s="801"/>
      <c r="AL18" s="801"/>
      <c r="AM18" s="801"/>
      <c r="AN18" s="801"/>
      <c r="AO18" s="801"/>
      <c r="AP18" s="834"/>
      <c r="AQ18" s="671"/>
    </row>
    <row r="19" spans="2:43" s="238" customFormat="1" x14ac:dyDescent="0.25">
      <c r="B19" s="667"/>
      <c r="C19" s="789"/>
      <c r="D19" s="798"/>
      <c r="E19" s="812"/>
      <c r="F19" s="812"/>
      <c r="G19" s="812"/>
      <c r="H19" s="812"/>
      <c r="I19" s="812"/>
      <c r="J19" s="812"/>
      <c r="K19" s="812"/>
      <c r="L19" s="812"/>
      <c r="M19" s="812"/>
      <c r="N19" s="812"/>
      <c r="O19" s="812"/>
      <c r="P19" s="812"/>
      <c r="Q19" s="812"/>
      <c r="R19" s="812"/>
      <c r="S19" s="812"/>
      <c r="T19" s="812"/>
      <c r="U19" s="812"/>
      <c r="V19" s="812"/>
      <c r="W19" s="812"/>
      <c r="X19" s="812"/>
      <c r="Y19" s="756"/>
      <c r="Z19" s="29"/>
      <c r="AA19" s="811"/>
      <c r="AB19" s="811"/>
      <c r="AC19" s="811"/>
      <c r="AD19" s="812"/>
      <c r="AE19" s="746"/>
      <c r="AF19" s="746"/>
      <c r="AG19" s="812"/>
      <c r="AH19" s="746"/>
      <c r="AI19" s="812"/>
      <c r="AJ19" s="812"/>
      <c r="AK19" s="811"/>
      <c r="AL19" s="746"/>
      <c r="AM19" s="811"/>
      <c r="AN19" s="746"/>
      <c r="AO19" s="746"/>
      <c r="AP19" s="811"/>
      <c r="AQ19" s="19"/>
    </row>
    <row r="20" spans="2:43" s="238" customFormat="1" x14ac:dyDescent="0.25">
      <c r="B20" s="667" t="s">
        <v>625</v>
      </c>
      <c r="C20" s="791" t="s">
        <v>539</v>
      </c>
      <c r="D20" s="802">
        <v>4.3</v>
      </c>
      <c r="E20" s="802">
        <v>4.3</v>
      </c>
      <c r="F20" s="802">
        <v>4.3</v>
      </c>
      <c r="G20" s="802">
        <v>4.3</v>
      </c>
      <c r="H20" s="802">
        <v>4.3</v>
      </c>
      <c r="I20" s="802">
        <v>4.3</v>
      </c>
      <c r="J20" s="802">
        <v>4.3</v>
      </c>
      <c r="K20" s="802">
        <v>3.6</v>
      </c>
      <c r="L20" s="802">
        <v>3.6</v>
      </c>
      <c r="M20" s="802">
        <v>3.6</v>
      </c>
      <c r="N20" s="802">
        <v>3.6</v>
      </c>
      <c r="O20" s="802">
        <v>3.4</v>
      </c>
      <c r="P20" s="802"/>
      <c r="Q20" s="812">
        <v>0</v>
      </c>
      <c r="R20" s="812">
        <v>0</v>
      </c>
      <c r="S20" s="812">
        <v>0</v>
      </c>
      <c r="T20" s="812">
        <v>0</v>
      </c>
      <c r="U20" s="812">
        <v>0</v>
      </c>
      <c r="V20" s="812">
        <v>0</v>
      </c>
      <c r="W20" s="812">
        <v>0</v>
      </c>
      <c r="X20" s="812">
        <v>0</v>
      </c>
      <c r="Y20" s="812">
        <v>2.7</v>
      </c>
      <c r="Z20" s="24">
        <v>4.3</v>
      </c>
      <c r="AA20" s="812">
        <v>4.3</v>
      </c>
      <c r="AB20" s="812"/>
      <c r="AC20" s="812"/>
      <c r="AD20" s="812"/>
      <c r="AE20" s="746"/>
      <c r="AF20" s="746"/>
      <c r="AG20" s="812"/>
      <c r="AH20" s="746"/>
      <c r="AI20" s="812"/>
      <c r="AJ20" s="812"/>
      <c r="AK20" s="811"/>
      <c r="AL20" s="746"/>
      <c r="AM20" s="811"/>
      <c r="AN20" s="746"/>
      <c r="AO20" s="746"/>
      <c r="AP20" s="811"/>
      <c r="AQ20" s="19"/>
    </row>
    <row r="21" spans="2:43" s="238" customFormat="1" x14ac:dyDescent="0.25">
      <c r="B21" s="670" t="s">
        <v>626</v>
      </c>
      <c r="C21" s="791" t="s">
        <v>495</v>
      </c>
      <c r="D21" s="802">
        <v>48</v>
      </c>
      <c r="E21" s="802">
        <v>48</v>
      </c>
      <c r="F21" s="802">
        <v>48</v>
      </c>
      <c r="G21" s="802">
        <v>48</v>
      </c>
      <c r="H21" s="802">
        <v>48</v>
      </c>
      <c r="I21" s="802">
        <v>48</v>
      </c>
      <c r="J21" s="802">
        <v>48</v>
      </c>
      <c r="K21" s="802">
        <v>57</v>
      </c>
      <c r="L21" s="802">
        <v>57</v>
      </c>
      <c r="M21" s="802">
        <v>57</v>
      </c>
      <c r="N21" s="802">
        <v>57</v>
      </c>
      <c r="O21" s="802">
        <v>57</v>
      </c>
      <c r="P21" s="802"/>
      <c r="Q21" s="812">
        <v>0</v>
      </c>
      <c r="R21" s="812">
        <v>0</v>
      </c>
      <c r="S21" s="812">
        <v>0</v>
      </c>
      <c r="T21" s="812">
        <v>0</v>
      </c>
      <c r="U21" s="812">
        <v>0</v>
      </c>
      <c r="V21" s="812">
        <v>0</v>
      </c>
      <c r="W21" s="812">
        <v>0</v>
      </c>
      <c r="X21" s="812">
        <v>0</v>
      </c>
      <c r="Y21" s="812">
        <v>68.399999999999991</v>
      </c>
      <c r="Z21" s="24">
        <v>48</v>
      </c>
      <c r="AA21" s="812">
        <v>48</v>
      </c>
      <c r="AB21" s="812"/>
      <c r="AC21" s="812"/>
      <c r="AD21" s="812"/>
      <c r="AE21" s="746"/>
      <c r="AF21" s="746"/>
      <c r="AG21" s="812"/>
      <c r="AH21" s="746"/>
      <c r="AI21" s="812"/>
      <c r="AJ21" s="812"/>
      <c r="AK21" s="811"/>
      <c r="AL21" s="746"/>
      <c r="AM21" s="811"/>
      <c r="AN21" s="746"/>
      <c r="AO21" s="746"/>
      <c r="AP21" s="811"/>
      <c r="AQ21" s="19"/>
    </row>
    <row r="22" spans="2:43" s="238" customFormat="1" x14ac:dyDescent="0.25">
      <c r="B22" s="667" t="s">
        <v>627</v>
      </c>
      <c r="C22" s="789" t="s">
        <v>449</v>
      </c>
      <c r="D22" s="803">
        <v>0.83</v>
      </c>
      <c r="E22" s="803">
        <v>0.83</v>
      </c>
      <c r="F22" s="803">
        <v>0.83</v>
      </c>
      <c r="G22" s="803">
        <v>0.83</v>
      </c>
      <c r="H22" s="803">
        <v>0.83</v>
      </c>
      <c r="I22" s="803">
        <v>0.83</v>
      </c>
      <c r="J22" s="803">
        <v>0.83</v>
      </c>
      <c r="K22" s="803">
        <v>0.89</v>
      </c>
      <c r="L22" s="803">
        <v>0.89</v>
      </c>
      <c r="M22" s="803">
        <v>0.96</v>
      </c>
      <c r="N22" s="803">
        <v>0.96</v>
      </c>
      <c r="O22" s="803">
        <v>0.96</v>
      </c>
      <c r="P22" s="803"/>
      <c r="Q22" s="803">
        <v>0</v>
      </c>
      <c r="R22" s="803">
        <v>0</v>
      </c>
      <c r="S22" s="803">
        <v>0</v>
      </c>
      <c r="T22" s="803">
        <v>0</v>
      </c>
      <c r="U22" s="803">
        <v>0</v>
      </c>
      <c r="V22" s="803">
        <v>0</v>
      </c>
      <c r="W22" s="803">
        <v>0</v>
      </c>
      <c r="X22" s="803">
        <v>0</v>
      </c>
      <c r="Y22" s="803">
        <v>0</v>
      </c>
      <c r="Z22" s="827">
        <v>0.83</v>
      </c>
      <c r="AA22" s="803">
        <v>0.83</v>
      </c>
      <c r="AB22" s="812"/>
      <c r="AC22" s="812"/>
      <c r="AD22" s="812"/>
      <c r="AE22" s="746"/>
      <c r="AF22" s="746"/>
      <c r="AG22" s="803"/>
      <c r="AH22" s="746"/>
      <c r="AI22" s="803"/>
      <c r="AJ22" s="803"/>
      <c r="AK22" s="811"/>
      <c r="AL22" s="746"/>
      <c r="AM22" s="811"/>
      <c r="AN22" s="746"/>
      <c r="AO22" s="746"/>
      <c r="AP22" s="811"/>
      <c r="AQ22" s="19"/>
    </row>
    <row r="23" spans="2:43" s="238" customFormat="1" x14ac:dyDescent="0.25">
      <c r="B23" s="673" t="s">
        <v>628</v>
      </c>
      <c r="C23" s="792" t="s">
        <v>425</v>
      </c>
      <c r="D23" s="804">
        <v>1258.8119999999999</v>
      </c>
      <c r="E23" s="804">
        <v>1146.3119999999999</v>
      </c>
      <c r="F23" s="804">
        <v>1278.3119999999999</v>
      </c>
      <c r="G23" s="804">
        <v>1155.3119999999999</v>
      </c>
      <c r="H23" s="804">
        <v>1242.3119999999999</v>
      </c>
      <c r="I23" s="804">
        <v>1165.8119999999999</v>
      </c>
      <c r="J23" s="804">
        <v>1032.3119999999999</v>
      </c>
      <c r="K23" s="804">
        <v>935.87800000000004</v>
      </c>
      <c r="L23" s="804">
        <v>1018.628</v>
      </c>
      <c r="M23" s="804">
        <v>819.24199999999996</v>
      </c>
      <c r="N23" s="804">
        <v>903.49199999999996</v>
      </c>
      <c r="O23" s="804">
        <v>775.548</v>
      </c>
      <c r="P23" s="804"/>
      <c r="Q23" s="804">
        <v>1137.5</v>
      </c>
      <c r="R23" s="804">
        <v>700</v>
      </c>
      <c r="S23" s="804">
        <v>693.75</v>
      </c>
      <c r="T23" s="804">
        <v>658</v>
      </c>
      <c r="U23" s="804">
        <v>647.5</v>
      </c>
      <c r="V23" s="804">
        <v>647.5</v>
      </c>
      <c r="W23" s="804">
        <v>700</v>
      </c>
      <c r="X23" s="804">
        <v>900</v>
      </c>
      <c r="Y23" s="804">
        <v>491.25</v>
      </c>
      <c r="Z23" s="88">
        <v>715.06200000000001</v>
      </c>
      <c r="AA23" s="804">
        <v>931.31200000000001</v>
      </c>
      <c r="AB23" s="804">
        <v>1072.5</v>
      </c>
      <c r="AC23" s="804">
        <v>715</v>
      </c>
      <c r="AD23" s="804">
        <v>1051.25</v>
      </c>
      <c r="AE23" s="804">
        <v>1450</v>
      </c>
      <c r="AF23" s="804">
        <v>1100</v>
      </c>
      <c r="AG23" s="804">
        <v>1451.22</v>
      </c>
      <c r="AH23" s="804">
        <v>11069.999999999998</v>
      </c>
      <c r="AI23" s="804">
        <v>7097.5</v>
      </c>
      <c r="AJ23" s="804">
        <v>4202.5</v>
      </c>
      <c r="AK23" s="804">
        <v>17000</v>
      </c>
      <c r="AL23" s="804">
        <v>15937.5</v>
      </c>
      <c r="AM23" s="804">
        <v>89250</v>
      </c>
      <c r="AN23" s="804">
        <v>58400</v>
      </c>
      <c r="AO23" s="804">
        <v>235142.40000000002</v>
      </c>
      <c r="AP23" s="834"/>
      <c r="AQ23" s="671"/>
    </row>
    <row r="24" spans="2:43" s="238" customFormat="1" x14ac:dyDescent="0.25">
      <c r="B24" s="674" t="s">
        <v>629</v>
      </c>
      <c r="C24" s="793" t="s">
        <v>425</v>
      </c>
      <c r="D24" s="805">
        <v>1483.8119999999999</v>
      </c>
      <c r="E24" s="805">
        <v>1371.3119999999999</v>
      </c>
      <c r="F24" s="805">
        <v>1524.3119999999999</v>
      </c>
      <c r="G24" s="805">
        <v>1401.3119999999999</v>
      </c>
      <c r="H24" s="805">
        <v>1510.0619999999999</v>
      </c>
      <c r="I24" s="805">
        <v>1357.0619999999999</v>
      </c>
      <c r="J24" s="805">
        <v>1196.3119999999999</v>
      </c>
      <c r="K24" s="805">
        <v>1197.8779999999999</v>
      </c>
      <c r="L24" s="805">
        <v>1284.6279999999999</v>
      </c>
      <c r="M24" s="805">
        <v>1015.742</v>
      </c>
      <c r="N24" s="805">
        <v>1178.242</v>
      </c>
      <c r="O24" s="805">
        <v>972.048</v>
      </c>
      <c r="P24" s="805"/>
      <c r="Q24" s="805">
        <v>1225</v>
      </c>
      <c r="R24" s="805">
        <v>787.5</v>
      </c>
      <c r="S24" s="805">
        <v>786.25</v>
      </c>
      <c r="T24" s="805">
        <v>705</v>
      </c>
      <c r="U24" s="805">
        <v>693.75</v>
      </c>
      <c r="V24" s="805">
        <v>740</v>
      </c>
      <c r="W24" s="805">
        <v>700</v>
      </c>
      <c r="X24" s="805">
        <v>900</v>
      </c>
      <c r="Y24" s="805">
        <v>655</v>
      </c>
      <c r="Z24" s="80">
        <v>860.06200000000001</v>
      </c>
      <c r="AA24" s="805">
        <v>1091.3119999999999</v>
      </c>
      <c r="AB24" s="805">
        <v>1320</v>
      </c>
      <c r="AC24" s="805">
        <v>845</v>
      </c>
      <c r="AD24" s="805">
        <v>1160</v>
      </c>
      <c r="AE24" s="805">
        <v>1450</v>
      </c>
      <c r="AF24" s="805">
        <v>1375</v>
      </c>
      <c r="AG24" s="805">
        <v>1776.1200000000001</v>
      </c>
      <c r="AH24" s="805">
        <v>13529.999999999998</v>
      </c>
      <c r="AI24" s="805">
        <v>8670</v>
      </c>
      <c r="AJ24" s="805">
        <v>5637.5</v>
      </c>
      <c r="AK24" s="805">
        <v>22999.999999999996</v>
      </c>
      <c r="AL24" s="805">
        <v>21562.5</v>
      </c>
      <c r="AM24" s="805">
        <v>120750</v>
      </c>
      <c r="AN24" s="805">
        <v>87600.000000000015</v>
      </c>
      <c r="AO24" s="805">
        <v>352713.60000000003</v>
      </c>
      <c r="AP24" s="834"/>
      <c r="AQ24" s="671"/>
    </row>
    <row r="25" spans="2:43" s="238" customFormat="1" x14ac:dyDescent="0.25">
      <c r="B25" s="670" t="s">
        <v>624</v>
      </c>
      <c r="C25" s="793" t="s">
        <v>425</v>
      </c>
      <c r="D25" s="806">
        <v>1071.3119999999999</v>
      </c>
      <c r="E25" s="806">
        <v>996.31200000000001</v>
      </c>
      <c r="F25" s="806">
        <v>1073.3119999999999</v>
      </c>
      <c r="G25" s="806">
        <v>991.31200000000001</v>
      </c>
      <c r="H25" s="806">
        <v>1051.0619999999999</v>
      </c>
      <c r="I25" s="806">
        <v>974.56200000000001</v>
      </c>
      <c r="J25" s="806">
        <v>868.31200000000001</v>
      </c>
      <c r="K25" s="806">
        <v>837.62800000000004</v>
      </c>
      <c r="L25" s="806">
        <v>904.62800000000004</v>
      </c>
      <c r="M25" s="806">
        <v>753.74199999999996</v>
      </c>
      <c r="N25" s="806">
        <v>824.99199999999996</v>
      </c>
      <c r="O25" s="806">
        <v>710.048</v>
      </c>
      <c r="P25" s="806"/>
      <c r="Q25" s="806">
        <v>1050</v>
      </c>
      <c r="R25" s="806">
        <v>612.5</v>
      </c>
      <c r="S25" s="806">
        <v>647.5</v>
      </c>
      <c r="T25" s="806">
        <v>564</v>
      </c>
      <c r="U25" s="806">
        <v>555</v>
      </c>
      <c r="V25" s="806">
        <v>601.25</v>
      </c>
      <c r="W25" s="806">
        <v>600</v>
      </c>
      <c r="X25" s="806">
        <v>800</v>
      </c>
      <c r="Y25" s="805"/>
      <c r="Z25" s="80"/>
      <c r="AA25" s="805"/>
      <c r="AB25" s="805"/>
      <c r="AC25" s="805"/>
      <c r="AD25" s="805"/>
      <c r="AE25" s="805"/>
      <c r="AF25" s="805"/>
      <c r="AG25" s="805"/>
      <c r="AH25" s="805"/>
      <c r="AI25" s="805"/>
      <c r="AJ25" s="805"/>
      <c r="AK25" s="805"/>
      <c r="AL25" s="805"/>
      <c r="AM25" s="805"/>
      <c r="AN25" s="805"/>
      <c r="AO25" s="805"/>
      <c r="AP25" s="834"/>
      <c r="AQ25" s="671"/>
    </row>
    <row r="26" spans="2:43" s="238" customFormat="1" x14ac:dyDescent="0.25">
      <c r="B26" s="670" t="s">
        <v>415</v>
      </c>
      <c r="C26" s="793" t="s">
        <v>425</v>
      </c>
      <c r="D26" s="806">
        <v>1708.8119999999999</v>
      </c>
      <c r="E26" s="806">
        <v>1558.8119999999999</v>
      </c>
      <c r="F26" s="806">
        <v>1729.3119999999999</v>
      </c>
      <c r="G26" s="806">
        <v>1565.3119999999999</v>
      </c>
      <c r="H26" s="806">
        <v>1701.3119999999999</v>
      </c>
      <c r="I26" s="806">
        <v>1548.3119999999999</v>
      </c>
      <c r="J26" s="806">
        <v>1360.3119999999999</v>
      </c>
      <c r="K26" s="806">
        <v>1328.8779999999999</v>
      </c>
      <c r="L26" s="806">
        <v>1398.6279999999999</v>
      </c>
      <c r="M26" s="806">
        <v>1113.992</v>
      </c>
      <c r="N26" s="806">
        <v>1295.992</v>
      </c>
      <c r="O26" s="806">
        <v>1070.298</v>
      </c>
      <c r="P26" s="806"/>
      <c r="Q26" s="806">
        <v>1312.5</v>
      </c>
      <c r="R26" s="806">
        <v>875</v>
      </c>
      <c r="S26" s="806">
        <v>832.5</v>
      </c>
      <c r="T26" s="806">
        <v>752</v>
      </c>
      <c r="U26" s="806">
        <v>740</v>
      </c>
      <c r="V26" s="806">
        <v>740</v>
      </c>
      <c r="W26" s="806">
        <v>800</v>
      </c>
      <c r="X26" s="806">
        <v>1000</v>
      </c>
      <c r="Y26" s="805"/>
      <c r="Z26" s="80"/>
      <c r="AA26" s="805"/>
      <c r="AB26" s="805"/>
      <c r="AC26" s="805"/>
      <c r="AD26" s="805"/>
      <c r="AE26" s="805"/>
      <c r="AF26" s="805"/>
      <c r="AG26" s="805"/>
      <c r="AH26" s="805"/>
      <c r="AI26" s="805"/>
      <c r="AJ26" s="805"/>
      <c r="AK26" s="805"/>
      <c r="AL26" s="805"/>
      <c r="AM26" s="805"/>
      <c r="AN26" s="805"/>
      <c r="AO26" s="805"/>
      <c r="AP26" s="834"/>
      <c r="AQ26" s="671"/>
    </row>
    <row r="27" spans="2:43" s="238" customFormat="1" x14ac:dyDescent="0.25">
      <c r="B27" s="675" t="s">
        <v>630</v>
      </c>
      <c r="C27" s="793" t="s">
        <v>425</v>
      </c>
      <c r="D27" s="439">
        <f>D5*D9+D20*D21*D22</f>
        <v>4190.5628320133183</v>
      </c>
      <c r="E27" s="439">
        <f t="shared" ref="E27:AQ27" si="0">E5*E9+E20*E21*E22</f>
        <v>1327.4428213875167</v>
      </c>
      <c r="F27" s="439">
        <f t="shared" si="0"/>
        <v>1455.8552173475225</v>
      </c>
      <c r="G27" s="439">
        <f t="shared" si="0"/>
        <v>1335.2266724622052</v>
      </c>
      <c r="H27" s="439">
        <f t="shared" si="0"/>
        <v>1447.0119811934774</v>
      </c>
      <c r="I27" s="439">
        <f t="shared" si="0"/>
        <v>1327.2138845912025</v>
      </c>
      <c r="J27" s="439">
        <f t="shared" si="0"/>
        <v>1160.6394715928743</v>
      </c>
      <c r="K27" s="439">
        <f t="shared" si="0"/>
        <v>1135.4003013670419</v>
      </c>
      <c r="L27" s="439">
        <f t="shared" si="0"/>
        <v>1208.1801063777216</v>
      </c>
      <c r="M27" s="439">
        <f t="shared" si="0"/>
        <v>970.13414414183239</v>
      </c>
      <c r="N27" s="439">
        <f t="shared" si="0"/>
        <v>1099.1028143523129</v>
      </c>
      <c r="O27" s="439">
        <f t="shared" si="0"/>
        <v>915.65679849758544</v>
      </c>
      <c r="P27" s="439">
        <f t="shared" si="0"/>
        <v>924</v>
      </c>
      <c r="Q27" s="439">
        <f t="shared" si="0"/>
        <v>1201.165639084739</v>
      </c>
      <c r="R27" s="439">
        <f t="shared" si="0"/>
        <v>780.7576654050805</v>
      </c>
      <c r="S27" s="439">
        <f t="shared" si="0"/>
        <v>738.73275000000001</v>
      </c>
      <c r="T27" s="439">
        <f t="shared" si="0"/>
        <v>679.21579999999994</v>
      </c>
      <c r="U27" s="439">
        <f t="shared" si="0"/>
        <v>668.37725</v>
      </c>
      <c r="V27" s="439">
        <f t="shared" si="0"/>
        <v>692.51666666666654</v>
      </c>
      <c r="W27" s="439">
        <f t="shared" si="0"/>
        <v>700</v>
      </c>
      <c r="X27" s="439">
        <f t="shared" si="0"/>
        <v>900</v>
      </c>
      <c r="Y27" s="439">
        <f t="shared" si="0"/>
        <v>618.51371531346592</v>
      </c>
      <c r="Z27" s="439">
        <f t="shared" si="0"/>
        <v>823.81200000000001</v>
      </c>
      <c r="AA27" s="439">
        <f t="shared" si="0"/>
        <v>1051.3119999999999</v>
      </c>
      <c r="AB27" s="439">
        <f t="shared" si="0"/>
        <v>1237.5</v>
      </c>
      <c r="AC27" s="439">
        <f t="shared" si="0"/>
        <v>780</v>
      </c>
      <c r="AD27" s="439">
        <f t="shared" si="0"/>
        <v>1087.5</v>
      </c>
      <c r="AE27" s="439">
        <f t="shared" si="0"/>
        <v>1160</v>
      </c>
      <c r="AF27" s="439">
        <f t="shared" si="0"/>
        <v>1430</v>
      </c>
      <c r="AG27" s="439">
        <f t="shared" si="0"/>
        <v>1615.2143665781769</v>
      </c>
      <c r="AH27" s="439">
        <f t="shared" si="0"/>
        <v>12299.999999999998</v>
      </c>
      <c r="AI27" s="439">
        <f t="shared" si="0"/>
        <v>7875.2500000000009</v>
      </c>
      <c r="AJ27" s="439">
        <f t="shared" si="0"/>
        <v>4920</v>
      </c>
      <c r="AK27" s="439">
        <f t="shared" si="0"/>
        <v>20000</v>
      </c>
      <c r="AL27" s="439">
        <f t="shared" si="0"/>
        <v>18750</v>
      </c>
      <c r="AM27" s="439">
        <f t="shared" si="0"/>
        <v>105000</v>
      </c>
      <c r="AN27" s="439">
        <f t="shared" si="0"/>
        <v>73000</v>
      </c>
      <c r="AO27" s="439">
        <f t="shared" si="0"/>
        <v>293928</v>
      </c>
      <c r="AP27" s="439">
        <f t="shared" si="0"/>
        <v>13650</v>
      </c>
      <c r="AQ27" s="439">
        <f t="shared" si="0"/>
        <v>7125</v>
      </c>
    </row>
    <row r="28" spans="2:43" s="238" customFormat="1" x14ac:dyDescent="0.25">
      <c r="B28" s="667"/>
      <c r="C28" s="789"/>
      <c r="D28" s="752">
        <f>D5*D9+D20*D21*D22</f>
        <v>4190.5628320133183</v>
      </c>
      <c r="E28" s="752">
        <v>1327.4428213875167</v>
      </c>
      <c r="F28" s="752">
        <v>1455.8552173475225</v>
      </c>
      <c r="G28" s="752">
        <v>1335.2266724622052</v>
      </c>
      <c r="H28" s="811"/>
      <c r="I28" s="811"/>
      <c r="J28" s="811"/>
      <c r="K28" s="811"/>
      <c r="L28" s="811"/>
      <c r="M28" s="811"/>
      <c r="N28" s="811"/>
      <c r="O28" s="811"/>
      <c r="P28" s="811"/>
      <c r="Q28" s="811"/>
      <c r="R28" s="811"/>
      <c r="S28" s="811"/>
      <c r="T28" s="811"/>
      <c r="U28" s="811"/>
      <c r="V28" s="811"/>
      <c r="W28" s="811"/>
      <c r="X28" s="811"/>
      <c r="Y28" s="811"/>
      <c r="Z28" s="29"/>
      <c r="AA28" s="811"/>
      <c r="AB28" s="811"/>
      <c r="AC28" s="811"/>
      <c r="AD28" s="811"/>
      <c r="AE28" s="746"/>
      <c r="AF28" s="746"/>
      <c r="AG28" s="811"/>
      <c r="AH28" s="746"/>
      <c r="AI28" s="811"/>
      <c r="AJ28" s="811"/>
      <c r="AK28" s="811"/>
      <c r="AL28" s="746"/>
      <c r="AM28" s="811"/>
      <c r="AN28" s="746"/>
      <c r="AO28" s="746"/>
      <c r="AP28" s="811"/>
      <c r="AQ28" s="19"/>
    </row>
    <row r="29" spans="2:43" s="238" customFormat="1" x14ac:dyDescent="0.25">
      <c r="B29" s="668" t="s">
        <v>631</v>
      </c>
      <c r="C29" s="791"/>
      <c r="D29" s="752"/>
      <c r="E29" s="811"/>
      <c r="F29" s="811"/>
      <c r="G29" s="811"/>
      <c r="H29" s="811"/>
      <c r="I29" s="811"/>
      <c r="J29" s="811"/>
      <c r="K29" s="811"/>
      <c r="L29" s="811"/>
      <c r="M29" s="811"/>
      <c r="N29" s="811"/>
      <c r="O29" s="811"/>
      <c r="P29" s="811"/>
      <c r="Q29" s="811"/>
      <c r="R29" s="811"/>
      <c r="S29" s="811"/>
      <c r="T29" s="811"/>
      <c r="U29" s="811"/>
      <c r="V29" s="811"/>
      <c r="W29" s="811"/>
      <c r="X29" s="811"/>
      <c r="Y29" s="811"/>
      <c r="Z29" s="29"/>
      <c r="AA29" s="811"/>
      <c r="AB29" s="811"/>
      <c r="AC29" s="811"/>
      <c r="AD29" s="811"/>
      <c r="AE29" s="746"/>
      <c r="AF29" s="746"/>
      <c r="AG29" s="811"/>
      <c r="AH29" s="746"/>
      <c r="AI29" s="811"/>
      <c r="AJ29" s="811"/>
      <c r="AK29" s="811"/>
      <c r="AL29" s="746"/>
      <c r="AM29" s="811"/>
      <c r="AN29" s="746"/>
      <c r="AO29" s="746"/>
      <c r="AP29" s="811"/>
      <c r="AQ29" s="19"/>
    </row>
    <row r="30" spans="2:43" s="238" customFormat="1" x14ac:dyDescent="0.25">
      <c r="B30" s="667"/>
      <c r="C30" s="791"/>
      <c r="D30" s="752"/>
      <c r="E30" s="811"/>
      <c r="F30" s="811"/>
      <c r="G30" s="811"/>
      <c r="H30" s="811"/>
      <c r="I30" s="811"/>
      <c r="J30" s="811"/>
      <c r="K30" s="811"/>
      <c r="L30" s="811"/>
      <c r="M30" s="811"/>
      <c r="N30" s="811"/>
      <c r="O30" s="811"/>
      <c r="P30" s="811"/>
      <c r="Q30" s="811"/>
      <c r="R30" s="811"/>
      <c r="S30" s="811"/>
      <c r="T30" s="811"/>
      <c r="U30" s="811"/>
      <c r="V30" s="811"/>
      <c r="W30" s="811"/>
      <c r="X30" s="811"/>
      <c r="Y30" s="811"/>
      <c r="Z30" s="29"/>
      <c r="AA30" s="811"/>
      <c r="AB30" s="811"/>
      <c r="AC30" s="811"/>
      <c r="AD30" s="811"/>
      <c r="AE30" s="746"/>
      <c r="AF30" s="746"/>
      <c r="AG30" s="811"/>
      <c r="AH30" s="746"/>
      <c r="AI30" s="811"/>
      <c r="AJ30" s="811"/>
      <c r="AK30" s="811"/>
      <c r="AL30" s="746"/>
      <c r="AM30" s="811"/>
      <c r="AN30" s="746"/>
      <c r="AO30" s="746"/>
      <c r="AP30" s="811"/>
      <c r="AQ30" s="19"/>
    </row>
    <row r="31" spans="2:43" s="238" customFormat="1" x14ac:dyDescent="0.25">
      <c r="B31" s="668" t="s">
        <v>632</v>
      </c>
      <c r="C31" s="791"/>
      <c r="D31" s="752"/>
      <c r="E31" s="811"/>
      <c r="F31" s="811"/>
      <c r="G31" s="811"/>
      <c r="H31" s="811"/>
      <c r="I31" s="811"/>
      <c r="J31" s="811"/>
      <c r="K31" s="811"/>
      <c r="L31" s="811"/>
      <c r="M31" s="811"/>
      <c r="N31" s="811"/>
      <c r="O31" s="811"/>
      <c r="P31" s="811"/>
      <c r="Q31" s="811"/>
      <c r="R31" s="811"/>
      <c r="S31" s="811"/>
      <c r="T31" s="811"/>
      <c r="U31" s="811"/>
      <c r="V31" s="811"/>
      <c r="W31" s="811"/>
      <c r="X31" s="811"/>
      <c r="Y31" s="811"/>
      <c r="Z31" s="29"/>
      <c r="AA31" s="811"/>
      <c r="AB31" s="811"/>
      <c r="AC31" s="811"/>
      <c r="AD31" s="811"/>
      <c r="AE31" s="746"/>
      <c r="AF31" s="746"/>
      <c r="AG31" s="811"/>
      <c r="AH31" s="746"/>
      <c r="AI31" s="811"/>
      <c r="AJ31" s="811"/>
      <c r="AK31" s="811"/>
      <c r="AL31" s="746"/>
      <c r="AM31" s="811"/>
      <c r="AN31" s="746"/>
      <c r="AO31" s="746"/>
      <c r="AP31" s="811"/>
      <c r="AQ31" s="19"/>
    </row>
    <row r="32" spans="2:43" s="238" customFormat="1" x14ac:dyDescent="0.25">
      <c r="B32" s="670" t="s">
        <v>633</v>
      </c>
      <c r="C32" s="791" t="s">
        <v>495</v>
      </c>
      <c r="D32" s="807">
        <v>75</v>
      </c>
      <c r="E32" s="807">
        <v>275</v>
      </c>
      <c r="F32" s="807">
        <v>75</v>
      </c>
      <c r="G32" s="807">
        <v>275</v>
      </c>
      <c r="H32" s="807">
        <v>75</v>
      </c>
      <c r="I32" s="807">
        <v>275</v>
      </c>
      <c r="J32" s="807">
        <v>75</v>
      </c>
      <c r="K32" s="807">
        <v>75</v>
      </c>
      <c r="L32" s="807">
        <v>75</v>
      </c>
      <c r="M32" s="807">
        <v>75</v>
      </c>
      <c r="N32" s="807">
        <v>75</v>
      </c>
      <c r="O32" s="807">
        <v>75</v>
      </c>
      <c r="P32" s="807"/>
      <c r="Q32" s="807">
        <v>750</v>
      </c>
      <c r="R32" s="817">
        <v>750</v>
      </c>
      <c r="S32" s="819">
        <v>22</v>
      </c>
      <c r="T32" s="819">
        <v>22</v>
      </c>
      <c r="U32" s="819">
        <v>22</v>
      </c>
      <c r="V32" s="819">
        <v>22</v>
      </c>
      <c r="W32" s="807"/>
      <c r="X32" s="807"/>
      <c r="Y32" s="756">
        <v>75</v>
      </c>
      <c r="Z32" s="20">
        <v>75</v>
      </c>
      <c r="AA32" s="807">
        <v>75</v>
      </c>
      <c r="AB32" s="807"/>
      <c r="AC32" s="807"/>
      <c r="AD32" s="807"/>
      <c r="AE32" s="807"/>
      <c r="AF32" s="807">
        <v>169</v>
      </c>
      <c r="AG32" s="819"/>
      <c r="AH32" s="746"/>
      <c r="AI32" s="819"/>
      <c r="AJ32" s="819"/>
      <c r="AK32" s="811"/>
      <c r="AL32" s="746"/>
      <c r="AM32" s="811"/>
      <c r="AN32" s="746"/>
      <c r="AO32" s="746"/>
      <c r="AP32" s="811"/>
      <c r="AQ32" s="19"/>
    </row>
    <row r="33" spans="2:43" s="238" customFormat="1" x14ac:dyDescent="0.25">
      <c r="B33" s="670" t="s">
        <v>634</v>
      </c>
      <c r="C33" s="791" t="s">
        <v>495</v>
      </c>
      <c r="D33" s="807">
        <v>14.7</v>
      </c>
      <c r="E33" s="807">
        <v>14.7</v>
      </c>
      <c r="F33" s="807">
        <v>14.7</v>
      </c>
      <c r="G33" s="807">
        <v>14.7</v>
      </c>
      <c r="H33" s="807">
        <v>14.7</v>
      </c>
      <c r="I33" s="807">
        <v>14.7</v>
      </c>
      <c r="J33" s="807">
        <v>14.7</v>
      </c>
      <c r="K33" s="807">
        <v>16.399999999999999</v>
      </c>
      <c r="L33" s="807">
        <v>16.399999999999999</v>
      </c>
      <c r="M33" s="807">
        <v>16.399999999999999</v>
      </c>
      <c r="N33" s="807">
        <v>16.399999999999999</v>
      </c>
      <c r="O33" s="807">
        <v>19.8</v>
      </c>
      <c r="P33" s="807"/>
      <c r="Q33" s="807">
        <v>121</v>
      </c>
      <c r="R33" s="807">
        <v>229</v>
      </c>
      <c r="S33" s="807">
        <v>18.3</v>
      </c>
      <c r="T33" s="807">
        <v>18.3</v>
      </c>
      <c r="U33" s="807">
        <v>18.3</v>
      </c>
      <c r="V33" s="807">
        <v>17.5</v>
      </c>
      <c r="W33" s="807"/>
      <c r="X33" s="807"/>
      <c r="Y33" s="807">
        <v>16.399999999999999</v>
      </c>
      <c r="Z33" s="828">
        <v>14.7</v>
      </c>
      <c r="AA33" s="756">
        <v>14.7</v>
      </c>
      <c r="AB33" s="746"/>
      <c r="AC33" s="746"/>
      <c r="AD33" s="746"/>
      <c r="AE33" s="746"/>
      <c r="AF33" s="746"/>
      <c r="AG33" s="807"/>
      <c r="AH33" s="746"/>
      <c r="AI33" s="807"/>
      <c r="AJ33" s="807"/>
      <c r="AK33" s="811"/>
      <c r="AL33" s="746">
        <v>6250</v>
      </c>
      <c r="AM33" s="811"/>
      <c r="AN33" s="746"/>
      <c r="AO33" s="746"/>
      <c r="AP33" s="811"/>
      <c r="AQ33" s="19"/>
    </row>
    <row r="34" spans="2:43" s="238" customFormat="1" x14ac:dyDescent="0.25">
      <c r="B34" s="670" t="s">
        <v>635</v>
      </c>
      <c r="C34" s="791" t="s">
        <v>495</v>
      </c>
      <c r="D34" s="807">
        <v>52</v>
      </c>
      <c r="E34" s="807">
        <v>52</v>
      </c>
      <c r="F34" s="807">
        <v>52</v>
      </c>
      <c r="G34" s="807">
        <v>52</v>
      </c>
      <c r="H34" s="807">
        <v>52</v>
      </c>
      <c r="I34" s="807">
        <v>52</v>
      </c>
      <c r="J34" s="807">
        <v>52</v>
      </c>
      <c r="K34" s="807">
        <v>49</v>
      </c>
      <c r="L34" s="807">
        <v>49</v>
      </c>
      <c r="M34" s="807">
        <v>53</v>
      </c>
      <c r="N34" s="807">
        <v>53</v>
      </c>
      <c r="O34" s="807">
        <v>42</v>
      </c>
      <c r="P34" s="807"/>
      <c r="Q34" s="807">
        <v>2393</v>
      </c>
      <c r="R34" s="807">
        <v>2393</v>
      </c>
      <c r="S34" s="807">
        <v>60</v>
      </c>
      <c r="T34" s="807">
        <v>60</v>
      </c>
      <c r="U34" s="807">
        <v>60</v>
      </c>
      <c r="V34" s="807">
        <v>41</v>
      </c>
      <c r="W34" s="807"/>
      <c r="X34" s="807"/>
      <c r="Y34" s="807">
        <v>53</v>
      </c>
      <c r="Z34" s="828">
        <v>47</v>
      </c>
      <c r="AA34" s="807">
        <v>47</v>
      </c>
      <c r="AB34" s="807"/>
      <c r="AC34" s="807"/>
      <c r="AD34" s="807"/>
      <c r="AE34" s="807"/>
      <c r="AF34" s="807"/>
      <c r="AG34" s="807"/>
      <c r="AH34" s="746"/>
      <c r="AI34" s="807"/>
      <c r="AJ34" s="807"/>
      <c r="AK34" s="811"/>
      <c r="AL34" s="746"/>
      <c r="AM34" s="811"/>
      <c r="AN34" s="746"/>
      <c r="AO34" s="746"/>
      <c r="AP34" s="811"/>
      <c r="AQ34" s="19"/>
    </row>
    <row r="35" spans="2:43" s="238" customFormat="1" x14ac:dyDescent="0.25">
      <c r="B35" s="668"/>
      <c r="C35" s="791"/>
      <c r="D35" s="752"/>
      <c r="E35" s="811"/>
      <c r="F35" s="811"/>
      <c r="G35" s="811"/>
      <c r="H35" s="811"/>
      <c r="I35" s="811"/>
      <c r="J35" s="811"/>
      <c r="K35" s="811"/>
      <c r="L35" s="811"/>
      <c r="M35" s="811"/>
      <c r="N35" s="811"/>
      <c r="O35" s="811"/>
      <c r="P35" s="811"/>
      <c r="Q35" s="811"/>
      <c r="R35" s="811"/>
      <c r="S35" s="811"/>
      <c r="T35" s="811"/>
      <c r="U35" s="811"/>
      <c r="V35" s="811"/>
      <c r="W35" s="811"/>
      <c r="X35" s="811"/>
      <c r="Y35" s="811"/>
      <c r="Z35" s="29"/>
      <c r="AA35" s="811"/>
      <c r="AB35" s="811"/>
      <c r="AC35" s="811"/>
      <c r="AD35" s="811"/>
      <c r="AE35" s="746"/>
      <c r="AF35" s="746"/>
      <c r="AG35" s="811"/>
      <c r="AH35" s="746"/>
      <c r="AI35" s="811"/>
      <c r="AJ35" s="811"/>
      <c r="AK35" s="811"/>
      <c r="AL35" s="746"/>
      <c r="AM35" s="811"/>
      <c r="AN35" s="746"/>
      <c r="AO35" s="746"/>
      <c r="AP35" s="811"/>
      <c r="AQ35" s="19"/>
    </row>
    <row r="36" spans="2:43" s="238" customFormat="1" x14ac:dyDescent="0.25">
      <c r="B36" s="668" t="s">
        <v>636</v>
      </c>
      <c r="C36" s="791"/>
      <c r="D36" s="752"/>
      <c r="E36" s="811"/>
      <c r="F36" s="811"/>
      <c r="G36" s="811"/>
      <c r="H36" s="811"/>
      <c r="I36" s="811"/>
      <c r="J36" s="811"/>
      <c r="K36" s="811"/>
      <c r="L36" s="811"/>
      <c r="M36" s="811"/>
      <c r="N36" s="811"/>
      <c r="O36" s="811"/>
      <c r="P36" s="811"/>
      <c r="Q36" s="811"/>
      <c r="R36" s="811"/>
      <c r="S36" s="811"/>
      <c r="T36" s="811"/>
      <c r="U36" s="811"/>
      <c r="V36" s="811"/>
      <c r="W36" s="811"/>
      <c r="X36" s="811"/>
      <c r="Y36" s="811"/>
      <c r="Z36" s="29"/>
      <c r="AA36" s="811"/>
      <c r="AB36" s="811"/>
      <c r="AC36" s="811"/>
      <c r="AD36" s="807" t="s">
        <v>637</v>
      </c>
      <c r="AE36" s="746"/>
      <c r="AF36" s="746"/>
      <c r="AG36" s="811"/>
      <c r="AH36" s="746"/>
      <c r="AI36" s="811"/>
      <c r="AJ36" s="811"/>
      <c r="AK36" s="811"/>
      <c r="AL36" s="746"/>
      <c r="AM36" s="811"/>
      <c r="AN36" s="746"/>
      <c r="AO36" s="746"/>
      <c r="AP36" s="811"/>
      <c r="AQ36" s="19"/>
    </row>
    <row r="37" spans="2:43" s="238" customFormat="1" x14ac:dyDescent="0.25">
      <c r="B37" s="667" t="s">
        <v>638</v>
      </c>
      <c r="C37" s="791" t="s">
        <v>639</v>
      </c>
      <c r="D37" s="752">
        <v>175</v>
      </c>
      <c r="E37" s="752">
        <v>192.50000000000003</v>
      </c>
      <c r="F37" s="752">
        <v>175</v>
      </c>
      <c r="G37" s="752">
        <v>192.50000000000003</v>
      </c>
      <c r="H37" s="752">
        <v>175</v>
      </c>
      <c r="I37" s="752">
        <v>192.50000000000003</v>
      </c>
      <c r="J37" s="752">
        <v>200</v>
      </c>
      <c r="K37" s="752">
        <v>175</v>
      </c>
      <c r="L37" s="752">
        <v>175</v>
      </c>
      <c r="M37" s="752">
        <v>175</v>
      </c>
      <c r="N37" s="752">
        <v>175</v>
      </c>
      <c r="O37" s="752">
        <v>175</v>
      </c>
      <c r="P37" s="752"/>
      <c r="Q37" s="808">
        <v>5.5</v>
      </c>
      <c r="R37" s="808">
        <v>5.5</v>
      </c>
      <c r="S37" s="752">
        <v>250</v>
      </c>
      <c r="T37" s="752">
        <v>250</v>
      </c>
      <c r="U37" s="752">
        <v>250</v>
      </c>
      <c r="V37" s="752">
        <v>200</v>
      </c>
      <c r="W37" s="752">
        <v>45</v>
      </c>
      <c r="X37" s="752">
        <v>52.5</v>
      </c>
      <c r="Y37" s="752">
        <v>175</v>
      </c>
      <c r="Z37" s="773">
        <v>160</v>
      </c>
      <c r="AA37" s="752">
        <v>135</v>
      </c>
      <c r="AB37" s="807">
        <v>190</v>
      </c>
      <c r="AC37" s="752">
        <v>190</v>
      </c>
      <c r="AD37" s="811">
        <v>137</v>
      </c>
      <c r="AE37" s="752">
        <v>17</v>
      </c>
      <c r="AF37" s="752">
        <v>4.5</v>
      </c>
      <c r="AG37" s="752">
        <v>1.1499999999999999</v>
      </c>
      <c r="AH37" s="746"/>
      <c r="AI37" s="752">
        <v>2900</v>
      </c>
      <c r="AJ37" s="752">
        <v>1100</v>
      </c>
      <c r="AK37" s="752">
        <v>80</v>
      </c>
      <c r="AL37" s="746"/>
      <c r="AM37" s="811">
        <v>16400</v>
      </c>
      <c r="AN37" s="811">
        <v>12830</v>
      </c>
      <c r="AO37" s="811">
        <v>74188</v>
      </c>
      <c r="AP37" s="811">
        <v>4.2</v>
      </c>
      <c r="AQ37" s="19">
        <v>45</v>
      </c>
    </row>
    <row r="38" spans="2:43" s="238" customFormat="1" x14ac:dyDescent="0.25">
      <c r="B38" s="667" t="s">
        <v>640</v>
      </c>
      <c r="C38" s="791" t="s">
        <v>495</v>
      </c>
      <c r="D38" s="752">
        <v>420</v>
      </c>
      <c r="E38" s="752">
        <v>620</v>
      </c>
      <c r="F38" s="752">
        <v>440</v>
      </c>
      <c r="G38" s="752">
        <v>640</v>
      </c>
      <c r="H38" s="752">
        <v>420</v>
      </c>
      <c r="I38" s="752">
        <v>620</v>
      </c>
      <c r="J38" s="752">
        <v>450</v>
      </c>
      <c r="K38" s="752">
        <v>400</v>
      </c>
      <c r="L38" s="752">
        <v>420</v>
      </c>
      <c r="M38" s="752">
        <v>430</v>
      </c>
      <c r="N38" s="752">
        <v>430</v>
      </c>
      <c r="O38" s="752">
        <v>430</v>
      </c>
      <c r="P38" s="752"/>
      <c r="Q38" s="752">
        <v>9800</v>
      </c>
      <c r="R38" s="752">
        <v>9800</v>
      </c>
      <c r="S38" s="752">
        <v>490</v>
      </c>
      <c r="T38" s="752">
        <v>500</v>
      </c>
      <c r="U38" s="752">
        <v>500</v>
      </c>
      <c r="V38" s="752">
        <v>510</v>
      </c>
      <c r="W38" s="752">
        <v>2000</v>
      </c>
      <c r="X38" s="752">
        <v>1800</v>
      </c>
      <c r="Y38" s="752">
        <v>430</v>
      </c>
      <c r="Z38" s="773">
        <v>425</v>
      </c>
      <c r="AA38" s="752">
        <v>650</v>
      </c>
      <c r="AB38" s="752"/>
      <c r="AC38" s="752">
        <v>800</v>
      </c>
      <c r="AD38" s="811"/>
      <c r="AE38" s="752">
        <v>10000</v>
      </c>
      <c r="AF38" s="752">
        <v>12000</v>
      </c>
      <c r="AG38" s="752">
        <v>180</v>
      </c>
      <c r="AH38" s="746"/>
      <c r="AI38" s="752">
        <v>370</v>
      </c>
      <c r="AJ38" s="752"/>
      <c r="AK38" s="811"/>
      <c r="AL38" s="746"/>
      <c r="AM38" s="811"/>
      <c r="AN38" s="746"/>
      <c r="AO38" s="746"/>
      <c r="AP38" s="811">
        <v>200</v>
      </c>
      <c r="AQ38" s="19">
        <v>17.510000000000002</v>
      </c>
    </row>
    <row r="39" spans="2:43" s="238" customFormat="1" x14ac:dyDescent="0.25">
      <c r="B39" s="676" t="s">
        <v>641</v>
      </c>
      <c r="C39" s="791" t="s">
        <v>449</v>
      </c>
      <c r="D39" s="777">
        <v>0.35</v>
      </c>
      <c r="E39" s="777">
        <v>0.35</v>
      </c>
      <c r="F39" s="777">
        <v>0.3</v>
      </c>
      <c r="G39" s="777">
        <v>0.3</v>
      </c>
      <c r="H39" s="777">
        <v>0.35</v>
      </c>
      <c r="I39" s="777">
        <v>0.35</v>
      </c>
      <c r="J39" s="777">
        <v>0.2</v>
      </c>
      <c r="K39" s="777">
        <v>0.25</v>
      </c>
      <c r="L39" s="777">
        <v>0.25</v>
      </c>
      <c r="M39" s="777">
        <v>0.35</v>
      </c>
      <c r="N39" s="777">
        <v>0.35</v>
      </c>
      <c r="O39" s="777">
        <v>0.3</v>
      </c>
      <c r="P39" s="777"/>
      <c r="Q39" s="777">
        <v>0.35</v>
      </c>
      <c r="R39" s="777">
        <v>0.2</v>
      </c>
      <c r="S39" s="777">
        <v>0.5</v>
      </c>
      <c r="T39" s="777">
        <v>0.45</v>
      </c>
      <c r="U39" s="777">
        <v>0.45</v>
      </c>
      <c r="V39" s="777">
        <v>0.3</v>
      </c>
      <c r="W39" s="777">
        <v>0</v>
      </c>
      <c r="X39" s="777">
        <v>0</v>
      </c>
      <c r="Y39" s="777">
        <v>0.35</v>
      </c>
      <c r="Z39" s="829">
        <v>0.4</v>
      </c>
      <c r="AA39" s="777">
        <v>0</v>
      </c>
      <c r="AB39" s="777"/>
      <c r="AC39" s="777">
        <v>0</v>
      </c>
      <c r="AD39" s="811"/>
      <c r="AE39" s="777">
        <v>0</v>
      </c>
      <c r="AF39" s="777">
        <v>0</v>
      </c>
      <c r="AG39" s="777">
        <v>0</v>
      </c>
      <c r="AH39" s="746"/>
      <c r="AI39" s="777">
        <v>0.4</v>
      </c>
      <c r="AJ39" s="777"/>
      <c r="AK39" s="811"/>
      <c r="AL39" s="746"/>
      <c r="AM39" s="811"/>
      <c r="AN39" s="746"/>
      <c r="AO39" s="746"/>
      <c r="AP39" s="811"/>
      <c r="AQ39" s="19"/>
    </row>
    <row r="40" spans="2:43" s="238" customFormat="1" x14ac:dyDescent="0.25">
      <c r="B40" s="667" t="s">
        <v>642</v>
      </c>
      <c r="C40" s="791" t="s">
        <v>495</v>
      </c>
      <c r="D40" s="752">
        <v>291.7</v>
      </c>
      <c r="E40" s="752">
        <v>160</v>
      </c>
      <c r="F40" s="752">
        <v>174</v>
      </c>
      <c r="G40" s="752">
        <v>174</v>
      </c>
      <c r="H40" s="752">
        <v>163</v>
      </c>
      <c r="I40" s="752">
        <v>163</v>
      </c>
      <c r="J40" s="752">
        <v>174</v>
      </c>
      <c r="K40" s="752">
        <v>141</v>
      </c>
      <c r="L40" s="752">
        <v>162</v>
      </c>
      <c r="M40" s="752">
        <v>141</v>
      </c>
      <c r="N40" s="752">
        <v>167</v>
      </c>
      <c r="O40" s="752">
        <v>141</v>
      </c>
      <c r="P40" s="752"/>
      <c r="Q40" s="752">
        <v>360</v>
      </c>
      <c r="R40" s="752">
        <v>360</v>
      </c>
      <c r="S40" s="752">
        <v>195</v>
      </c>
      <c r="T40" s="752">
        <v>198</v>
      </c>
      <c r="U40" s="752">
        <v>195</v>
      </c>
      <c r="V40" s="752">
        <v>195</v>
      </c>
      <c r="W40" s="752">
        <v>410</v>
      </c>
      <c r="X40" s="752">
        <v>410</v>
      </c>
      <c r="Y40" s="752">
        <v>141</v>
      </c>
      <c r="Z40" s="773">
        <v>310</v>
      </c>
      <c r="AA40" s="752">
        <v>250</v>
      </c>
      <c r="AB40" s="752"/>
      <c r="AC40" s="811">
        <v>0</v>
      </c>
      <c r="AD40" s="752">
        <v>155</v>
      </c>
      <c r="AE40" s="811">
        <v>10</v>
      </c>
      <c r="AF40" s="746"/>
      <c r="AG40" s="752"/>
      <c r="AH40" s="746"/>
      <c r="AI40" s="752">
        <v>280</v>
      </c>
      <c r="AJ40" s="752"/>
      <c r="AK40" s="811"/>
      <c r="AL40" s="746"/>
      <c r="AM40" s="811"/>
      <c r="AN40" s="746"/>
      <c r="AO40" s="746"/>
      <c r="AP40" s="811"/>
      <c r="AQ40" s="19"/>
    </row>
    <row r="41" spans="2:43" s="238" customFormat="1" x14ac:dyDescent="0.25">
      <c r="B41" s="668" t="s">
        <v>643</v>
      </c>
      <c r="C41" s="791"/>
      <c r="D41" s="752"/>
      <c r="E41" s="811"/>
      <c r="F41" s="811"/>
      <c r="G41" s="811"/>
      <c r="H41" s="811"/>
      <c r="I41" s="811"/>
      <c r="J41" s="811"/>
      <c r="K41" s="811"/>
      <c r="L41" s="811"/>
      <c r="M41" s="811"/>
      <c r="N41" s="811"/>
      <c r="O41" s="811"/>
      <c r="P41" s="811"/>
      <c r="Q41" s="811"/>
      <c r="R41" s="811"/>
      <c r="S41" s="811"/>
      <c r="T41" s="811"/>
      <c r="U41" s="811"/>
      <c r="V41" s="811"/>
      <c r="W41" s="811"/>
      <c r="X41" s="811"/>
      <c r="Y41" s="811"/>
      <c r="Z41" s="29"/>
      <c r="AA41" s="811"/>
      <c r="AB41" s="811"/>
      <c r="AC41" s="811"/>
      <c r="AD41" s="811"/>
      <c r="AE41" s="746"/>
      <c r="AF41" s="746"/>
      <c r="AG41" s="811"/>
      <c r="AH41" s="746"/>
      <c r="AI41" s="811"/>
      <c r="AJ41" s="811"/>
      <c r="AK41" s="811"/>
      <c r="AL41" s="746"/>
      <c r="AM41" s="811"/>
      <c r="AN41" s="746"/>
      <c r="AO41" s="746"/>
      <c r="AP41" s="811"/>
      <c r="AQ41" s="19"/>
    </row>
    <row r="42" spans="2:43" s="238" customFormat="1" x14ac:dyDescent="0.25">
      <c r="B42" s="667" t="s">
        <v>644</v>
      </c>
      <c r="C42" s="791" t="s">
        <v>645</v>
      </c>
      <c r="D42" s="752">
        <v>190</v>
      </c>
      <c r="E42" s="752">
        <v>190</v>
      </c>
      <c r="F42" s="756">
        <v>230</v>
      </c>
      <c r="G42" s="756">
        <v>230</v>
      </c>
      <c r="H42" s="756">
        <v>220</v>
      </c>
      <c r="I42" s="756">
        <v>220</v>
      </c>
      <c r="J42" s="811">
        <v>190</v>
      </c>
      <c r="K42" s="811">
        <v>140</v>
      </c>
      <c r="L42" s="811">
        <v>90</v>
      </c>
      <c r="M42" s="811">
        <v>110</v>
      </c>
      <c r="N42" s="811">
        <v>70</v>
      </c>
      <c r="O42" s="811">
        <v>130</v>
      </c>
      <c r="P42" s="811"/>
      <c r="Q42" s="811">
        <v>190</v>
      </c>
      <c r="R42" s="811">
        <v>80</v>
      </c>
      <c r="S42" s="811">
        <v>0</v>
      </c>
      <c r="T42" s="811">
        <v>0</v>
      </c>
      <c r="U42" s="811">
        <v>0</v>
      </c>
      <c r="V42" s="811">
        <v>0</v>
      </c>
      <c r="W42" s="811">
        <v>50</v>
      </c>
      <c r="X42" s="811">
        <v>80</v>
      </c>
      <c r="Y42" s="811">
        <v>110</v>
      </c>
      <c r="Z42" s="29">
        <v>130</v>
      </c>
      <c r="AA42" s="811">
        <v>140</v>
      </c>
      <c r="AB42" s="811">
        <v>70</v>
      </c>
      <c r="AC42" s="811">
        <v>25</v>
      </c>
      <c r="AD42" s="811">
        <v>110</v>
      </c>
      <c r="AE42" s="811">
        <v>80</v>
      </c>
      <c r="AF42" s="811">
        <v>160</v>
      </c>
      <c r="AG42" s="811">
        <v>156</v>
      </c>
      <c r="AH42" s="746"/>
      <c r="AI42" s="811">
        <v>160</v>
      </c>
      <c r="AJ42" s="811">
        <v>477</v>
      </c>
      <c r="AK42" s="811">
        <v>130</v>
      </c>
      <c r="AL42" s="746"/>
      <c r="AM42" s="811"/>
      <c r="AN42" s="811">
        <v>2210</v>
      </c>
      <c r="AO42" s="811">
        <v>9335</v>
      </c>
      <c r="AP42" s="811">
        <v>291</v>
      </c>
      <c r="AQ42" s="19">
        <v>325</v>
      </c>
    </row>
    <row r="43" spans="2:43" s="238" customFormat="1" x14ac:dyDescent="0.25">
      <c r="B43" s="667" t="s">
        <v>646</v>
      </c>
      <c r="C43" s="791" t="s">
        <v>647</v>
      </c>
      <c r="D43" s="808">
        <v>7</v>
      </c>
      <c r="E43" s="808">
        <v>7</v>
      </c>
      <c r="F43" s="808">
        <v>7</v>
      </c>
      <c r="G43" s="808">
        <v>7</v>
      </c>
      <c r="H43" s="808">
        <v>7</v>
      </c>
      <c r="I43" s="808">
        <v>7</v>
      </c>
      <c r="J43" s="808">
        <v>8.5</v>
      </c>
      <c r="K43" s="808">
        <v>8.5</v>
      </c>
      <c r="L43" s="808">
        <v>8.5</v>
      </c>
      <c r="M43" s="808">
        <v>8.5</v>
      </c>
      <c r="N43" s="808">
        <v>8.5</v>
      </c>
      <c r="O43" s="808">
        <v>9</v>
      </c>
      <c r="P43" s="808"/>
      <c r="Q43" s="808">
        <v>14</v>
      </c>
      <c r="R43" s="808">
        <v>14</v>
      </c>
      <c r="S43" s="811">
        <v>11</v>
      </c>
      <c r="T43" s="811">
        <v>11</v>
      </c>
      <c r="U43" s="811">
        <v>11</v>
      </c>
      <c r="V43" s="811">
        <v>9</v>
      </c>
      <c r="W43" s="809">
        <v>14</v>
      </c>
      <c r="X43" s="809">
        <v>14</v>
      </c>
      <c r="Y43" s="808">
        <v>8.5</v>
      </c>
      <c r="Z43" s="830">
        <v>7.8</v>
      </c>
      <c r="AA43" s="808">
        <v>7.8</v>
      </c>
      <c r="AB43" s="808"/>
      <c r="AC43" s="808">
        <v>15</v>
      </c>
      <c r="AD43" s="808">
        <v>14</v>
      </c>
      <c r="AE43" s="808">
        <v>87.5</v>
      </c>
      <c r="AF43" s="808"/>
      <c r="AG43" s="811">
        <v>0.8</v>
      </c>
      <c r="AH43" s="746"/>
      <c r="AI43" s="811">
        <v>1</v>
      </c>
      <c r="AJ43" s="811"/>
      <c r="AK43" s="811"/>
      <c r="AL43" s="746"/>
      <c r="AM43" s="811"/>
      <c r="AN43" s="746"/>
      <c r="AO43" s="746"/>
      <c r="AP43" s="811"/>
      <c r="AQ43" s="19"/>
    </row>
    <row r="44" spans="2:43" s="238" customFormat="1" x14ac:dyDescent="0.25">
      <c r="B44" s="667" t="s">
        <v>648</v>
      </c>
      <c r="C44" s="791" t="s">
        <v>647</v>
      </c>
      <c r="D44" s="808">
        <v>10.5</v>
      </c>
      <c r="E44" s="808">
        <v>10.5</v>
      </c>
      <c r="F44" s="808">
        <v>10.5</v>
      </c>
      <c r="G44" s="808">
        <v>10.5</v>
      </c>
      <c r="H44" s="808">
        <v>10.5</v>
      </c>
      <c r="I44" s="808">
        <v>10.5</v>
      </c>
      <c r="J44" s="808">
        <v>12</v>
      </c>
      <c r="K44" s="808">
        <v>10.5</v>
      </c>
      <c r="L44" s="808">
        <v>10.5</v>
      </c>
      <c r="M44" s="808">
        <v>12</v>
      </c>
      <c r="N44" s="808">
        <v>12</v>
      </c>
      <c r="O44" s="808">
        <v>16.5</v>
      </c>
      <c r="P44" s="808"/>
      <c r="Q44" s="808">
        <v>11</v>
      </c>
      <c r="R44" s="808">
        <v>11</v>
      </c>
      <c r="S44" s="811">
        <v>12</v>
      </c>
      <c r="T44" s="811">
        <v>12</v>
      </c>
      <c r="U44" s="811">
        <v>12</v>
      </c>
      <c r="V44" s="811">
        <v>10</v>
      </c>
      <c r="W44" s="809">
        <v>11</v>
      </c>
      <c r="X44" s="809">
        <v>11</v>
      </c>
      <c r="Y44" s="808">
        <v>12</v>
      </c>
      <c r="Z44" s="830">
        <v>5.6</v>
      </c>
      <c r="AA44" s="808">
        <v>5.6</v>
      </c>
      <c r="AB44" s="808"/>
      <c r="AC44" s="808">
        <v>15</v>
      </c>
      <c r="AD44" s="808">
        <v>11</v>
      </c>
      <c r="AE44" s="808">
        <v>87.5</v>
      </c>
      <c r="AF44" s="808"/>
      <c r="AG44" s="811">
        <v>1.7</v>
      </c>
      <c r="AH44" s="746"/>
      <c r="AI44" s="811">
        <v>5.8</v>
      </c>
      <c r="AJ44" s="811"/>
      <c r="AK44" s="811"/>
      <c r="AL44" s="746"/>
      <c r="AM44" s="811"/>
      <c r="AN44" s="746"/>
      <c r="AO44" s="746"/>
      <c r="AP44" s="811"/>
      <c r="AQ44" s="19"/>
    </row>
    <row r="45" spans="2:43" s="238" customFormat="1" x14ac:dyDescent="0.25">
      <c r="B45" s="667" t="s">
        <v>646</v>
      </c>
      <c r="C45" s="791" t="s">
        <v>639</v>
      </c>
      <c r="D45" s="752">
        <v>89.644456770567672</v>
      </c>
      <c r="E45" s="752">
        <v>84.052771664750779</v>
      </c>
      <c r="F45" s="752">
        <v>84.92806415507718</v>
      </c>
      <c r="G45" s="752">
        <v>79.779284800216075</v>
      </c>
      <c r="H45" s="752">
        <v>88.465358616695042</v>
      </c>
      <c r="I45" s="752">
        <v>82.98439994861711</v>
      </c>
      <c r="J45" s="752">
        <v>51.276118954508739</v>
      </c>
      <c r="K45" s="752">
        <v>61.821103523815701</v>
      </c>
      <c r="L45" s="752">
        <v>57.349953317175228</v>
      </c>
      <c r="M45" s="752">
        <v>50.165711642790654</v>
      </c>
      <c r="N45" s="752">
        <v>48.840394407609288</v>
      </c>
      <c r="O45" s="752">
        <v>50.125795316628007</v>
      </c>
      <c r="P45" s="752"/>
      <c r="Q45" s="752">
        <v>48.046625563389561</v>
      </c>
      <c r="R45" s="752">
        <v>31.230306616203219</v>
      </c>
      <c r="S45" s="752">
        <v>43.92465</v>
      </c>
      <c r="T45" s="752">
        <v>39.741349999999997</v>
      </c>
      <c r="U45" s="752">
        <v>39.741349999999997</v>
      </c>
      <c r="V45" s="752">
        <v>33.69</v>
      </c>
      <c r="W45" s="752">
        <v>24.5</v>
      </c>
      <c r="X45" s="752">
        <v>31.5</v>
      </c>
      <c r="Y45" s="752">
        <v>40.132569314232526</v>
      </c>
      <c r="Z45" s="773">
        <v>35.1</v>
      </c>
      <c r="AA45" s="752">
        <v>42.9</v>
      </c>
      <c r="AB45" s="752">
        <v>0</v>
      </c>
      <c r="AC45" s="752">
        <v>45</v>
      </c>
      <c r="AD45" s="752">
        <v>105</v>
      </c>
      <c r="AE45" s="752">
        <v>35</v>
      </c>
      <c r="AF45" s="752">
        <v>60</v>
      </c>
      <c r="AG45" s="752">
        <v>59.657040316830177</v>
      </c>
      <c r="AH45" s="746"/>
      <c r="AI45" s="752">
        <v>46.325000000000003</v>
      </c>
      <c r="AJ45" s="752"/>
      <c r="AK45" s="811"/>
      <c r="AL45" s="746"/>
      <c r="AM45" s="811"/>
      <c r="AN45" s="746"/>
      <c r="AO45" s="746"/>
      <c r="AP45" s="811"/>
      <c r="AQ45" s="19"/>
    </row>
    <row r="46" spans="2:43" s="238" customFormat="1" x14ac:dyDescent="0.25">
      <c r="B46" s="667" t="s">
        <v>648</v>
      </c>
      <c r="C46" s="791" t="s">
        <v>639</v>
      </c>
      <c r="D46" s="752">
        <v>126.79118515585151</v>
      </c>
      <c r="E46" s="752">
        <v>118.40365749712616</v>
      </c>
      <c r="F46" s="752">
        <v>119.71659623261576</v>
      </c>
      <c r="G46" s="752">
        <v>111.99342720032412</v>
      </c>
      <c r="H46" s="752">
        <v>125.02253792504256</v>
      </c>
      <c r="I46" s="752">
        <v>116.80109992292566</v>
      </c>
      <c r="J46" s="752">
        <v>115.21781499460056</v>
      </c>
      <c r="K46" s="752">
        <v>76.367245529419392</v>
      </c>
      <c r="L46" s="752">
        <v>70.844059980039987</v>
      </c>
      <c r="M46" s="752">
        <v>70.82218114276327</v>
      </c>
      <c r="N46" s="752">
        <v>68.951145046036643</v>
      </c>
      <c r="O46" s="752">
        <v>91.89729141381801</v>
      </c>
      <c r="P46" s="752"/>
      <c r="Q46" s="752">
        <v>37.75092008552037</v>
      </c>
      <c r="R46" s="752">
        <v>24.538098055588243</v>
      </c>
      <c r="S46" s="752">
        <v>47.9178</v>
      </c>
      <c r="T46" s="752">
        <v>43.354199999999999</v>
      </c>
      <c r="U46" s="752">
        <v>43.354199999999999</v>
      </c>
      <c r="V46" s="752">
        <v>37.43333333333333</v>
      </c>
      <c r="W46" s="752">
        <v>19.25</v>
      </c>
      <c r="X46" s="752">
        <v>24.75</v>
      </c>
      <c r="Y46" s="752">
        <v>56.657744914210625</v>
      </c>
      <c r="Z46" s="773">
        <v>25.2</v>
      </c>
      <c r="AA46" s="752">
        <v>30.799999999999997</v>
      </c>
      <c r="AB46" s="752">
        <v>0</v>
      </c>
      <c r="AC46" s="752">
        <v>45</v>
      </c>
      <c r="AD46" s="752">
        <v>82.5</v>
      </c>
      <c r="AE46" s="752">
        <v>35</v>
      </c>
      <c r="AF46" s="752">
        <v>75</v>
      </c>
      <c r="AG46" s="752">
        <v>126.77121067326411</v>
      </c>
      <c r="AH46" s="746"/>
      <c r="AI46" s="752">
        <v>268.685</v>
      </c>
      <c r="AJ46" s="752"/>
      <c r="AK46" s="811"/>
      <c r="AL46" s="746"/>
      <c r="AM46" s="811"/>
      <c r="AN46" s="746"/>
      <c r="AO46" s="746"/>
      <c r="AP46" s="811"/>
      <c r="AQ46" s="19"/>
    </row>
    <row r="47" spans="2:43" s="238" customFormat="1" x14ac:dyDescent="0.25">
      <c r="B47" s="667" t="s">
        <v>649</v>
      </c>
      <c r="C47" s="791" t="s">
        <v>538</v>
      </c>
      <c r="D47" s="809">
        <v>2.2003352891869237</v>
      </c>
      <c r="E47" s="809">
        <v>2.2003352891869237</v>
      </c>
      <c r="F47" s="809">
        <v>2.2003352891869237</v>
      </c>
      <c r="G47" s="809">
        <v>2.2003352891869237</v>
      </c>
      <c r="H47" s="809">
        <v>2.2003352891869237</v>
      </c>
      <c r="I47" s="809">
        <v>2.2003352891869237</v>
      </c>
      <c r="J47" s="809">
        <v>2.8846153846153846</v>
      </c>
      <c r="K47" s="809">
        <v>2.2925764192139741</v>
      </c>
      <c r="L47" s="809">
        <v>2.2925764192139741</v>
      </c>
      <c r="M47" s="809">
        <v>1.8672199170124482</v>
      </c>
      <c r="N47" s="809">
        <v>1.8672199170124482</v>
      </c>
      <c r="O47" s="809">
        <v>1.1848341232227488</v>
      </c>
      <c r="P47" s="809"/>
      <c r="Q47" s="809">
        <v>1.9072164948453609</v>
      </c>
      <c r="R47" s="809">
        <v>-7.9174664107485609E-2</v>
      </c>
      <c r="S47" s="809">
        <v>0.59171597633136097</v>
      </c>
      <c r="T47" s="809">
        <v>0.59171597633136097</v>
      </c>
      <c r="U47" s="809">
        <v>0.59171597633136097</v>
      </c>
      <c r="V47" s="809">
        <v>0.67567567567567566</v>
      </c>
      <c r="W47" s="809">
        <v>1.1363636363636365</v>
      </c>
      <c r="X47" s="809">
        <v>1.1363636363636365</v>
      </c>
      <c r="Y47" s="809">
        <v>1.8672199170124482</v>
      </c>
      <c r="Z47" s="35">
        <v>0</v>
      </c>
      <c r="AA47" s="809">
        <v>0</v>
      </c>
      <c r="AB47" s="809">
        <v>4.383116883116883</v>
      </c>
      <c r="AC47" s="809">
        <v>1.1363636363636365</v>
      </c>
      <c r="AD47" s="809">
        <v>1.1363636363636365</v>
      </c>
      <c r="AE47" s="809">
        <v>1.1363636363636365</v>
      </c>
      <c r="AF47" s="809">
        <v>1.9061583577712611</v>
      </c>
      <c r="AG47" s="809">
        <v>7.0000000000000009</v>
      </c>
      <c r="AH47" s="746"/>
      <c r="AI47" s="809">
        <v>0</v>
      </c>
      <c r="AJ47" s="809"/>
      <c r="AK47" s="811"/>
      <c r="AL47" s="746"/>
      <c r="AM47" s="811"/>
      <c r="AN47" s="746"/>
      <c r="AO47" s="746"/>
      <c r="AP47" s="811"/>
      <c r="AQ47" s="19"/>
    </row>
    <row r="48" spans="2:43" s="238" customFormat="1" x14ac:dyDescent="0.25">
      <c r="B48" s="668" t="s">
        <v>650</v>
      </c>
      <c r="C48" s="791"/>
      <c r="D48" s="752"/>
      <c r="E48" s="811"/>
      <c r="F48" s="811"/>
      <c r="G48" s="811"/>
      <c r="H48" s="811"/>
      <c r="I48" s="811"/>
      <c r="J48" s="811"/>
      <c r="K48" s="811"/>
      <c r="L48" s="811"/>
      <c r="M48" s="811"/>
      <c r="N48" s="811"/>
      <c r="O48" s="811"/>
      <c r="P48" s="811"/>
      <c r="Q48" s="811"/>
      <c r="R48" s="811"/>
      <c r="S48" s="811"/>
      <c r="T48" s="811"/>
      <c r="U48" s="811"/>
      <c r="V48" s="811"/>
      <c r="W48" s="811"/>
      <c r="X48" s="811"/>
      <c r="Y48" s="811"/>
      <c r="Z48" s="29"/>
      <c r="AA48" s="811"/>
      <c r="AB48" s="811"/>
      <c r="AC48" s="811"/>
      <c r="AD48" s="811"/>
      <c r="AE48" s="746"/>
      <c r="AF48" s="746"/>
      <c r="AG48" s="811"/>
      <c r="AH48" s="746"/>
      <c r="AI48" s="811"/>
      <c r="AJ48" s="811"/>
      <c r="AK48" s="811"/>
      <c r="AL48" s="746"/>
      <c r="AM48" s="811"/>
      <c r="AN48" s="746"/>
      <c r="AO48" s="746"/>
      <c r="AP48" s="811"/>
      <c r="AQ48" s="19"/>
    </row>
    <row r="49" spans="2:43" s="238" customFormat="1" x14ac:dyDescent="0.25">
      <c r="B49" s="670" t="s">
        <v>651</v>
      </c>
      <c r="C49" s="791" t="s">
        <v>538</v>
      </c>
      <c r="D49" s="752">
        <v>103</v>
      </c>
      <c r="E49" s="807">
        <v>103</v>
      </c>
      <c r="F49" s="807">
        <v>103</v>
      </c>
      <c r="G49" s="807">
        <v>103</v>
      </c>
      <c r="H49" s="807">
        <v>103</v>
      </c>
      <c r="I49" s="807">
        <v>103</v>
      </c>
      <c r="J49" s="807">
        <v>65</v>
      </c>
      <c r="K49" s="807">
        <v>81</v>
      </c>
      <c r="L49" s="807">
        <v>81</v>
      </c>
      <c r="M49" s="807">
        <v>65</v>
      </c>
      <c r="N49" s="807">
        <v>65</v>
      </c>
      <c r="O49" s="807">
        <v>59</v>
      </c>
      <c r="P49" s="807"/>
      <c r="Q49" s="807">
        <v>113</v>
      </c>
      <c r="R49" s="807">
        <v>54</v>
      </c>
      <c r="S49" s="807">
        <v>65</v>
      </c>
      <c r="T49" s="807">
        <v>65</v>
      </c>
      <c r="U49" s="807">
        <v>65</v>
      </c>
      <c r="V49" s="807">
        <v>81</v>
      </c>
      <c r="W49" s="807">
        <v>23.44736842105263</v>
      </c>
      <c r="X49" s="807">
        <v>38.63247863247863</v>
      </c>
      <c r="Y49" s="807">
        <v>32.5</v>
      </c>
      <c r="Z49" s="29"/>
      <c r="AA49" s="811"/>
      <c r="AB49" s="811"/>
      <c r="AC49" s="811"/>
      <c r="AD49" s="811"/>
      <c r="AE49" s="746"/>
      <c r="AF49" s="811"/>
      <c r="AG49" s="807">
        <v>173</v>
      </c>
      <c r="AH49" s="746"/>
      <c r="AI49" s="807">
        <v>32</v>
      </c>
      <c r="AJ49" s="807"/>
      <c r="AK49" s="811"/>
      <c r="AL49" s="746"/>
      <c r="AM49" s="811"/>
      <c r="AN49" s="746"/>
      <c r="AO49" s="746"/>
      <c r="AP49" s="811"/>
      <c r="AQ49" s="19"/>
    </row>
    <row r="50" spans="2:43" s="238" customFormat="1" x14ac:dyDescent="0.25">
      <c r="B50" s="670" t="s">
        <v>652</v>
      </c>
      <c r="C50" s="791" t="s">
        <v>538</v>
      </c>
      <c r="D50" s="807">
        <v>121</v>
      </c>
      <c r="E50" s="807">
        <v>121</v>
      </c>
      <c r="F50" s="807">
        <v>127</v>
      </c>
      <c r="G50" s="807">
        <v>127</v>
      </c>
      <c r="H50" s="807">
        <v>127</v>
      </c>
      <c r="I50" s="807">
        <v>127</v>
      </c>
      <c r="J50" s="807">
        <v>55</v>
      </c>
      <c r="K50" s="807">
        <v>83</v>
      </c>
      <c r="L50" s="807">
        <v>83</v>
      </c>
      <c r="M50" s="807">
        <v>55</v>
      </c>
      <c r="N50" s="807">
        <v>55</v>
      </c>
      <c r="O50" s="807">
        <v>46</v>
      </c>
      <c r="P50" s="807"/>
      <c r="Q50" s="807">
        <v>80</v>
      </c>
      <c r="R50" s="807">
        <v>57</v>
      </c>
      <c r="S50" s="807">
        <v>50</v>
      </c>
      <c r="T50" s="807">
        <v>44</v>
      </c>
      <c r="U50" s="807">
        <v>44</v>
      </c>
      <c r="V50" s="807">
        <v>55</v>
      </c>
      <c r="W50" s="807">
        <v>24.75</v>
      </c>
      <c r="X50" s="807">
        <v>27.350427350427353</v>
      </c>
      <c r="Y50" s="807">
        <v>27.5</v>
      </c>
      <c r="Z50" s="29"/>
      <c r="AA50" s="811"/>
      <c r="AB50" s="811"/>
      <c r="AC50" s="811"/>
      <c r="AD50" s="811"/>
      <c r="AE50" s="746"/>
      <c r="AF50" s="811"/>
      <c r="AG50" s="807">
        <v>50</v>
      </c>
      <c r="AH50" s="746"/>
      <c r="AI50" s="807">
        <v>198</v>
      </c>
      <c r="AJ50" s="807"/>
      <c r="AK50" s="811"/>
      <c r="AL50" s="746"/>
      <c r="AM50" s="811"/>
      <c r="AN50" s="746"/>
      <c r="AO50" s="746"/>
      <c r="AP50" s="811"/>
      <c r="AQ50" s="19"/>
    </row>
    <row r="51" spans="2:43" s="238" customFormat="1" x14ac:dyDescent="0.25">
      <c r="B51" s="670" t="s">
        <v>653</v>
      </c>
      <c r="C51" s="791" t="s">
        <v>538</v>
      </c>
      <c r="D51" s="807">
        <v>8</v>
      </c>
      <c r="E51" s="807">
        <v>8</v>
      </c>
      <c r="F51" s="807">
        <v>8</v>
      </c>
      <c r="G51" s="807">
        <v>8</v>
      </c>
      <c r="H51" s="807">
        <v>8</v>
      </c>
      <c r="I51" s="807">
        <v>8</v>
      </c>
      <c r="J51" s="807">
        <v>8</v>
      </c>
      <c r="K51" s="807">
        <v>8</v>
      </c>
      <c r="L51" s="807">
        <v>8</v>
      </c>
      <c r="M51" s="807">
        <v>8</v>
      </c>
      <c r="N51" s="807">
        <v>8</v>
      </c>
      <c r="O51" s="807">
        <v>8</v>
      </c>
      <c r="P51" s="807"/>
      <c r="Q51" s="807">
        <v>8</v>
      </c>
      <c r="R51" s="807">
        <v>8</v>
      </c>
      <c r="S51" s="807">
        <v>8</v>
      </c>
      <c r="T51" s="807">
        <v>11</v>
      </c>
      <c r="U51" s="807">
        <v>11</v>
      </c>
      <c r="V51" s="807">
        <v>11</v>
      </c>
      <c r="W51" s="807">
        <v>3.4736842105263155</v>
      </c>
      <c r="X51" s="807">
        <v>2.7350427350427351</v>
      </c>
      <c r="Y51" s="807">
        <v>2.7350427350427351</v>
      </c>
      <c r="Z51" s="29"/>
      <c r="AA51" s="811"/>
      <c r="AB51" s="811"/>
      <c r="AC51" s="811"/>
      <c r="AD51" s="811"/>
      <c r="AE51" s="746"/>
      <c r="AF51" s="811"/>
      <c r="AG51" s="807">
        <v>11</v>
      </c>
      <c r="AH51" s="746"/>
      <c r="AI51" s="807">
        <v>50</v>
      </c>
      <c r="AJ51" s="807"/>
      <c r="AK51" s="811"/>
      <c r="AL51" s="746"/>
      <c r="AM51" s="811"/>
      <c r="AN51" s="746"/>
      <c r="AO51" s="746"/>
      <c r="AP51" s="811"/>
      <c r="AQ51" s="19"/>
    </row>
    <row r="52" spans="2:43" s="238" customFormat="1" x14ac:dyDescent="0.25">
      <c r="B52" s="670" t="s">
        <v>654</v>
      </c>
      <c r="C52" s="791" t="s">
        <v>538</v>
      </c>
      <c r="D52" s="807">
        <v>18</v>
      </c>
      <c r="E52" s="807">
        <v>18</v>
      </c>
      <c r="F52" s="807">
        <v>18</v>
      </c>
      <c r="G52" s="807">
        <v>18</v>
      </c>
      <c r="H52" s="807">
        <v>18</v>
      </c>
      <c r="I52" s="807">
        <v>18</v>
      </c>
      <c r="J52" s="807">
        <v>18</v>
      </c>
      <c r="K52" s="807">
        <v>18</v>
      </c>
      <c r="L52" s="807">
        <v>18</v>
      </c>
      <c r="M52" s="807">
        <v>18</v>
      </c>
      <c r="N52" s="807">
        <v>18</v>
      </c>
      <c r="O52" s="807">
        <v>18</v>
      </c>
      <c r="P52" s="807"/>
      <c r="Q52" s="807">
        <v>18</v>
      </c>
      <c r="R52" s="807">
        <v>18</v>
      </c>
      <c r="S52" s="807">
        <v>0</v>
      </c>
      <c r="T52" s="807">
        <v>0</v>
      </c>
      <c r="U52" s="807">
        <v>0</v>
      </c>
      <c r="V52" s="807">
        <v>0</v>
      </c>
      <c r="W52" s="807">
        <v>7.8157894736842097</v>
      </c>
      <c r="X52" s="807">
        <v>6.1538461538461542</v>
      </c>
      <c r="Y52" s="807">
        <v>6.1538461538461542</v>
      </c>
      <c r="Z52" s="29"/>
      <c r="AA52" s="811"/>
      <c r="AB52" s="811"/>
      <c r="AC52" s="811"/>
      <c r="AD52" s="811"/>
      <c r="AE52" s="746"/>
      <c r="AF52" s="811"/>
      <c r="AG52" s="807">
        <v>0</v>
      </c>
      <c r="AH52" s="746"/>
      <c r="AI52" s="807">
        <v>0</v>
      </c>
      <c r="AJ52" s="807"/>
      <c r="AK52" s="811"/>
      <c r="AL52" s="746"/>
      <c r="AM52" s="811"/>
      <c r="AN52" s="746"/>
      <c r="AO52" s="746"/>
      <c r="AP52" s="811"/>
      <c r="AQ52" s="19"/>
    </row>
    <row r="53" spans="2:43" s="238" customFormat="1" x14ac:dyDescent="0.25">
      <c r="B53" s="670" t="s">
        <v>655</v>
      </c>
      <c r="C53" s="791" t="s">
        <v>538</v>
      </c>
      <c r="D53" s="807">
        <v>6</v>
      </c>
      <c r="E53" s="807">
        <v>6</v>
      </c>
      <c r="F53" s="807">
        <v>9</v>
      </c>
      <c r="G53" s="807">
        <v>9</v>
      </c>
      <c r="H53" s="807">
        <v>9</v>
      </c>
      <c r="I53" s="807">
        <v>9</v>
      </c>
      <c r="J53" s="807">
        <v>6</v>
      </c>
      <c r="K53" s="807">
        <v>6</v>
      </c>
      <c r="L53" s="807">
        <v>6</v>
      </c>
      <c r="M53" s="807">
        <v>6</v>
      </c>
      <c r="N53" s="807">
        <v>6</v>
      </c>
      <c r="O53" s="807">
        <v>6</v>
      </c>
      <c r="P53" s="807"/>
      <c r="Q53" s="807">
        <v>15</v>
      </c>
      <c r="R53" s="807">
        <v>15</v>
      </c>
      <c r="S53" s="807">
        <v>10</v>
      </c>
      <c r="T53" s="807">
        <v>10</v>
      </c>
      <c r="U53" s="807">
        <v>10</v>
      </c>
      <c r="V53" s="807">
        <v>10</v>
      </c>
      <c r="W53" s="807">
        <v>6.5131578947368425</v>
      </c>
      <c r="X53" s="807">
        <v>5.1282051282051277</v>
      </c>
      <c r="Y53" s="807">
        <v>5.1282051282051277</v>
      </c>
      <c r="Z53" s="29">
        <v>85</v>
      </c>
      <c r="AA53" s="811">
        <v>137</v>
      </c>
      <c r="AB53" s="811">
        <v>54</v>
      </c>
      <c r="AC53" s="811">
        <v>80</v>
      </c>
      <c r="AD53" s="811">
        <v>20</v>
      </c>
      <c r="AE53" s="811">
        <v>50</v>
      </c>
      <c r="AF53" s="811">
        <v>180</v>
      </c>
      <c r="AG53" s="807">
        <v>17</v>
      </c>
      <c r="AH53" s="746"/>
      <c r="AI53" s="807">
        <v>503</v>
      </c>
      <c r="AJ53" s="807">
        <v>245</v>
      </c>
      <c r="AK53" s="811">
        <v>880</v>
      </c>
      <c r="AL53" s="746"/>
      <c r="AM53" s="811">
        <v>1964</v>
      </c>
      <c r="AN53" s="811">
        <v>698</v>
      </c>
      <c r="AO53" s="811">
        <v>1443</v>
      </c>
      <c r="AP53" s="811">
        <v>850</v>
      </c>
      <c r="AQ53" s="19">
        <v>300</v>
      </c>
    </row>
    <row r="54" spans="2:43" s="238" customFormat="1" x14ac:dyDescent="0.25">
      <c r="B54" s="667" t="s">
        <v>656</v>
      </c>
      <c r="C54" s="791" t="s">
        <v>538</v>
      </c>
      <c r="D54" s="752">
        <v>25</v>
      </c>
      <c r="E54" s="756">
        <v>22</v>
      </c>
      <c r="F54" s="756">
        <v>23</v>
      </c>
      <c r="G54" s="756">
        <v>24</v>
      </c>
      <c r="H54" s="756">
        <v>23</v>
      </c>
      <c r="I54" s="756">
        <v>24</v>
      </c>
      <c r="J54" s="756">
        <v>15</v>
      </c>
      <c r="K54" s="756">
        <v>20</v>
      </c>
      <c r="L54" s="756">
        <v>18</v>
      </c>
      <c r="M54" s="756">
        <v>16</v>
      </c>
      <c r="N54" s="756">
        <v>16</v>
      </c>
      <c r="O54" s="756">
        <v>20</v>
      </c>
      <c r="P54" s="756"/>
      <c r="Q54" s="756">
        <v>20</v>
      </c>
      <c r="R54" s="756">
        <v>13</v>
      </c>
      <c r="S54" s="756">
        <v>18</v>
      </c>
      <c r="T54" s="756">
        <v>17</v>
      </c>
      <c r="U54" s="756">
        <v>17</v>
      </c>
      <c r="V54" s="756">
        <v>15</v>
      </c>
      <c r="W54" s="756">
        <v>9</v>
      </c>
      <c r="X54" s="756">
        <v>11</v>
      </c>
      <c r="Y54" s="756">
        <v>9</v>
      </c>
      <c r="Z54" s="20">
        <v>17</v>
      </c>
      <c r="AA54" s="756">
        <v>15</v>
      </c>
      <c r="AB54" s="756">
        <v>168</v>
      </c>
      <c r="AC54" s="756">
        <v>12</v>
      </c>
      <c r="AD54" s="756"/>
      <c r="AE54" s="811"/>
      <c r="AF54" s="811"/>
      <c r="AG54" s="756">
        <v>0</v>
      </c>
      <c r="AH54" s="811">
        <v>7950</v>
      </c>
      <c r="AI54" s="756">
        <v>537.37</v>
      </c>
      <c r="AJ54" s="756">
        <v>305</v>
      </c>
      <c r="AK54" s="811">
        <v>3059</v>
      </c>
      <c r="AL54" s="746">
        <v>1500</v>
      </c>
      <c r="AM54" s="811">
        <v>35000</v>
      </c>
      <c r="AN54" s="746"/>
      <c r="AO54" s="746"/>
      <c r="AP54" s="811">
        <v>3119</v>
      </c>
      <c r="AQ54" s="19">
        <v>1093</v>
      </c>
    </row>
    <row r="55" spans="2:43" s="238" customFormat="1" x14ac:dyDescent="0.25">
      <c r="B55" s="667" t="s">
        <v>657</v>
      </c>
      <c r="C55" s="791" t="s">
        <v>538</v>
      </c>
      <c r="D55" s="752"/>
      <c r="E55" s="756"/>
      <c r="F55" s="756"/>
      <c r="G55" s="756"/>
      <c r="H55" s="756"/>
      <c r="I55" s="756"/>
      <c r="J55" s="756"/>
      <c r="K55" s="756"/>
      <c r="L55" s="756"/>
      <c r="M55" s="756"/>
      <c r="N55" s="756"/>
      <c r="O55" s="756"/>
      <c r="P55" s="756"/>
      <c r="Q55" s="756"/>
      <c r="R55" s="756"/>
      <c r="S55" s="756"/>
      <c r="T55" s="756"/>
      <c r="U55" s="756"/>
      <c r="V55" s="756"/>
      <c r="W55" s="756"/>
      <c r="X55" s="756"/>
      <c r="Y55" s="756"/>
      <c r="Z55" s="20"/>
      <c r="AA55" s="756"/>
      <c r="AB55" s="756"/>
      <c r="AC55" s="756"/>
      <c r="AD55" s="756"/>
      <c r="AE55" s="746"/>
      <c r="AF55" s="746"/>
      <c r="AG55" s="756">
        <v>0</v>
      </c>
      <c r="AH55" s="746"/>
      <c r="AI55" s="756">
        <v>1042.3125</v>
      </c>
      <c r="AJ55" s="756">
        <v>1735</v>
      </c>
      <c r="AK55" s="811">
        <v>222</v>
      </c>
      <c r="AL55" s="746"/>
      <c r="AM55" s="811">
        <v>35250</v>
      </c>
      <c r="AN55" s="746"/>
      <c r="AO55" s="746"/>
      <c r="AP55" s="811"/>
      <c r="AQ55" s="19">
        <v>1080</v>
      </c>
    </row>
    <row r="56" spans="2:43" s="238" customFormat="1" x14ac:dyDescent="0.25">
      <c r="B56" s="667" t="s">
        <v>658</v>
      </c>
      <c r="C56" s="791" t="s">
        <v>538</v>
      </c>
      <c r="D56" s="752"/>
      <c r="E56" s="756"/>
      <c r="F56" s="756"/>
      <c r="G56" s="756"/>
      <c r="H56" s="756"/>
      <c r="I56" s="756"/>
      <c r="J56" s="756"/>
      <c r="K56" s="756"/>
      <c r="L56" s="756"/>
      <c r="M56" s="756"/>
      <c r="N56" s="756"/>
      <c r="O56" s="756"/>
      <c r="P56" s="756"/>
      <c r="Q56" s="756"/>
      <c r="R56" s="756"/>
      <c r="S56" s="756"/>
      <c r="T56" s="756"/>
      <c r="U56" s="756"/>
      <c r="V56" s="756"/>
      <c r="W56" s="756"/>
      <c r="X56" s="756"/>
      <c r="Y56" s="756"/>
      <c r="Z56" s="20"/>
      <c r="AA56" s="756"/>
      <c r="AB56" s="756"/>
      <c r="AC56" s="756"/>
      <c r="AD56" s="756">
        <v>171</v>
      </c>
      <c r="AE56" s="811">
        <v>85</v>
      </c>
      <c r="AF56" s="811">
        <v>228</v>
      </c>
      <c r="AG56" s="756">
        <v>195</v>
      </c>
      <c r="AH56" s="746"/>
      <c r="AI56" s="756">
        <v>1590</v>
      </c>
      <c r="AJ56" s="756"/>
      <c r="AK56" s="811">
        <v>4650</v>
      </c>
      <c r="AL56" s="746">
        <v>1600</v>
      </c>
      <c r="AM56" s="811"/>
      <c r="AN56" s="811">
        <v>5385</v>
      </c>
      <c r="AO56" s="811">
        <v>34262</v>
      </c>
      <c r="AP56" s="811"/>
      <c r="AQ56" s="19"/>
    </row>
    <row r="57" spans="2:43" s="238" customFormat="1" x14ac:dyDescent="0.25">
      <c r="B57" s="668" t="s">
        <v>659</v>
      </c>
      <c r="C57" s="791"/>
      <c r="D57" s="752"/>
      <c r="E57" s="811"/>
      <c r="F57" s="811"/>
      <c r="G57" s="811"/>
      <c r="H57" s="811"/>
      <c r="I57" s="811"/>
      <c r="J57" s="811"/>
      <c r="K57" s="811"/>
      <c r="L57" s="811"/>
      <c r="M57" s="811"/>
      <c r="N57" s="811"/>
      <c r="O57" s="811"/>
      <c r="P57" s="811"/>
      <c r="Q57" s="811"/>
      <c r="R57" s="811"/>
      <c r="S57" s="811"/>
      <c r="T57" s="811"/>
      <c r="U57" s="811"/>
      <c r="V57" s="811"/>
      <c r="W57" s="811"/>
      <c r="X57" s="811"/>
      <c r="Y57" s="811"/>
      <c r="Z57" s="29"/>
      <c r="AA57" s="811"/>
      <c r="AB57" s="811"/>
      <c r="AC57" s="811"/>
      <c r="AD57" s="811"/>
      <c r="AE57" s="746"/>
      <c r="AF57" s="746"/>
      <c r="AG57" s="811"/>
      <c r="AH57" s="746"/>
      <c r="AI57" s="811"/>
      <c r="AJ57" s="811"/>
      <c r="AK57" s="811"/>
      <c r="AL57" s="746"/>
      <c r="AM57" s="811"/>
      <c r="AN57" s="746"/>
      <c r="AO57" s="746"/>
      <c r="AP57" s="811"/>
      <c r="AQ57" s="19"/>
    </row>
    <row r="58" spans="2:43" s="238" customFormat="1" x14ac:dyDescent="0.25">
      <c r="B58" s="667" t="s">
        <v>636</v>
      </c>
      <c r="C58" s="791" t="s">
        <v>538</v>
      </c>
      <c r="D58" s="756">
        <v>65.641625000000005</v>
      </c>
      <c r="E58" s="756">
        <v>88.357500000000016</v>
      </c>
      <c r="F58" s="756">
        <v>63.034999999999997</v>
      </c>
      <c r="G58" s="756">
        <v>96.288500000000013</v>
      </c>
      <c r="H58" s="756">
        <v>57.758749999999999</v>
      </c>
      <c r="I58" s="756">
        <v>88.559625000000011</v>
      </c>
      <c r="J58" s="756">
        <v>78.959999999999994</v>
      </c>
      <c r="K58" s="756">
        <v>58.668750000000003</v>
      </c>
      <c r="L58" s="756">
        <v>62.212499999999999</v>
      </c>
      <c r="M58" s="756">
        <v>57.548750000000005</v>
      </c>
      <c r="N58" s="756">
        <v>59.141249999999999</v>
      </c>
      <c r="O58" s="756">
        <v>60.077500000000001</v>
      </c>
      <c r="P58" s="756"/>
      <c r="Q58" s="756">
        <v>35.728000000000002</v>
      </c>
      <c r="R58" s="756">
        <v>43.515999999999998</v>
      </c>
      <c r="S58" s="756">
        <v>85.625</v>
      </c>
      <c r="T58" s="756">
        <v>91.025000000000006</v>
      </c>
      <c r="U58" s="756">
        <v>90.6875</v>
      </c>
      <c r="V58" s="756">
        <v>83.1</v>
      </c>
      <c r="W58" s="756">
        <v>90</v>
      </c>
      <c r="X58" s="756">
        <v>94.5</v>
      </c>
      <c r="Y58" s="756">
        <v>57.548750000000005</v>
      </c>
      <c r="Z58" s="20">
        <v>60.64</v>
      </c>
      <c r="AA58" s="756">
        <v>87.75</v>
      </c>
      <c r="AB58" s="756">
        <v>190</v>
      </c>
      <c r="AC58" s="756">
        <v>152</v>
      </c>
      <c r="AD58" s="756">
        <v>137</v>
      </c>
      <c r="AE58" s="756">
        <v>170</v>
      </c>
      <c r="AF58" s="756">
        <v>53.999999999999993</v>
      </c>
      <c r="AG58" s="756">
        <v>206.99999999999997</v>
      </c>
      <c r="AH58" s="746"/>
      <c r="AI58" s="756">
        <v>968.59999999999991</v>
      </c>
      <c r="AJ58" s="756">
        <v>1100</v>
      </c>
      <c r="AK58" s="756">
        <v>80</v>
      </c>
      <c r="AL58" s="756">
        <v>0</v>
      </c>
      <c r="AM58" s="756">
        <v>16400</v>
      </c>
      <c r="AN58" s="756">
        <v>12830</v>
      </c>
      <c r="AO58" s="756">
        <v>74188</v>
      </c>
      <c r="AP58" s="756">
        <v>840</v>
      </c>
      <c r="AQ58" s="22">
        <v>787.95</v>
      </c>
    </row>
    <row r="59" spans="2:43" s="238" customFormat="1" x14ac:dyDescent="0.25">
      <c r="B59" s="667" t="s">
        <v>660</v>
      </c>
      <c r="C59" s="791" t="s">
        <v>538</v>
      </c>
      <c r="D59" s="752">
        <v>228.30328948045926</v>
      </c>
      <c r="E59" s="752">
        <v>221.90931912032949</v>
      </c>
      <c r="F59" s="752">
        <v>249.57686372158679</v>
      </c>
      <c r="G59" s="752">
        <v>243.68934645928908</v>
      </c>
      <c r="H59" s="752">
        <v>246.95501637407446</v>
      </c>
      <c r="I59" s="752">
        <v>240.68765928840273</v>
      </c>
      <c r="J59" s="752">
        <v>203.50586400265965</v>
      </c>
      <c r="K59" s="752">
        <v>159.77123379247581</v>
      </c>
      <c r="L59" s="752">
        <v>121.79865330099912</v>
      </c>
      <c r="M59" s="752">
        <v>130.79339942635909</v>
      </c>
      <c r="N59" s="752">
        <v>102.65803721492492</v>
      </c>
      <c r="O59" s="752">
        <v>151.85269741880143</v>
      </c>
      <c r="P59" s="752"/>
      <c r="Q59" s="752">
        <v>169.78654769756236</v>
      </c>
      <c r="R59" s="752">
        <v>80.042390617658555</v>
      </c>
      <c r="S59" s="752">
        <v>43.630928367635711</v>
      </c>
      <c r="T59" s="752">
        <v>39.531955758940057</v>
      </c>
      <c r="U59" s="752">
        <v>39.531955758940057</v>
      </c>
      <c r="V59" s="752">
        <v>33.958791617704662</v>
      </c>
      <c r="W59" s="752">
        <v>55.484914361001323</v>
      </c>
      <c r="X59" s="752">
        <v>81.4892621870883</v>
      </c>
      <c r="Y59" s="752">
        <v>119.67483019115642</v>
      </c>
      <c r="Z59" s="773">
        <v>115.8227536231884</v>
      </c>
      <c r="AA59" s="752">
        <v>128.96855072463768</v>
      </c>
      <c r="AB59" s="752">
        <v>51.049783549783555</v>
      </c>
      <c r="AC59" s="752">
        <v>60.259552042160742</v>
      </c>
      <c r="AD59" s="752">
        <v>164.53491436100131</v>
      </c>
      <c r="AE59" s="752">
        <v>87.491436100131764</v>
      </c>
      <c r="AF59" s="752">
        <v>171.18152067661188</v>
      </c>
      <c r="AG59" s="752">
        <v>194.13078878932205</v>
      </c>
      <c r="AH59" s="746"/>
      <c r="AI59" s="752">
        <v>239.3172971014493</v>
      </c>
      <c r="AJ59" s="752">
        <v>477</v>
      </c>
      <c r="AK59" s="752">
        <v>130</v>
      </c>
      <c r="AL59" s="752">
        <v>0</v>
      </c>
      <c r="AM59" s="752">
        <v>0</v>
      </c>
      <c r="AN59" s="752">
        <v>2210</v>
      </c>
      <c r="AO59" s="752">
        <v>9335</v>
      </c>
      <c r="AP59" s="752">
        <v>291</v>
      </c>
      <c r="AQ59" s="677">
        <v>325</v>
      </c>
    </row>
    <row r="60" spans="2:43" s="238" customFormat="1" x14ac:dyDescent="0.25">
      <c r="B60" s="667" t="s">
        <v>661</v>
      </c>
      <c r="C60" s="791" t="s">
        <v>538</v>
      </c>
      <c r="D60" s="752">
        <v>256</v>
      </c>
      <c r="E60" s="752">
        <v>256</v>
      </c>
      <c r="F60" s="752">
        <v>265</v>
      </c>
      <c r="G60" s="752">
        <v>265</v>
      </c>
      <c r="H60" s="752">
        <v>265</v>
      </c>
      <c r="I60" s="752">
        <v>265</v>
      </c>
      <c r="J60" s="752">
        <v>152</v>
      </c>
      <c r="K60" s="752">
        <v>196</v>
      </c>
      <c r="L60" s="752">
        <v>196</v>
      </c>
      <c r="M60" s="752">
        <v>152</v>
      </c>
      <c r="N60" s="752">
        <v>152</v>
      </c>
      <c r="O60" s="752">
        <v>137</v>
      </c>
      <c r="P60" s="752"/>
      <c r="Q60" s="752">
        <v>234</v>
      </c>
      <c r="R60" s="752">
        <v>152</v>
      </c>
      <c r="S60" s="752">
        <v>133</v>
      </c>
      <c r="T60" s="752">
        <v>130</v>
      </c>
      <c r="U60" s="752">
        <v>130</v>
      </c>
      <c r="V60" s="752">
        <v>157</v>
      </c>
      <c r="W60" s="752">
        <v>66</v>
      </c>
      <c r="X60" s="752">
        <v>80</v>
      </c>
      <c r="Y60" s="752">
        <v>74.01709401709401</v>
      </c>
      <c r="Z60" s="773">
        <v>85</v>
      </c>
      <c r="AA60" s="752">
        <v>137</v>
      </c>
      <c r="AB60" s="752">
        <v>54</v>
      </c>
      <c r="AC60" s="752">
        <v>80</v>
      </c>
      <c r="AD60" s="752">
        <v>20</v>
      </c>
      <c r="AE60" s="752">
        <v>50</v>
      </c>
      <c r="AF60" s="752">
        <v>180</v>
      </c>
      <c r="AG60" s="752">
        <v>251</v>
      </c>
      <c r="AH60" s="746"/>
      <c r="AI60" s="752">
        <v>783</v>
      </c>
      <c r="AJ60" s="752">
        <v>245</v>
      </c>
      <c r="AK60" s="752">
        <v>880</v>
      </c>
      <c r="AL60" s="752">
        <v>0</v>
      </c>
      <c r="AM60" s="752">
        <v>1964</v>
      </c>
      <c r="AN60" s="752">
        <v>698</v>
      </c>
      <c r="AO60" s="752">
        <v>1443</v>
      </c>
      <c r="AP60" s="752">
        <v>850</v>
      </c>
      <c r="AQ60" s="677">
        <v>300</v>
      </c>
    </row>
    <row r="61" spans="2:43" s="238" customFormat="1" x14ac:dyDescent="0.25">
      <c r="B61" s="667" t="s">
        <v>662</v>
      </c>
      <c r="C61" s="791" t="s">
        <v>538</v>
      </c>
      <c r="D61" s="756">
        <v>25</v>
      </c>
      <c r="E61" s="756">
        <v>22</v>
      </c>
      <c r="F61" s="756">
        <v>23</v>
      </c>
      <c r="G61" s="756">
        <v>24</v>
      </c>
      <c r="H61" s="756">
        <v>23</v>
      </c>
      <c r="I61" s="756">
        <v>24</v>
      </c>
      <c r="J61" s="756">
        <v>15</v>
      </c>
      <c r="K61" s="756">
        <v>20</v>
      </c>
      <c r="L61" s="756">
        <v>18</v>
      </c>
      <c r="M61" s="756">
        <v>16</v>
      </c>
      <c r="N61" s="756">
        <v>16</v>
      </c>
      <c r="O61" s="756">
        <v>20</v>
      </c>
      <c r="P61" s="756"/>
      <c r="Q61" s="756">
        <v>20</v>
      </c>
      <c r="R61" s="756">
        <v>13</v>
      </c>
      <c r="S61" s="756">
        <v>18</v>
      </c>
      <c r="T61" s="756">
        <v>17</v>
      </c>
      <c r="U61" s="756">
        <v>17</v>
      </c>
      <c r="V61" s="756">
        <v>15</v>
      </c>
      <c r="W61" s="756">
        <v>9</v>
      </c>
      <c r="X61" s="756">
        <v>11</v>
      </c>
      <c r="Y61" s="756">
        <v>9</v>
      </c>
      <c r="Z61" s="20">
        <v>17</v>
      </c>
      <c r="AA61" s="756">
        <v>15</v>
      </c>
      <c r="AB61" s="756">
        <v>168</v>
      </c>
      <c r="AC61" s="756">
        <v>12</v>
      </c>
      <c r="AD61" s="756">
        <v>0</v>
      </c>
      <c r="AE61" s="756">
        <v>0</v>
      </c>
      <c r="AF61" s="756">
        <v>0</v>
      </c>
      <c r="AG61" s="756">
        <v>0</v>
      </c>
      <c r="AH61" s="756">
        <v>7950</v>
      </c>
      <c r="AI61" s="756">
        <v>537.37</v>
      </c>
      <c r="AJ61" s="756">
        <v>305</v>
      </c>
      <c r="AK61" s="756">
        <v>3059</v>
      </c>
      <c r="AL61" s="756">
        <v>1500</v>
      </c>
      <c r="AM61" s="756">
        <v>35000</v>
      </c>
      <c r="AN61" s="756">
        <v>0</v>
      </c>
      <c r="AO61" s="756">
        <v>0</v>
      </c>
      <c r="AP61" s="756">
        <v>3119</v>
      </c>
      <c r="AQ61" s="22">
        <v>1093</v>
      </c>
    </row>
    <row r="62" spans="2:43" s="238" customFormat="1" x14ac:dyDescent="0.25">
      <c r="B62" s="667" t="s">
        <v>663</v>
      </c>
      <c r="C62" s="791" t="s">
        <v>538</v>
      </c>
      <c r="D62" s="756"/>
      <c r="E62" s="756"/>
      <c r="F62" s="756"/>
      <c r="G62" s="756"/>
      <c r="H62" s="756"/>
      <c r="I62" s="756"/>
      <c r="J62" s="756"/>
      <c r="K62" s="756"/>
      <c r="L62" s="756"/>
      <c r="M62" s="756"/>
      <c r="N62" s="756"/>
      <c r="O62" s="756"/>
      <c r="P62" s="756"/>
      <c r="Q62" s="756"/>
      <c r="R62" s="756"/>
      <c r="S62" s="756"/>
      <c r="T62" s="756"/>
      <c r="U62" s="756"/>
      <c r="V62" s="756"/>
      <c r="W62" s="756"/>
      <c r="X62" s="756"/>
      <c r="Y62" s="756"/>
      <c r="Z62" s="20"/>
      <c r="AA62" s="756"/>
      <c r="AB62" s="756"/>
      <c r="AC62" s="756"/>
      <c r="AD62" s="756"/>
      <c r="AE62" s="756"/>
      <c r="AF62" s="756"/>
      <c r="AG62" s="756">
        <v>0</v>
      </c>
      <c r="AH62" s="756"/>
      <c r="AI62" s="756">
        <v>1042.3125</v>
      </c>
      <c r="AJ62" s="756">
        <v>1735</v>
      </c>
      <c r="AK62" s="756">
        <v>222</v>
      </c>
      <c r="AL62" s="756">
        <v>0</v>
      </c>
      <c r="AM62" s="756">
        <v>35250</v>
      </c>
      <c r="AN62" s="756">
        <v>0</v>
      </c>
      <c r="AO62" s="756">
        <v>0</v>
      </c>
      <c r="AP62" s="811"/>
      <c r="AQ62" s="22">
        <v>1080</v>
      </c>
    </row>
    <row r="63" spans="2:43" s="238" customFormat="1" x14ac:dyDescent="0.25">
      <c r="B63" s="667" t="s">
        <v>664</v>
      </c>
      <c r="C63" s="791" t="s">
        <v>538</v>
      </c>
      <c r="D63" s="756">
        <v>0</v>
      </c>
      <c r="E63" s="756">
        <v>0</v>
      </c>
      <c r="F63" s="756">
        <v>0</v>
      </c>
      <c r="G63" s="756">
        <v>0</v>
      </c>
      <c r="H63" s="756">
        <v>0</v>
      </c>
      <c r="I63" s="756">
        <v>0</v>
      </c>
      <c r="J63" s="756">
        <v>0</v>
      </c>
      <c r="K63" s="756">
        <v>0</v>
      </c>
      <c r="L63" s="756">
        <v>0</v>
      </c>
      <c r="M63" s="756">
        <v>0</v>
      </c>
      <c r="N63" s="756">
        <v>0</v>
      </c>
      <c r="O63" s="756">
        <v>0</v>
      </c>
      <c r="P63" s="756"/>
      <c r="Q63" s="756">
        <v>0</v>
      </c>
      <c r="R63" s="756">
        <v>0</v>
      </c>
      <c r="S63" s="756">
        <v>0</v>
      </c>
      <c r="T63" s="756">
        <v>0</v>
      </c>
      <c r="U63" s="756">
        <v>0</v>
      </c>
      <c r="V63" s="756">
        <v>0</v>
      </c>
      <c r="W63" s="756">
        <v>0</v>
      </c>
      <c r="X63" s="756">
        <v>0</v>
      </c>
      <c r="Y63" s="756">
        <v>0</v>
      </c>
      <c r="Z63" s="20">
        <v>0</v>
      </c>
      <c r="AA63" s="756">
        <v>0</v>
      </c>
      <c r="AB63" s="756">
        <v>0</v>
      </c>
      <c r="AC63" s="756">
        <v>0</v>
      </c>
      <c r="AD63" s="756">
        <v>171</v>
      </c>
      <c r="AE63" s="756">
        <v>85</v>
      </c>
      <c r="AF63" s="756">
        <v>228</v>
      </c>
      <c r="AG63" s="756">
        <v>195</v>
      </c>
      <c r="AH63" s="746"/>
      <c r="AI63" s="756">
        <v>1590</v>
      </c>
      <c r="AJ63" s="756">
        <v>0</v>
      </c>
      <c r="AK63" s="756">
        <v>4650</v>
      </c>
      <c r="AL63" s="756">
        <v>1600</v>
      </c>
      <c r="AM63" s="756">
        <v>0</v>
      </c>
      <c r="AN63" s="756">
        <v>5385</v>
      </c>
      <c r="AO63" s="756">
        <v>34262</v>
      </c>
      <c r="AP63" s="811"/>
      <c r="AQ63" s="19"/>
    </row>
    <row r="64" spans="2:43" s="238" customFormat="1" x14ac:dyDescent="0.25">
      <c r="B64" s="675" t="s">
        <v>665</v>
      </c>
      <c r="C64" s="791" t="s">
        <v>538</v>
      </c>
      <c r="D64" s="439">
        <v>574.94491448045926</v>
      </c>
      <c r="E64" s="439">
        <v>588.2668191203295</v>
      </c>
      <c r="F64" s="439">
        <v>600.61186372158681</v>
      </c>
      <c r="G64" s="439">
        <v>628.97784645928914</v>
      </c>
      <c r="H64" s="439">
        <v>592.71376637407445</v>
      </c>
      <c r="I64" s="439">
        <v>618.24728428840274</v>
      </c>
      <c r="J64" s="439">
        <v>449.46586400265966</v>
      </c>
      <c r="K64" s="439">
        <v>434.4399837924758</v>
      </c>
      <c r="L64" s="439">
        <v>398.01115330099913</v>
      </c>
      <c r="M64" s="439">
        <v>356.34214942635913</v>
      </c>
      <c r="N64" s="439">
        <v>329.7992872149249</v>
      </c>
      <c r="O64" s="439">
        <v>368.93019741880141</v>
      </c>
      <c r="P64" s="439"/>
      <c r="Q64" s="439">
        <v>459.51454769756236</v>
      </c>
      <c r="R64" s="439">
        <v>288.55839061765857</v>
      </c>
      <c r="S64" s="439">
        <v>280.2559283676357</v>
      </c>
      <c r="T64" s="439">
        <v>277.55695575894003</v>
      </c>
      <c r="U64" s="439">
        <v>277.21945575894006</v>
      </c>
      <c r="V64" s="439">
        <v>289.05879161770463</v>
      </c>
      <c r="W64" s="439">
        <v>220.48491436100133</v>
      </c>
      <c r="X64" s="439">
        <v>266.98926218708829</v>
      </c>
      <c r="Y64" s="439">
        <v>260.24067420825043</v>
      </c>
      <c r="Z64" s="77">
        <v>278.46275362318841</v>
      </c>
      <c r="AA64" s="439">
        <v>368.71855072463768</v>
      </c>
      <c r="AB64" s="439">
        <v>463.04978354978357</v>
      </c>
      <c r="AC64" s="439">
        <v>304.25955204216075</v>
      </c>
      <c r="AD64" s="439">
        <v>492.53491436100131</v>
      </c>
      <c r="AE64" s="439">
        <v>392.49143610013175</v>
      </c>
      <c r="AF64" s="439">
        <v>633.18152067661185</v>
      </c>
      <c r="AG64" s="439">
        <v>847.13078878932197</v>
      </c>
      <c r="AH64" s="439">
        <v>7950</v>
      </c>
      <c r="AI64" s="439">
        <v>5160.5997971014494</v>
      </c>
      <c r="AJ64" s="439">
        <v>3862</v>
      </c>
      <c r="AK64" s="439">
        <v>9021</v>
      </c>
      <c r="AL64" s="439">
        <v>3100</v>
      </c>
      <c r="AM64" s="439">
        <v>88614</v>
      </c>
      <c r="AN64" s="439">
        <v>21123</v>
      </c>
      <c r="AO64" s="439">
        <v>119228</v>
      </c>
      <c r="AP64" s="439">
        <v>5100</v>
      </c>
      <c r="AQ64" s="78">
        <v>3585.95</v>
      </c>
    </row>
    <row r="65" spans="2:45" s="238" customFormat="1" x14ac:dyDescent="0.25">
      <c r="B65" s="675" t="s">
        <v>666</v>
      </c>
      <c r="C65" s="791" t="s">
        <v>538</v>
      </c>
      <c r="D65" s="439">
        <v>872.31973060313373</v>
      </c>
      <c r="E65" s="439">
        <v>739.17600226718719</v>
      </c>
      <c r="F65" s="439">
        <v>855.2433536259357</v>
      </c>
      <c r="G65" s="439">
        <v>706.24882600291608</v>
      </c>
      <c r="H65" s="439">
        <v>854.29821481940292</v>
      </c>
      <c r="I65" s="439">
        <v>708.96660030279975</v>
      </c>
      <c r="J65" s="439">
        <v>711.17360759021471</v>
      </c>
      <c r="K65" s="439">
        <v>700.96031757456615</v>
      </c>
      <c r="L65" s="439">
        <v>810.16895307672246</v>
      </c>
      <c r="M65" s="439">
        <v>613.79199471547327</v>
      </c>
      <c r="N65" s="439">
        <v>769.30352713738796</v>
      </c>
      <c r="O65" s="439">
        <v>546.72660107878403</v>
      </c>
      <c r="P65" s="439"/>
      <c r="Q65" s="439">
        <v>741.65109138717662</v>
      </c>
      <c r="R65" s="439">
        <v>492.19927478742193</v>
      </c>
      <c r="S65" s="439">
        <v>458.47682163236431</v>
      </c>
      <c r="T65" s="439">
        <v>401.65884424105991</v>
      </c>
      <c r="U65" s="439">
        <v>391.15779424105995</v>
      </c>
      <c r="V65" s="439">
        <v>403.45787504896191</v>
      </c>
      <c r="W65" s="439">
        <v>479.5150856389987</v>
      </c>
      <c r="X65" s="439">
        <v>633.01073781291166</v>
      </c>
      <c r="Y65" s="439">
        <v>358.2730411052155</v>
      </c>
      <c r="Z65" s="77">
        <v>545.34924637681161</v>
      </c>
      <c r="AA65" s="439">
        <v>682.59344927536222</v>
      </c>
      <c r="AB65" s="439">
        <v>774.45021645021643</v>
      </c>
      <c r="AC65" s="439">
        <v>475.74044795783925</v>
      </c>
      <c r="AD65" s="439">
        <v>594.96508563899874</v>
      </c>
      <c r="AE65" s="439">
        <v>767.50856389986825</v>
      </c>
      <c r="AF65" s="439">
        <v>796.81847932338815</v>
      </c>
      <c r="AG65" s="439">
        <v>768.08357778885488</v>
      </c>
      <c r="AH65" s="439">
        <v>4349.9999999999982</v>
      </c>
      <c r="AI65" s="439">
        <v>2714.6502028985515</v>
      </c>
      <c r="AJ65" s="439">
        <v>1058</v>
      </c>
      <c r="AK65" s="439">
        <v>10979</v>
      </c>
      <c r="AL65" s="439">
        <v>15650</v>
      </c>
      <c r="AM65" s="439">
        <v>16386</v>
      </c>
      <c r="AN65" s="439">
        <v>51877</v>
      </c>
      <c r="AO65" s="439">
        <v>174700</v>
      </c>
      <c r="AP65" s="439">
        <v>8550</v>
      </c>
      <c r="AQ65" s="78">
        <v>3539.05</v>
      </c>
    </row>
    <row r="66" spans="2:45" s="238" customFormat="1" ht="11" thickBot="1" x14ac:dyDescent="0.3">
      <c r="B66" s="678" t="s">
        <v>667</v>
      </c>
      <c r="C66" s="794"/>
      <c r="D66" s="810" t="s">
        <v>668</v>
      </c>
      <c r="E66" s="813" t="s">
        <v>668</v>
      </c>
      <c r="F66" s="813" t="s">
        <v>668</v>
      </c>
      <c r="G66" s="813" t="s">
        <v>668</v>
      </c>
      <c r="H66" s="813" t="s">
        <v>668</v>
      </c>
      <c r="I66" s="813" t="s">
        <v>668</v>
      </c>
      <c r="J66" s="813" t="s">
        <v>669</v>
      </c>
      <c r="K66" s="813" t="s">
        <v>668</v>
      </c>
      <c r="L66" s="813" t="s">
        <v>668</v>
      </c>
      <c r="M66" s="813" t="s">
        <v>669</v>
      </c>
      <c r="N66" s="813" t="s">
        <v>669</v>
      </c>
      <c r="O66" s="813" t="s">
        <v>668</v>
      </c>
      <c r="P66" s="813" t="s">
        <v>669</v>
      </c>
      <c r="Q66" s="813" t="s">
        <v>668</v>
      </c>
      <c r="R66" s="813" t="s">
        <v>669</v>
      </c>
      <c r="S66" s="813" t="s">
        <v>668</v>
      </c>
      <c r="T66" s="813" t="s">
        <v>669</v>
      </c>
      <c r="U66" s="813" t="s">
        <v>669</v>
      </c>
      <c r="V66" s="813" t="s">
        <v>669</v>
      </c>
      <c r="W66" s="813" t="s">
        <v>669</v>
      </c>
      <c r="X66" s="813" t="s">
        <v>668</v>
      </c>
      <c r="Y66" s="813" t="s">
        <v>669</v>
      </c>
      <c r="Z66" s="831" t="s">
        <v>669</v>
      </c>
      <c r="AA66" s="813" t="s">
        <v>669</v>
      </c>
      <c r="AB66" s="813" t="s">
        <v>669</v>
      </c>
      <c r="AC66" s="813" t="s">
        <v>669</v>
      </c>
      <c r="AD66" s="813" t="s">
        <v>669</v>
      </c>
      <c r="AE66" s="813" t="s">
        <v>669</v>
      </c>
      <c r="AF66" s="813" t="s">
        <v>669</v>
      </c>
      <c r="AG66" s="813" t="s">
        <v>668</v>
      </c>
      <c r="AH66" s="813" t="s">
        <v>668</v>
      </c>
      <c r="AI66" s="813" t="s">
        <v>668</v>
      </c>
      <c r="AJ66" s="813" t="s">
        <v>668</v>
      </c>
      <c r="AK66" s="813" t="s">
        <v>668</v>
      </c>
      <c r="AL66" s="813" t="s">
        <v>668</v>
      </c>
      <c r="AM66" s="813" t="s">
        <v>668</v>
      </c>
      <c r="AN66" s="813" t="s">
        <v>668</v>
      </c>
      <c r="AO66" s="813" t="s">
        <v>668</v>
      </c>
      <c r="AP66" s="813" t="s">
        <v>668</v>
      </c>
      <c r="AQ66" s="679" t="s">
        <v>668</v>
      </c>
    </row>
    <row r="67" spans="2:45" s="238" customFormat="1" x14ac:dyDescent="0.25">
      <c r="Z67" s="837"/>
      <c r="AA67" s="837"/>
      <c r="AB67" s="837"/>
      <c r="AC67" s="837"/>
      <c r="AD67" s="837"/>
      <c r="AE67" s="837"/>
      <c r="AF67" s="837"/>
      <c r="AG67" s="837"/>
      <c r="AH67" s="837"/>
      <c r="AI67" s="837"/>
      <c r="AJ67" s="837"/>
      <c r="AK67" s="837"/>
      <c r="AL67" s="837"/>
      <c r="AM67" s="837"/>
      <c r="AN67" s="837"/>
      <c r="AO67" s="837"/>
      <c r="AP67" s="837"/>
    </row>
    <row r="68" spans="2:45" s="238" customFormat="1" ht="11" thickBot="1" x14ac:dyDescent="0.3"/>
    <row r="69" spans="2:45" s="238" customFormat="1" ht="32" thickBot="1" x14ac:dyDescent="0.3">
      <c r="B69" s="778" t="s">
        <v>680</v>
      </c>
      <c r="C69" s="779"/>
      <c r="D69" s="780" t="s">
        <v>541</v>
      </c>
      <c r="E69" s="781"/>
      <c r="F69" s="781"/>
      <c r="G69" s="781"/>
      <c r="H69" s="781"/>
      <c r="I69" s="781"/>
      <c r="J69" s="780" t="s">
        <v>551</v>
      </c>
      <c r="K69" s="780" t="s">
        <v>552</v>
      </c>
      <c r="L69" s="782"/>
      <c r="M69" s="780" t="s">
        <v>555</v>
      </c>
      <c r="N69" s="782"/>
      <c r="O69" s="783" t="s">
        <v>559</v>
      </c>
      <c r="P69" s="784" t="s">
        <v>561</v>
      </c>
      <c r="Q69" s="782"/>
      <c r="R69" s="782"/>
      <c r="S69" s="780" t="s">
        <v>563</v>
      </c>
      <c r="T69" s="780" t="s">
        <v>566</v>
      </c>
      <c r="U69" s="780" t="s">
        <v>567</v>
      </c>
      <c r="V69" s="784" t="s">
        <v>568</v>
      </c>
      <c r="W69" s="985"/>
      <c r="X69" s="986"/>
      <c r="Y69" s="986"/>
      <c r="Z69" s="986"/>
      <c r="AA69" s="986"/>
      <c r="AB69" s="986"/>
      <c r="AC69" s="986"/>
      <c r="AD69" s="986"/>
      <c r="AE69" s="986"/>
      <c r="AF69" s="986"/>
      <c r="AG69" s="986"/>
      <c r="AH69" s="986"/>
      <c r="AI69" s="780" t="s">
        <v>681</v>
      </c>
      <c r="AJ69" s="987"/>
      <c r="AK69" s="987"/>
      <c r="AL69" s="987"/>
      <c r="AM69" s="987"/>
      <c r="AN69" s="987"/>
      <c r="AO69" s="987"/>
      <c r="AP69" s="987"/>
      <c r="AQ69" s="987"/>
      <c r="AR69" s="988" t="s">
        <v>682</v>
      </c>
      <c r="AS69" s="1016" t="s">
        <v>683</v>
      </c>
    </row>
    <row r="70" spans="2:45" s="238" customFormat="1" x14ac:dyDescent="0.25">
      <c r="B70" s="680" t="s">
        <v>684</v>
      </c>
      <c r="C70" s="661" t="s">
        <v>538</v>
      </c>
      <c r="D70" s="715">
        <f>D106</f>
        <v>1657.1039999999996</v>
      </c>
      <c r="E70" s="681"/>
      <c r="F70" s="681"/>
      <c r="G70" s="681"/>
      <c r="H70" s="681"/>
      <c r="I70" s="681"/>
      <c r="J70" s="715">
        <f t="shared" ref="J70:V70" si="1">J106</f>
        <v>1063.6249999999998</v>
      </c>
      <c r="K70" s="715">
        <f t="shared" si="1"/>
        <v>964.70049999999992</v>
      </c>
      <c r="L70" s="681"/>
      <c r="M70" s="715">
        <f t="shared" si="1"/>
        <v>958.99774999999988</v>
      </c>
      <c r="N70" s="681"/>
      <c r="O70" s="680">
        <f t="shared" si="1"/>
        <v>1046.2794000000001</v>
      </c>
      <c r="P70" s="682">
        <f t="shared" si="1"/>
        <v>-32.389999999999986</v>
      </c>
      <c r="Q70" s="681"/>
      <c r="R70" s="681"/>
      <c r="S70" s="715">
        <f t="shared" si="1"/>
        <v>1095.8899999999999</v>
      </c>
      <c r="T70" s="715">
        <f t="shared" si="1"/>
        <v>277.54999999999995</v>
      </c>
      <c r="U70" s="715">
        <f t="shared" si="1"/>
        <v>466.75</v>
      </c>
      <c r="V70" s="682">
        <f t="shared" si="1"/>
        <v>413.06157997499997</v>
      </c>
      <c r="W70" s="973"/>
      <c r="X70" s="972"/>
      <c r="Y70" s="972"/>
      <c r="Z70" s="972"/>
      <c r="AA70" s="972"/>
      <c r="AB70" s="972"/>
      <c r="AC70" s="972"/>
      <c r="AD70" s="972"/>
      <c r="AE70" s="972"/>
      <c r="AF70" s="972"/>
      <c r="AG70" s="972"/>
      <c r="AH70" s="972"/>
      <c r="AI70" s="715">
        <f>AI106</f>
        <v>4706.5</v>
      </c>
      <c r="AJ70" s="972"/>
      <c r="AK70" s="972"/>
      <c r="AL70" s="972"/>
      <c r="AM70" s="972"/>
      <c r="AN70" s="972"/>
      <c r="AO70" s="972"/>
      <c r="AP70" s="972"/>
      <c r="AQ70" s="972"/>
      <c r="AR70" s="715">
        <f>AR106</f>
        <v>9490</v>
      </c>
      <c r="AS70" s="1013"/>
    </row>
    <row r="71" spans="2:45" s="238" customFormat="1" x14ac:dyDescent="0.25">
      <c r="B71" s="680" t="s">
        <v>412</v>
      </c>
      <c r="C71" s="661" t="s">
        <v>538</v>
      </c>
      <c r="D71" s="715">
        <f>D104</f>
        <v>1328.1539999999998</v>
      </c>
      <c r="E71" s="681"/>
      <c r="F71" s="681"/>
      <c r="G71" s="681"/>
      <c r="H71" s="681"/>
      <c r="I71" s="681"/>
      <c r="J71" s="715">
        <f t="shared" ref="J71:T72" si="2">J104</f>
        <v>837.96100000000001</v>
      </c>
      <c r="K71" s="715">
        <f t="shared" si="2"/>
        <v>773.17849999999999</v>
      </c>
      <c r="L71" s="681"/>
      <c r="M71" s="715">
        <f t="shared" si="2"/>
        <v>767.47574999999995</v>
      </c>
      <c r="N71" s="681"/>
      <c r="O71" s="680">
        <f t="shared" si="2"/>
        <v>843.49140000000011</v>
      </c>
      <c r="P71" s="682"/>
      <c r="Q71" s="681"/>
      <c r="R71" s="681"/>
      <c r="S71" s="715">
        <f t="shared" si="2"/>
        <v>817.46500000000003</v>
      </c>
      <c r="T71" s="715">
        <f t="shared" si="2"/>
        <v>156.29000000000008</v>
      </c>
      <c r="U71" s="715"/>
      <c r="V71" s="682"/>
      <c r="W71" s="973"/>
      <c r="X71" s="972"/>
      <c r="Y71" s="972"/>
      <c r="Z71" s="972"/>
      <c r="AA71" s="972"/>
      <c r="AB71" s="972"/>
      <c r="AC71" s="972"/>
      <c r="AD71" s="972"/>
      <c r="AE71" s="972"/>
      <c r="AF71" s="972"/>
      <c r="AG71" s="972"/>
      <c r="AH71" s="972"/>
      <c r="AI71" s="715">
        <f>AI104</f>
        <v>3025.2000000000007</v>
      </c>
      <c r="AJ71" s="972"/>
      <c r="AK71" s="972"/>
      <c r="AL71" s="972"/>
      <c r="AM71" s="972"/>
      <c r="AN71" s="972"/>
      <c r="AO71" s="972"/>
      <c r="AP71" s="972"/>
      <c r="AQ71" s="972"/>
      <c r="AR71" s="715">
        <f>AR104</f>
        <v>3100</v>
      </c>
      <c r="AS71" s="1012"/>
    </row>
    <row r="72" spans="2:45" s="238" customFormat="1" x14ac:dyDescent="0.25">
      <c r="B72" s="680" t="s">
        <v>414</v>
      </c>
      <c r="C72" s="661" t="s">
        <v>538</v>
      </c>
      <c r="D72" s="715">
        <f>D105</f>
        <v>1986.0539999999999</v>
      </c>
      <c r="E72" s="681"/>
      <c r="F72" s="681"/>
      <c r="G72" s="681"/>
      <c r="H72" s="681"/>
      <c r="I72" s="681"/>
      <c r="J72" s="715">
        <f t="shared" si="2"/>
        <v>1289.289</v>
      </c>
      <c r="K72" s="715">
        <f t="shared" si="2"/>
        <v>1156.2224999999999</v>
      </c>
      <c r="L72" s="681"/>
      <c r="M72" s="715">
        <f t="shared" si="2"/>
        <v>1150.5197499999999</v>
      </c>
      <c r="N72" s="681"/>
      <c r="O72" s="680">
        <f t="shared" si="2"/>
        <v>1249.0674000000001</v>
      </c>
      <c r="P72" s="682"/>
      <c r="Q72" s="681"/>
      <c r="R72" s="681"/>
      <c r="S72" s="715">
        <f t="shared" si="2"/>
        <v>1374.3150000000001</v>
      </c>
      <c r="T72" s="715">
        <f t="shared" si="2"/>
        <v>398.80999999999995</v>
      </c>
      <c r="U72" s="715"/>
      <c r="V72" s="682"/>
      <c r="W72" s="973"/>
      <c r="X72" s="972"/>
      <c r="Y72" s="972"/>
      <c r="Z72" s="972"/>
      <c r="AA72" s="972"/>
      <c r="AB72" s="972"/>
      <c r="AC72" s="972"/>
      <c r="AD72" s="972"/>
      <c r="AE72" s="972"/>
      <c r="AF72" s="972"/>
      <c r="AG72" s="972"/>
      <c r="AH72" s="972"/>
      <c r="AI72" s="715">
        <f>AI105</f>
        <v>6387.7999999999993</v>
      </c>
      <c r="AJ72" s="972"/>
      <c r="AK72" s="972"/>
      <c r="AL72" s="972"/>
      <c r="AM72" s="972"/>
      <c r="AN72" s="972"/>
      <c r="AO72" s="972"/>
      <c r="AP72" s="972"/>
      <c r="AQ72" s="972"/>
      <c r="AR72" s="715">
        <f>AR105</f>
        <v>7780</v>
      </c>
      <c r="AS72" s="1014"/>
    </row>
    <row r="73" spans="2:45" s="238" customFormat="1" x14ac:dyDescent="0.25">
      <c r="B73" s="680" t="s">
        <v>216</v>
      </c>
      <c r="C73" s="661" t="s">
        <v>538</v>
      </c>
      <c r="D73" s="715">
        <f>D108</f>
        <v>4.8390143999999999</v>
      </c>
      <c r="E73" s="681"/>
      <c r="F73" s="681"/>
      <c r="G73" s="681"/>
      <c r="H73" s="681"/>
      <c r="I73" s="681"/>
      <c r="J73" s="715">
        <f t="shared" ref="J73:V73" si="3">J108</f>
        <v>5.206900000000001</v>
      </c>
      <c r="K73" s="715">
        <f t="shared" si="3"/>
        <v>4.8024108000000005</v>
      </c>
      <c r="L73" s="681"/>
      <c r="M73" s="715">
        <f t="shared" si="3"/>
        <v>3.722245</v>
      </c>
      <c r="N73" s="681"/>
      <c r="O73" s="680">
        <f t="shared" si="3"/>
        <v>3.8532119999999996</v>
      </c>
      <c r="P73" s="682">
        <f t="shared" si="3"/>
        <v>5.1478000000000002</v>
      </c>
      <c r="Q73" s="681"/>
      <c r="R73" s="681"/>
      <c r="S73" s="715">
        <f t="shared" si="3"/>
        <v>7.8206040000000012</v>
      </c>
      <c r="T73" s="715">
        <f t="shared" si="3"/>
        <v>8.6790000000000003</v>
      </c>
      <c r="U73" s="715">
        <f t="shared" si="3"/>
        <v>6.5750000000000002</v>
      </c>
      <c r="V73" s="682">
        <f t="shared" si="3"/>
        <v>7.6487684005000007</v>
      </c>
      <c r="W73" s="973"/>
      <c r="X73" s="972"/>
      <c r="Y73" s="972"/>
      <c r="Z73" s="972"/>
      <c r="AA73" s="972"/>
      <c r="AB73" s="972"/>
      <c r="AC73" s="972"/>
      <c r="AD73" s="972"/>
      <c r="AE73" s="972"/>
      <c r="AF73" s="972"/>
      <c r="AG73" s="972"/>
      <c r="AH73" s="972"/>
      <c r="AI73" s="715">
        <f>AI108</f>
        <v>74</v>
      </c>
      <c r="AJ73" s="972"/>
      <c r="AK73" s="972"/>
      <c r="AL73" s="972"/>
      <c r="AM73" s="972"/>
      <c r="AN73" s="972"/>
      <c r="AO73" s="972"/>
      <c r="AP73" s="972"/>
      <c r="AQ73" s="972"/>
      <c r="AR73" s="715">
        <f>AR108</f>
        <v>125.2</v>
      </c>
      <c r="AS73" s="1014"/>
    </row>
    <row r="74" spans="2:45" s="238" customFormat="1" x14ac:dyDescent="0.25">
      <c r="B74" s="683"/>
      <c r="C74" s="684"/>
      <c r="D74" s="716"/>
      <c r="E74" s="685"/>
      <c r="F74" s="685"/>
      <c r="G74" s="685"/>
      <c r="H74" s="685"/>
      <c r="I74" s="1"/>
      <c r="J74" s="758"/>
      <c r="K74" s="758"/>
      <c r="L74" s="685"/>
      <c r="M74" s="758"/>
      <c r="N74" s="685"/>
      <c r="O74" s="5"/>
      <c r="P74" s="6"/>
      <c r="Q74" s="685"/>
      <c r="R74" s="685"/>
      <c r="S74" s="758"/>
      <c r="T74" s="758"/>
      <c r="U74" s="758"/>
      <c r="V74" s="6"/>
      <c r="W74" s="683"/>
      <c r="X74" s="45"/>
      <c r="Y74" s="45"/>
      <c r="Z74" s="45"/>
      <c r="AA74" s="45"/>
      <c r="AB74" s="45"/>
      <c r="AC74" s="45"/>
      <c r="AD74" s="45"/>
      <c r="AE74" s="45"/>
      <c r="AF74" s="45"/>
      <c r="AG74" s="45"/>
      <c r="AH74" s="45"/>
      <c r="AI74" s="758"/>
      <c r="AJ74" s="45"/>
      <c r="AK74" s="45"/>
      <c r="AL74" s="45"/>
      <c r="AM74" s="45"/>
      <c r="AN74" s="45"/>
      <c r="AO74" s="45"/>
      <c r="AP74" s="45"/>
      <c r="AQ74" s="45"/>
      <c r="AR74" s="758"/>
      <c r="AS74" s="746"/>
    </row>
    <row r="75" spans="2:45" s="238" customFormat="1" x14ac:dyDescent="0.25">
      <c r="B75" s="665" t="s">
        <v>685</v>
      </c>
      <c r="C75" s="686" t="s">
        <v>495</v>
      </c>
      <c r="D75" s="744">
        <f>'Cropping GMs - N cost Grain £'!D5*D76</f>
        <v>322.5</v>
      </c>
      <c r="E75" s="687"/>
      <c r="F75" s="687"/>
      <c r="G75" s="687"/>
      <c r="H75" s="259"/>
      <c r="I75" s="259"/>
      <c r="J75" s="744">
        <f>'Cropping GMs - N cost Grain £'!J5*J76</f>
        <v>352.59999999999997</v>
      </c>
      <c r="K75" s="744">
        <f>'Cropping GMs - N cost Grain £'!K5*K76</f>
        <v>281.64999999999998</v>
      </c>
      <c r="L75" s="687"/>
      <c r="M75" s="744">
        <f>'Cropping GMs - N cost Grain £'!M5*M76</f>
        <v>281.64999999999998</v>
      </c>
      <c r="N75" s="687"/>
      <c r="O75" s="744">
        <f>'Cropping GMs - N cost Grain £'!O5*O76</f>
        <v>281.64999999999998</v>
      </c>
      <c r="P75" s="744">
        <f>'Cropping GMs - N cost Grain £'!P5*P76</f>
        <v>0</v>
      </c>
      <c r="Q75" s="687"/>
      <c r="R75" s="687"/>
      <c r="S75" s="744">
        <f>'Cropping GMs - N cost Grain £'!S5*S76</f>
        <v>397.75</v>
      </c>
      <c r="T75" s="744">
        <f>'Cropping GMs - N cost Grain £'!T5*T76</f>
        <v>404.2</v>
      </c>
      <c r="U75" s="744">
        <f>'Cropping GMs - N cost Grain £'!U5*U76</f>
        <v>397.75</v>
      </c>
      <c r="V75" s="744">
        <f>'Cropping GMs - N cost Grain £'!V5*V76</f>
        <v>397.75</v>
      </c>
      <c r="W75" s="974"/>
      <c r="X75" s="45"/>
      <c r="Y75" s="45"/>
      <c r="Z75" s="45"/>
      <c r="AA75" s="45"/>
      <c r="AB75" s="45"/>
      <c r="AC75" s="45"/>
      <c r="AD75" s="45"/>
      <c r="AE75" s="45"/>
      <c r="AF75" s="45"/>
      <c r="AG75" s="45"/>
      <c r="AH75" s="45"/>
      <c r="AI75" s="744">
        <f>'Cropping GMs - N cost Grain £'!AI5*AI76</f>
        <v>365.5</v>
      </c>
      <c r="AJ75" s="45"/>
      <c r="AK75" s="45"/>
      <c r="AL75" s="45"/>
      <c r="AM75" s="45"/>
      <c r="AN75" s="45"/>
      <c r="AO75" s="45"/>
      <c r="AP75" s="45"/>
      <c r="AQ75" s="45"/>
      <c r="AR75" s="744">
        <f>200*(1+AR76)</f>
        <v>630</v>
      </c>
      <c r="AS75" s="744">
        <f>700*(1+AS76)</f>
        <v>2205</v>
      </c>
    </row>
    <row r="76" spans="2:45" s="238" customFormat="1" x14ac:dyDescent="0.25">
      <c r="B76" s="1099" t="s">
        <v>988</v>
      </c>
      <c r="C76" s="788" t="s">
        <v>449</v>
      </c>
      <c r="D76" s="1100">
        <f>'Cropping GMs - N cost Grain £'!$E$133</f>
        <v>2.15</v>
      </c>
      <c r="E76" s="1042">
        <f>'Cropping GMs - N cost Grain £'!$E$133</f>
        <v>2.15</v>
      </c>
      <c r="F76" s="1101">
        <f>'Cropping GMs - N cost Grain £'!$E$133</f>
        <v>2.15</v>
      </c>
      <c r="G76" s="1101">
        <f>'Cropping GMs - N cost Grain £'!$E$133</f>
        <v>2.15</v>
      </c>
      <c r="H76" s="1101">
        <f>'Cropping GMs - N cost Grain £'!$E$133</f>
        <v>2.15</v>
      </c>
      <c r="I76" s="1041">
        <f>'Cropping GMs - N cost Grain £'!$E$133</f>
        <v>2.15</v>
      </c>
      <c r="J76" s="1100">
        <f>'Cropping GMs - N cost Grain £'!$E$133</f>
        <v>2.15</v>
      </c>
      <c r="K76" s="1100">
        <f>'Cropping GMs - N cost Grain £'!$E$133</f>
        <v>2.15</v>
      </c>
      <c r="L76" s="1100">
        <f>'Cropping GMs - N cost Grain £'!$E$133</f>
        <v>2.15</v>
      </c>
      <c r="M76" s="1100">
        <f>'Cropping GMs - N cost Grain £'!$E$133</f>
        <v>2.15</v>
      </c>
      <c r="N76" s="1100">
        <f>'Cropping GMs - N cost Grain £'!$E$133</f>
        <v>2.15</v>
      </c>
      <c r="O76" s="1100">
        <f>'Cropping GMs - N cost Grain £'!$E$133</f>
        <v>2.15</v>
      </c>
      <c r="P76" s="1100">
        <f>'Cropping GMs - N cost Grain £'!$E$133</f>
        <v>2.15</v>
      </c>
      <c r="Q76" s="1100">
        <f>'Cropping GMs - N cost Grain £'!$E$133</f>
        <v>2.15</v>
      </c>
      <c r="R76" s="1100">
        <f>'Cropping GMs - N cost Grain £'!$E$133</f>
        <v>2.15</v>
      </c>
      <c r="S76" s="1100">
        <f>'Cropping GMs - N cost Grain £'!$E$133</f>
        <v>2.15</v>
      </c>
      <c r="T76" s="1100">
        <f>'Cropping GMs - N cost Grain £'!$E$133</f>
        <v>2.15</v>
      </c>
      <c r="U76" s="1100">
        <f>'Cropping GMs - N cost Grain £'!$E$133</f>
        <v>2.15</v>
      </c>
      <c r="V76" s="1100">
        <f>'Cropping GMs - N cost Grain £'!$E$133</f>
        <v>2.15</v>
      </c>
      <c r="W76" s="1042">
        <f>'Cropping GMs - N cost Grain £'!$E$133</f>
        <v>2.15</v>
      </c>
      <c r="X76" s="1101">
        <f>'Cropping GMs - N cost Grain £'!$E$133</f>
        <v>2.15</v>
      </c>
      <c r="Y76" s="1101">
        <f>'Cropping GMs - N cost Grain £'!$E$133</f>
        <v>2.15</v>
      </c>
      <c r="Z76" s="1101">
        <f>'Cropping GMs - N cost Grain £'!$E$133</f>
        <v>2.15</v>
      </c>
      <c r="AA76" s="1101">
        <f>'Cropping GMs - N cost Grain £'!$E$133</f>
        <v>2.15</v>
      </c>
      <c r="AB76" s="1101">
        <f>'Cropping GMs - N cost Grain £'!$E$133</f>
        <v>2.15</v>
      </c>
      <c r="AC76" s="1101">
        <f>'Cropping GMs - N cost Grain £'!$E$133</f>
        <v>2.15</v>
      </c>
      <c r="AD76" s="1101">
        <f>'Cropping GMs - N cost Grain £'!$E$133</f>
        <v>2.15</v>
      </c>
      <c r="AE76" s="1101">
        <f>'Cropping GMs - N cost Grain £'!$E$133</f>
        <v>2.15</v>
      </c>
      <c r="AF76" s="1101">
        <f>'Cropping GMs - N cost Grain £'!$E$133</f>
        <v>2.15</v>
      </c>
      <c r="AG76" s="1101">
        <f>'Cropping GMs - N cost Grain £'!$E$133</f>
        <v>2.15</v>
      </c>
      <c r="AH76" s="1041">
        <f>'Cropping GMs - N cost Grain £'!$E$133</f>
        <v>2.15</v>
      </c>
      <c r="AI76" s="1100">
        <f>'Cropping GMs - N cost Grain £'!$E$133</f>
        <v>2.15</v>
      </c>
      <c r="AJ76" s="1042">
        <f>'Cropping GMs - N cost Grain £'!$E$133</f>
        <v>2.15</v>
      </c>
      <c r="AK76" s="1101">
        <f>'Cropping GMs - N cost Grain £'!$E$133</f>
        <v>2.15</v>
      </c>
      <c r="AL76" s="1101">
        <f>'Cropping GMs - N cost Grain £'!$E$133</f>
        <v>2.15</v>
      </c>
      <c r="AM76" s="1101">
        <f>'Cropping GMs - N cost Grain £'!$E$133</f>
        <v>2.15</v>
      </c>
      <c r="AN76" s="1101">
        <f>'Cropping GMs - N cost Grain £'!$E$133</f>
        <v>2.15</v>
      </c>
      <c r="AO76" s="1101">
        <f>'Cropping GMs - N cost Grain £'!$E$133</f>
        <v>2.15</v>
      </c>
      <c r="AP76" s="1101">
        <f>'Cropping GMs - N cost Grain £'!$E$133</f>
        <v>2.15</v>
      </c>
      <c r="AQ76" s="1041">
        <f>'Cropping GMs - N cost Grain £'!$E$133</f>
        <v>2.15</v>
      </c>
      <c r="AR76" s="745">
        <f>'Cropping GMs - N cost Grain £'!$E$133</f>
        <v>2.15</v>
      </c>
      <c r="AS76" s="745">
        <f>'Cropping GMs - N cost Grain £'!$E$133</f>
        <v>2.15</v>
      </c>
    </row>
    <row r="77" spans="2:45" x14ac:dyDescent="0.25">
      <c r="B77" s="667" t="s">
        <v>687</v>
      </c>
      <c r="C77" s="686" t="s">
        <v>449</v>
      </c>
      <c r="D77" s="1100">
        <f>'Cropping GMs - N cost Grain £'!$E$133</f>
        <v>2.15</v>
      </c>
      <c r="E77" s="688"/>
      <c r="F77" s="688"/>
      <c r="G77" s="688"/>
      <c r="H77" s="258"/>
      <c r="I77" s="258"/>
      <c r="J77" s="1100">
        <f>'Cropping GMs - N cost Grain £'!$E$133</f>
        <v>2.15</v>
      </c>
      <c r="K77" s="1100">
        <f>'Cropping GMs - N cost Grain £'!$E$133</f>
        <v>2.15</v>
      </c>
      <c r="L77" s="1100">
        <f>'Cropping GMs - N cost Grain £'!$E$133</f>
        <v>2.15</v>
      </c>
      <c r="M77" s="1100">
        <f>'Cropping GMs - N cost Grain £'!$E$133</f>
        <v>2.15</v>
      </c>
      <c r="N77" s="1100">
        <f>'Cropping GMs - N cost Grain £'!$E$133</f>
        <v>2.15</v>
      </c>
      <c r="O77" s="1100">
        <f>'Cropping GMs - N cost Grain £'!$E$133</f>
        <v>2.15</v>
      </c>
      <c r="P77" s="1100">
        <f>'Cropping GMs - N cost Grain £'!$E$133</f>
        <v>2.15</v>
      </c>
      <c r="Q77" s="1100">
        <f>'Cropping GMs - N cost Grain £'!$E$133</f>
        <v>2.15</v>
      </c>
      <c r="R77" s="1100">
        <f>'Cropping GMs - N cost Grain £'!$E$133</f>
        <v>2.15</v>
      </c>
      <c r="S77" s="1100">
        <f>'Cropping GMs - N cost Grain £'!$E$133</f>
        <v>2.15</v>
      </c>
      <c r="T77" s="1100">
        <f>'Cropping GMs - N cost Grain £'!$E$133</f>
        <v>2.15</v>
      </c>
      <c r="U77" s="1100">
        <f>'Cropping GMs - N cost Grain £'!$E$133</f>
        <v>2.15</v>
      </c>
      <c r="V77" s="1100">
        <f>'Cropping GMs - N cost Grain £'!$E$133</f>
        <v>2.15</v>
      </c>
      <c r="W77" s="1042">
        <f>'Cropping GMs - N cost Grain £'!$E$133</f>
        <v>2.15</v>
      </c>
      <c r="X77" s="1101">
        <f>'Cropping GMs - N cost Grain £'!$E$133</f>
        <v>2.15</v>
      </c>
      <c r="Y77" s="1101">
        <f>'Cropping GMs - N cost Grain £'!$E$133</f>
        <v>2.15</v>
      </c>
      <c r="Z77" s="1101">
        <f>'Cropping GMs - N cost Grain £'!$E$133</f>
        <v>2.15</v>
      </c>
      <c r="AA77" s="1101">
        <f>'Cropping GMs - N cost Grain £'!$E$133</f>
        <v>2.15</v>
      </c>
      <c r="AB77" s="1101">
        <f>'Cropping GMs - N cost Grain £'!$E$133</f>
        <v>2.15</v>
      </c>
      <c r="AC77" s="1101">
        <f>'Cropping GMs - N cost Grain £'!$E$133</f>
        <v>2.15</v>
      </c>
      <c r="AD77" s="1101">
        <f>'Cropping GMs - N cost Grain £'!$E$133</f>
        <v>2.15</v>
      </c>
      <c r="AE77" s="1101">
        <f>'Cropping GMs - N cost Grain £'!$E$133</f>
        <v>2.15</v>
      </c>
      <c r="AF77" s="1101">
        <f>'Cropping GMs - N cost Grain £'!$E$133</f>
        <v>2.15</v>
      </c>
      <c r="AG77" s="1101">
        <f>'Cropping GMs - N cost Grain £'!$E$133</f>
        <v>2.15</v>
      </c>
      <c r="AH77" s="1041">
        <f>'Cropping GMs - N cost Grain £'!$E$133</f>
        <v>2.15</v>
      </c>
      <c r="AI77" s="1100">
        <f>'Cropping GMs - N cost Grain £'!$E$133</f>
        <v>2.15</v>
      </c>
      <c r="AJ77" s="1042">
        <f>'Cropping GMs - N cost Grain £'!$E$133</f>
        <v>2.15</v>
      </c>
      <c r="AK77" s="1101">
        <f>'Cropping GMs - N cost Grain £'!$E$133</f>
        <v>2.15</v>
      </c>
      <c r="AL77" s="1101">
        <f>'Cropping GMs - N cost Grain £'!$E$133</f>
        <v>2.15</v>
      </c>
      <c r="AM77" s="1101">
        <f>'Cropping GMs - N cost Grain £'!$E$133</f>
        <v>2.15</v>
      </c>
      <c r="AN77" s="1101">
        <f>'Cropping GMs - N cost Grain £'!$E$133</f>
        <v>2.15</v>
      </c>
      <c r="AO77" s="1101">
        <f>'Cropping GMs - N cost Grain £'!$E$133</f>
        <v>2.15</v>
      </c>
      <c r="AP77" s="1101">
        <f>'Cropping GMs - N cost Grain £'!$E$133</f>
        <v>2.15</v>
      </c>
      <c r="AQ77" s="1041">
        <f>'Cropping GMs - N cost Grain £'!$E$133</f>
        <v>2.15</v>
      </c>
      <c r="AR77" s="745">
        <f>'Cropping GMs - N cost Grain £'!$E$133</f>
        <v>2.15</v>
      </c>
      <c r="AS77" s="745">
        <f>'Cropping GMs - N cost Grain £'!$E$133</f>
        <v>2.15</v>
      </c>
    </row>
    <row r="78" spans="2:45" s="238" customFormat="1" x14ac:dyDescent="0.25">
      <c r="B78" s="668" t="s">
        <v>688</v>
      </c>
      <c r="C78" s="690"/>
      <c r="D78" s="746"/>
      <c r="E78" s="155"/>
      <c r="F78" s="155"/>
      <c r="G78" s="155"/>
      <c r="H78" s="155"/>
      <c r="I78" s="155"/>
      <c r="J78" s="746"/>
      <c r="K78" s="746"/>
      <c r="L78" s="155"/>
      <c r="M78" s="746"/>
      <c r="N78" s="155"/>
      <c r="O78" s="46"/>
      <c r="P78" s="153"/>
      <c r="Q78" s="155"/>
      <c r="R78" s="155"/>
      <c r="S78" s="746"/>
      <c r="T78" s="746"/>
      <c r="U78" s="746"/>
      <c r="V78" s="153"/>
      <c r="W78" s="46"/>
      <c r="X78" s="45"/>
      <c r="Y78" s="45"/>
      <c r="Z78" s="45"/>
      <c r="AA78" s="45"/>
      <c r="AB78" s="45"/>
      <c r="AC78" s="45"/>
      <c r="AD78" s="45"/>
      <c r="AE78" s="45"/>
      <c r="AF78" s="45"/>
      <c r="AG78" s="45"/>
      <c r="AH78" s="45"/>
      <c r="AI78" s="811"/>
      <c r="AJ78" s="45"/>
      <c r="AK78" s="45"/>
      <c r="AL78" s="45"/>
      <c r="AM78" s="45"/>
      <c r="AN78" s="45"/>
      <c r="AO78" s="45"/>
      <c r="AP78" s="45"/>
      <c r="AQ78" s="45"/>
      <c r="AR78" s="989"/>
      <c r="AS78" s="1019"/>
    </row>
    <row r="79" spans="2:45" s="238" customFormat="1" x14ac:dyDescent="0.25">
      <c r="B79" s="670" t="s">
        <v>412</v>
      </c>
      <c r="C79" s="392" t="s">
        <v>539</v>
      </c>
      <c r="D79" s="747">
        <f>D81*80%</f>
        <v>4.08</v>
      </c>
      <c r="E79" s="692"/>
      <c r="F79" s="692"/>
      <c r="G79" s="692"/>
      <c r="H79" s="691"/>
      <c r="I79" s="691"/>
      <c r="J79" s="747">
        <f>J81*80%</f>
        <v>2.5600000000000005</v>
      </c>
      <c r="K79" s="747">
        <f>K81*80%</f>
        <v>2.72</v>
      </c>
      <c r="L79" s="692"/>
      <c r="M79" s="747">
        <f>M81*80%</f>
        <v>2.72</v>
      </c>
      <c r="N79" s="692"/>
      <c r="O79" s="763">
        <f>O81*80%</f>
        <v>2.8800000000000003</v>
      </c>
      <c r="P79" s="693"/>
      <c r="Q79" s="692"/>
      <c r="R79" s="692"/>
      <c r="S79" s="747">
        <f>S81*80%</f>
        <v>2.8000000000000003</v>
      </c>
      <c r="T79" s="747">
        <f>T81*80%</f>
        <v>1.2000000000000002</v>
      </c>
      <c r="U79" s="747"/>
      <c r="V79" s="693"/>
      <c r="W79" s="976"/>
      <c r="X79" s="45"/>
      <c r="Y79" s="45"/>
      <c r="Z79" s="45"/>
      <c r="AA79" s="45"/>
      <c r="AB79" s="45"/>
      <c r="AC79" s="45"/>
      <c r="AD79" s="45"/>
      <c r="AE79" s="45"/>
      <c r="AF79" s="45"/>
      <c r="AG79" s="45"/>
      <c r="AH79" s="45"/>
      <c r="AI79" s="747">
        <f>AI81*80%</f>
        <v>18.400000000000002</v>
      </c>
      <c r="AJ79" s="45"/>
      <c r="AK79" s="45"/>
      <c r="AL79" s="45"/>
      <c r="AM79" s="45"/>
      <c r="AN79" s="45"/>
      <c r="AO79" s="45"/>
      <c r="AP79" s="45"/>
      <c r="AQ79" s="45"/>
      <c r="AR79" s="747">
        <f>AR81*0.8</f>
        <v>20</v>
      </c>
      <c r="AS79" s="1018"/>
    </row>
    <row r="80" spans="2:45" s="238" customFormat="1" x14ac:dyDescent="0.25">
      <c r="B80" s="670" t="s">
        <v>414</v>
      </c>
      <c r="C80" s="392" t="s">
        <v>539</v>
      </c>
      <c r="D80" s="747">
        <f>D81*120%</f>
        <v>6.1199999999999992</v>
      </c>
      <c r="E80" s="692"/>
      <c r="F80" s="692"/>
      <c r="G80" s="692"/>
      <c r="H80" s="691"/>
      <c r="I80" s="691"/>
      <c r="J80" s="747">
        <f>J81*120%</f>
        <v>3.84</v>
      </c>
      <c r="K80" s="747">
        <f>K81*120%</f>
        <v>4.08</v>
      </c>
      <c r="L80" s="692"/>
      <c r="M80" s="747">
        <f>M81*120%</f>
        <v>4.08</v>
      </c>
      <c r="N80" s="692"/>
      <c r="O80" s="763">
        <f>O81*120%</f>
        <v>4.32</v>
      </c>
      <c r="P80" s="693"/>
      <c r="Q80" s="692"/>
      <c r="R80" s="692"/>
      <c r="S80" s="747">
        <f>S81*120%</f>
        <v>4.2</v>
      </c>
      <c r="T80" s="747">
        <f>T81*120%</f>
        <v>1.7999999999999998</v>
      </c>
      <c r="U80" s="747"/>
      <c r="V80" s="693"/>
      <c r="W80" s="976"/>
      <c r="X80" s="45"/>
      <c r="Y80" s="45"/>
      <c r="Z80" s="45"/>
      <c r="AA80" s="45"/>
      <c r="AB80" s="45"/>
      <c r="AC80" s="45"/>
      <c r="AD80" s="45"/>
      <c r="AE80" s="45"/>
      <c r="AF80" s="45"/>
      <c r="AG80" s="45"/>
      <c r="AH80" s="45"/>
      <c r="AI80" s="747">
        <f>AI81*120%</f>
        <v>27.599999999999998</v>
      </c>
      <c r="AJ80" s="45"/>
      <c r="AK80" s="45"/>
      <c r="AL80" s="45"/>
      <c r="AM80" s="45"/>
      <c r="AN80" s="45"/>
      <c r="AO80" s="45"/>
      <c r="AP80" s="45"/>
      <c r="AQ80" s="45"/>
      <c r="AR80" s="747">
        <f>AR81*1.2</f>
        <v>30</v>
      </c>
      <c r="AS80" s="1018"/>
    </row>
    <row r="81" spans="2:46" s="238" customFormat="1" x14ac:dyDescent="0.25">
      <c r="B81" s="667" t="s">
        <v>620</v>
      </c>
      <c r="C81" s="392" t="s">
        <v>539</v>
      </c>
      <c r="D81" s="748">
        <v>5.0999999999999996</v>
      </c>
      <c r="E81" s="695" t="s">
        <v>690</v>
      </c>
      <c r="F81" s="694"/>
      <c r="G81" s="694"/>
      <c r="H81" s="23"/>
      <c r="I81" s="23"/>
      <c r="J81" s="759">
        <v>3.2</v>
      </c>
      <c r="K81" s="759">
        <v>3.4</v>
      </c>
      <c r="L81" s="695" t="s">
        <v>690</v>
      </c>
      <c r="M81" s="759">
        <v>3.4</v>
      </c>
      <c r="N81" s="695" t="s">
        <v>690</v>
      </c>
      <c r="O81" s="764">
        <v>3.6</v>
      </c>
      <c r="P81" s="696">
        <v>3.3</v>
      </c>
      <c r="Q81" s="695"/>
      <c r="R81" s="694"/>
      <c r="S81" s="759">
        <v>3.5</v>
      </c>
      <c r="T81" s="759">
        <v>1.5</v>
      </c>
      <c r="U81" s="759">
        <v>2</v>
      </c>
      <c r="V81" s="696">
        <v>2</v>
      </c>
      <c r="W81" s="977"/>
      <c r="X81" s="45"/>
      <c r="Y81" s="45"/>
      <c r="Z81" s="45"/>
      <c r="AA81" s="45"/>
      <c r="AB81" s="45"/>
      <c r="AC81" s="45"/>
      <c r="AD81" s="45"/>
      <c r="AE81" s="45"/>
      <c r="AF81" s="45"/>
      <c r="AG81" s="45"/>
      <c r="AH81" s="45"/>
      <c r="AI81" s="759">
        <v>23</v>
      </c>
      <c r="AJ81" s="45"/>
      <c r="AK81" s="45"/>
      <c r="AL81" s="45"/>
      <c r="AM81" s="45"/>
      <c r="AN81" s="45"/>
      <c r="AO81" s="45"/>
      <c r="AP81" s="45"/>
      <c r="AQ81" s="45"/>
      <c r="AR81" s="760">
        <v>25</v>
      </c>
      <c r="AS81" s="1017">
        <v>11.9</v>
      </c>
    </row>
    <row r="82" spans="2:46" s="238" customFormat="1" x14ac:dyDescent="0.25">
      <c r="B82" s="667" t="s">
        <v>625</v>
      </c>
      <c r="C82" s="392" t="s">
        <v>539</v>
      </c>
      <c r="D82" s="749">
        <v>3.01</v>
      </c>
      <c r="E82" s="697"/>
      <c r="F82" s="697"/>
      <c r="G82" s="697"/>
      <c r="H82" s="672"/>
      <c r="I82" s="672"/>
      <c r="J82" s="749">
        <v>3.01</v>
      </c>
      <c r="K82" s="749">
        <v>2.52</v>
      </c>
      <c r="L82" s="697"/>
      <c r="M82" s="749">
        <v>2.5</v>
      </c>
      <c r="N82" s="697"/>
      <c r="O82" s="765">
        <v>3</v>
      </c>
      <c r="P82" s="766">
        <v>3</v>
      </c>
      <c r="Q82" s="697"/>
      <c r="R82" s="697"/>
      <c r="S82" s="759">
        <v>0</v>
      </c>
      <c r="T82" s="759">
        <v>0</v>
      </c>
      <c r="U82" s="759"/>
      <c r="V82" s="696"/>
      <c r="W82" s="978"/>
      <c r="X82" s="45"/>
      <c r="Y82" s="45"/>
      <c r="Z82" s="45"/>
      <c r="AA82" s="45"/>
      <c r="AB82" s="45"/>
      <c r="AC82" s="45"/>
      <c r="AD82" s="45"/>
      <c r="AE82" s="45"/>
      <c r="AF82" s="45"/>
      <c r="AG82" s="45"/>
      <c r="AH82" s="45"/>
      <c r="AI82" s="749"/>
      <c r="AJ82" s="45"/>
      <c r="AK82" s="45"/>
      <c r="AL82" s="45"/>
      <c r="AM82" s="45"/>
      <c r="AN82" s="45"/>
      <c r="AO82" s="45"/>
      <c r="AP82" s="45"/>
      <c r="AQ82" s="45"/>
      <c r="AR82" s="989"/>
      <c r="AS82" s="746"/>
    </row>
    <row r="83" spans="2:46" s="238" customFormat="1" x14ac:dyDescent="0.25">
      <c r="B83" s="667" t="s">
        <v>626</v>
      </c>
      <c r="C83" s="698" t="s">
        <v>495</v>
      </c>
      <c r="D83" s="750">
        <v>65</v>
      </c>
      <c r="E83" s="176"/>
      <c r="F83" s="699"/>
      <c r="G83" s="699"/>
      <c r="H83" s="700"/>
      <c r="I83" s="700"/>
      <c r="J83" s="750">
        <v>65</v>
      </c>
      <c r="K83" s="750">
        <v>75</v>
      </c>
      <c r="L83" s="699"/>
      <c r="M83" s="750">
        <v>75</v>
      </c>
      <c r="N83" s="699"/>
      <c r="O83" s="767">
        <v>75</v>
      </c>
      <c r="P83" s="768">
        <v>75</v>
      </c>
      <c r="Q83" s="699"/>
      <c r="R83" s="699"/>
      <c r="S83" s="776">
        <v>0</v>
      </c>
      <c r="T83" s="776">
        <v>0</v>
      </c>
      <c r="U83" s="776"/>
      <c r="V83" s="701"/>
      <c r="W83" s="979"/>
      <c r="X83" s="45"/>
      <c r="Y83" s="45"/>
      <c r="Z83" s="45"/>
      <c r="AA83" s="45"/>
      <c r="AB83" s="45"/>
      <c r="AC83" s="45"/>
      <c r="AD83" s="45"/>
      <c r="AE83" s="45"/>
      <c r="AF83" s="45"/>
      <c r="AG83" s="45"/>
      <c r="AH83" s="45"/>
      <c r="AI83" s="776"/>
      <c r="AJ83" s="45"/>
      <c r="AK83" s="45"/>
      <c r="AL83" s="45"/>
      <c r="AM83" s="45"/>
      <c r="AN83" s="45"/>
      <c r="AO83" s="45"/>
      <c r="AP83" s="45"/>
      <c r="AQ83" s="45"/>
      <c r="AR83" s="756"/>
      <c r="AS83" s="1011"/>
    </row>
    <row r="84" spans="2:46" s="238" customFormat="1" x14ac:dyDescent="0.25">
      <c r="B84" s="702" t="s">
        <v>628</v>
      </c>
      <c r="C84" s="177" t="s">
        <v>538</v>
      </c>
      <c r="D84" s="751">
        <f>(D75*D79)+(D82*D83)</f>
        <v>1511.4499999999998</v>
      </c>
      <c r="E84" s="178"/>
      <c r="F84" s="178"/>
      <c r="G84" s="178"/>
      <c r="H84" s="178"/>
      <c r="I84" s="178"/>
      <c r="J84" s="751">
        <f t="shared" ref="J84:T84" si="4">(J75*J79)+(J82*J83)</f>
        <v>1098.306</v>
      </c>
      <c r="K84" s="751">
        <f t="shared" si="4"/>
        <v>955.08799999999997</v>
      </c>
      <c r="L84" s="178"/>
      <c r="M84" s="751">
        <f t="shared" si="4"/>
        <v>953.58799999999997</v>
      </c>
      <c r="N84" s="178"/>
      <c r="O84" s="769">
        <f t="shared" si="4"/>
        <v>1036.152</v>
      </c>
      <c r="P84" s="703">
        <f t="shared" si="4"/>
        <v>225</v>
      </c>
      <c r="Q84" s="178"/>
      <c r="R84" s="178"/>
      <c r="S84" s="751">
        <f t="shared" si="4"/>
        <v>1113.7</v>
      </c>
      <c r="T84" s="751">
        <f t="shared" si="4"/>
        <v>485.04000000000008</v>
      </c>
      <c r="U84" s="751"/>
      <c r="V84" s="703"/>
      <c r="W84" s="980"/>
      <c r="X84" s="45"/>
      <c r="Y84" s="45"/>
      <c r="Z84" s="45"/>
      <c r="AA84" s="45"/>
      <c r="AB84" s="45"/>
      <c r="AC84" s="45"/>
      <c r="AD84" s="45"/>
      <c r="AE84" s="45"/>
      <c r="AF84" s="45"/>
      <c r="AG84" s="45"/>
      <c r="AH84" s="45"/>
      <c r="AI84" s="751">
        <f>AI75*AI79</f>
        <v>6725.2000000000007</v>
      </c>
      <c r="AJ84" s="45"/>
      <c r="AK84" s="45"/>
      <c r="AL84" s="45"/>
      <c r="AM84" s="45"/>
      <c r="AN84" s="45"/>
      <c r="AO84" s="45"/>
      <c r="AP84" s="45"/>
      <c r="AQ84" s="45"/>
      <c r="AR84" s="990">
        <v>9360</v>
      </c>
      <c r="AS84" s="1010"/>
    </row>
    <row r="85" spans="2:46" s="238" customFormat="1" x14ac:dyDescent="0.25">
      <c r="B85" s="702" t="s">
        <v>629</v>
      </c>
      <c r="C85" s="177" t="s">
        <v>538</v>
      </c>
      <c r="D85" s="751">
        <f>(D75*D80)+(D82*D83)</f>
        <v>2169.35</v>
      </c>
      <c r="E85" s="178"/>
      <c r="F85" s="178"/>
      <c r="G85" s="178"/>
      <c r="H85" s="178"/>
      <c r="I85" s="178"/>
      <c r="J85" s="751">
        <f t="shared" ref="J85:T85" si="5">(J75*J80)+(J82*J83)</f>
        <v>1549.634</v>
      </c>
      <c r="K85" s="751">
        <f t="shared" si="5"/>
        <v>1338.1319999999998</v>
      </c>
      <c r="L85" s="178"/>
      <c r="M85" s="751">
        <f t="shared" si="5"/>
        <v>1336.6319999999998</v>
      </c>
      <c r="N85" s="178"/>
      <c r="O85" s="769">
        <f t="shared" si="5"/>
        <v>1441.7280000000001</v>
      </c>
      <c r="P85" s="703">
        <f t="shared" si="5"/>
        <v>225</v>
      </c>
      <c r="Q85" s="178"/>
      <c r="R85" s="178"/>
      <c r="S85" s="751">
        <f t="shared" si="5"/>
        <v>1670.5500000000002</v>
      </c>
      <c r="T85" s="751">
        <f t="shared" si="5"/>
        <v>727.56</v>
      </c>
      <c r="U85" s="751"/>
      <c r="V85" s="703"/>
      <c r="W85" s="980"/>
      <c r="X85" s="45"/>
      <c r="Y85" s="45"/>
      <c r="Z85" s="45"/>
      <c r="AA85" s="45"/>
      <c r="AB85" s="45"/>
      <c r="AC85" s="45"/>
      <c r="AD85" s="45"/>
      <c r="AE85" s="45"/>
      <c r="AF85" s="45"/>
      <c r="AG85" s="45"/>
      <c r="AH85" s="45"/>
      <c r="AI85" s="751">
        <f>AI80*AI75</f>
        <v>10087.799999999999</v>
      </c>
      <c r="AJ85" s="45"/>
      <c r="AK85" s="45"/>
      <c r="AL85" s="45"/>
      <c r="AM85" s="45"/>
      <c r="AN85" s="45"/>
      <c r="AO85" s="45"/>
      <c r="AP85" s="45"/>
      <c r="AQ85" s="45"/>
      <c r="AR85" s="990">
        <v>14040</v>
      </c>
      <c r="AS85" s="1010"/>
    </row>
    <row r="86" spans="2:46" s="238" customFormat="1" x14ac:dyDescent="0.25">
      <c r="B86" s="675" t="s">
        <v>630</v>
      </c>
      <c r="C86" s="179" t="s">
        <v>538</v>
      </c>
      <c r="D86" s="439">
        <f>(D75*D81)+(D82*D83)</f>
        <v>1840.3999999999996</v>
      </c>
      <c r="E86" s="79"/>
      <c r="F86" s="79"/>
      <c r="G86" s="79"/>
      <c r="H86" s="79"/>
      <c r="I86" s="79"/>
      <c r="J86" s="439">
        <f t="shared" ref="J86:V86" si="6">(J75*J81)+(J82*J83)</f>
        <v>1323.9699999999998</v>
      </c>
      <c r="K86" s="439">
        <f t="shared" si="6"/>
        <v>1146.6099999999999</v>
      </c>
      <c r="L86" s="79"/>
      <c r="M86" s="439">
        <f t="shared" si="6"/>
        <v>1145.1099999999999</v>
      </c>
      <c r="N86" s="79"/>
      <c r="O86" s="77">
        <f t="shared" si="6"/>
        <v>1238.94</v>
      </c>
      <c r="P86" s="78">
        <f t="shared" si="6"/>
        <v>225</v>
      </c>
      <c r="Q86" s="79"/>
      <c r="R86" s="79"/>
      <c r="S86" s="439">
        <f t="shared" si="6"/>
        <v>1392.125</v>
      </c>
      <c r="T86" s="439">
        <f t="shared" si="6"/>
        <v>606.29999999999995</v>
      </c>
      <c r="U86" s="439">
        <f t="shared" si="6"/>
        <v>795.5</v>
      </c>
      <c r="V86" s="78">
        <f t="shared" si="6"/>
        <v>795.5</v>
      </c>
      <c r="W86" s="980"/>
      <c r="X86" s="45"/>
      <c r="Y86" s="45"/>
      <c r="Z86" s="45"/>
      <c r="AA86" s="45"/>
      <c r="AB86" s="45"/>
      <c r="AC86" s="45"/>
      <c r="AD86" s="45"/>
      <c r="AE86" s="45"/>
      <c r="AF86" s="45"/>
      <c r="AG86" s="45"/>
      <c r="AH86" s="45"/>
      <c r="AI86" s="439">
        <f>AI75*AI81</f>
        <v>8406.5</v>
      </c>
      <c r="AJ86" s="45"/>
      <c r="AK86" s="45"/>
      <c r="AL86" s="45"/>
      <c r="AM86" s="45"/>
      <c r="AN86" s="45"/>
      <c r="AO86" s="45"/>
      <c r="AP86" s="45"/>
      <c r="AQ86" s="45"/>
      <c r="AR86" s="991">
        <f>AR81*AR75</f>
        <v>15750</v>
      </c>
      <c r="AS86" s="439">
        <f>AS75*AS81</f>
        <v>26239.5</v>
      </c>
      <c r="AT86" s="1021"/>
    </row>
    <row r="87" spans="2:46" s="238" customFormat="1" x14ac:dyDescent="0.25">
      <c r="B87" s="668" t="s">
        <v>631</v>
      </c>
      <c r="C87" s="690"/>
      <c r="D87" s="752"/>
      <c r="E87" s="1"/>
      <c r="F87" s="1"/>
      <c r="G87" s="1"/>
      <c r="H87" s="1"/>
      <c r="I87" s="1"/>
      <c r="J87" s="758"/>
      <c r="K87" s="758"/>
      <c r="L87" s="685"/>
      <c r="M87" s="758"/>
      <c r="N87" s="685"/>
      <c r="O87" s="5"/>
      <c r="P87" s="6"/>
      <c r="Q87" s="685"/>
      <c r="R87" s="685"/>
      <c r="S87" s="758"/>
      <c r="T87" s="758"/>
      <c r="U87" s="758"/>
      <c r="V87" s="6"/>
      <c r="W87" s="683"/>
      <c r="X87" s="45"/>
      <c r="Y87" s="45"/>
      <c r="Z87" s="45"/>
      <c r="AA87" s="45"/>
      <c r="AB87" s="45"/>
      <c r="AC87" s="45"/>
      <c r="AD87" s="45"/>
      <c r="AE87" s="45"/>
      <c r="AF87" s="45"/>
      <c r="AG87" s="45"/>
      <c r="AH87" s="45"/>
      <c r="AI87" s="811"/>
      <c r="AJ87" s="45"/>
      <c r="AK87" s="45"/>
      <c r="AL87" s="45"/>
      <c r="AM87" s="45"/>
      <c r="AN87" s="45"/>
      <c r="AO87" s="45"/>
      <c r="AP87" s="45"/>
      <c r="AQ87" s="45"/>
      <c r="AR87" s="811"/>
      <c r="AS87" s="746"/>
      <c r="AT87" s="1021"/>
    </row>
    <row r="88" spans="2:46" s="238" customFormat="1" x14ac:dyDescent="0.25">
      <c r="B88" s="668"/>
      <c r="C88" s="690"/>
      <c r="D88" s="753"/>
      <c r="E88" s="1"/>
      <c r="F88" s="1"/>
      <c r="G88" s="1"/>
      <c r="H88" s="1"/>
      <c r="I88" s="1"/>
      <c r="J88" s="758"/>
      <c r="K88" s="758"/>
      <c r="L88" s="685"/>
      <c r="M88" s="758"/>
      <c r="N88" s="685"/>
      <c r="O88" s="5"/>
      <c r="P88" s="6"/>
      <c r="Q88" s="685"/>
      <c r="R88" s="685"/>
      <c r="S88" s="758"/>
      <c r="T88" s="758"/>
      <c r="U88" s="758"/>
      <c r="V88" s="6"/>
      <c r="W88" s="683"/>
      <c r="X88" s="45"/>
      <c r="Y88" s="45"/>
      <c r="Z88" s="45"/>
      <c r="AA88" s="45"/>
      <c r="AB88" s="45"/>
      <c r="AC88" s="45"/>
      <c r="AD88" s="45"/>
      <c r="AE88" s="45"/>
      <c r="AF88" s="45"/>
      <c r="AG88" s="45"/>
      <c r="AH88" s="45"/>
      <c r="AI88" s="811"/>
      <c r="AJ88" s="45"/>
      <c r="AK88" s="45"/>
      <c r="AL88" s="45"/>
      <c r="AM88" s="45"/>
      <c r="AN88" s="45"/>
      <c r="AO88" s="45"/>
      <c r="AP88" s="45"/>
      <c r="AQ88" s="45"/>
      <c r="AR88" s="811"/>
      <c r="AS88" s="776">
        <v>709.75168867187483</v>
      </c>
      <c r="AT88" s="1015" t="s">
        <v>692</v>
      </c>
    </row>
    <row r="89" spans="2:46" s="238" customFormat="1" x14ac:dyDescent="0.25">
      <c r="B89" s="667" t="s">
        <v>693</v>
      </c>
      <c r="C89" s="698"/>
      <c r="D89" s="753">
        <v>200</v>
      </c>
      <c r="E89" s="704"/>
      <c r="F89" s="704"/>
      <c r="G89" s="704"/>
      <c r="H89" s="704"/>
      <c r="I89" s="704"/>
      <c r="J89" s="753">
        <v>250</v>
      </c>
      <c r="K89" s="753">
        <v>180</v>
      </c>
      <c r="L89" s="704"/>
      <c r="M89" s="753">
        <v>230</v>
      </c>
      <c r="N89" s="704"/>
      <c r="O89" s="770">
        <v>195</v>
      </c>
      <c r="P89" s="705">
        <v>220</v>
      </c>
      <c r="Q89" s="704"/>
      <c r="R89" s="704"/>
      <c r="S89" s="753">
        <v>210</v>
      </c>
      <c r="T89" s="753">
        <v>250</v>
      </c>
      <c r="U89" s="753">
        <v>250</v>
      </c>
      <c r="V89" s="705">
        <v>275</v>
      </c>
      <c r="W89" s="981"/>
      <c r="X89" s="45"/>
      <c r="Y89" s="45"/>
      <c r="Z89" s="45"/>
      <c r="AA89" s="45"/>
      <c r="AB89" s="45"/>
      <c r="AC89" s="45"/>
      <c r="AD89" s="45"/>
      <c r="AE89" s="45"/>
      <c r="AF89" s="45"/>
      <c r="AG89" s="45"/>
      <c r="AH89" s="45"/>
      <c r="AI89" s="753">
        <v>200</v>
      </c>
      <c r="AJ89" s="45"/>
      <c r="AK89" s="45"/>
      <c r="AL89" s="45"/>
      <c r="AM89" s="45"/>
      <c r="AN89" s="45"/>
      <c r="AO89" s="45"/>
      <c r="AP89" s="45"/>
      <c r="AQ89" s="45"/>
      <c r="AR89" s="811"/>
      <c r="AS89" s="776">
        <v>1116.5067388671873</v>
      </c>
      <c r="AT89" s="1015" t="s">
        <v>694</v>
      </c>
    </row>
    <row r="90" spans="2:46" x14ac:dyDescent="0.25">
      <c r="B90" s="667" t="s">
        <v>695</v>
      </c>
      <c r="C90" s="698"/>
      <c r="D90" s="752">
        <f>D38*D77</f>
        <v>903</v>
      </c>
      <c r="E90" s="704"/>
      <c r="F90" s="704"/>
      <c r="G90" s="704"/>
      <c r="H90" s="704"/>
      <c r="I90" s="704"/>
      <c r="J90" s="752">
        <f t="shared" ref="J90:K90" si="7">J38*J77</f>
        <v>967.5</v>
      </c>
      <c r="K90" s="752">
        <f t="shared" si="7"/>
        <v>860</v>
      </c>
      <c r="L90" s="704"/>
      <c r="M90" s="752">
        <f>M38*M77</f>
        <v>924.5</v>
      </c>
      <c r="N90" s="704"/>
      <c r="O90" s="752">
        <f>O38*O77</f>
        <v>924.5</v>
      </c>
      <c r="P90" s="752">
        <f>O38*P77</f>
        <v>924.5</v>
      </c>
      <c r="Q90" s="704"/>
      <c r="R90" s="704"/>
      <c r="S90" s="752">
        <f t="shared" ref="S90:V90" si="8">S38*S77</f>
        <v>1053.5</v>
      </c>
      <c r="T90" s="752">
        <f t="shared" si="8"/>
        <v>1075</v>
      </c>
      <c r="U90" s="752">
        <f t="shared" si="8"/>
        <v>1075</v>
      </c>
      <c r="V90" s="752">
        <f t="shared" si="8"/>
        <v>1096.5</v>
      </c>
      <c r="W90" s="981"/>
      <c r="AA90" s="45"/>
      <c r="AB90" s="45"/>
      <c r="AC90" s="45"/>
      <c r="AD90" s="45"/>
      <c r="AE90" s="45"/>
      <c r="AF90" s="45"/>
      <c r="AG90" s="45"/>
      <c r="AH90" s="45"/>
      <c r="AI90" s="752">
        <f>AI38*AI77</f>
        <v>795.5</v>
      </c>
      <c r="AJ90" s="45"/>
      <c r="AK90" s="45"/>
      <c r="AL90" s="45"/>
      <c r="AM90" s="45"/>
      <c r="AN90" s="45"/>
      <c r="AO90" s="45"/>
      <c r="AP90" s="45"/>
      <c r="AR90" s="811"/>
      <c r="AS90" s="776">
        <v>1379.2142068359371</v>
      </c>
      <c r="AT90" s="1015" t="s">
        <v>696</v>
      </c>
    </row>
    <row r="91" spans="2:46" s="238" customFormat="1" x14ac:dyDescent="0.25">
      <c r="B91" s="676" t="s">
        <v>641</v>
      </c>
      <c r="C91" s="706"/>
      <c r="D91" s="754">
        <v>0.4</v>
      </c>
      <c r="E91" s="707"/>
      <c r="F91" s="707"/>
      <c r="G91" s="707"/>
      <c r="H91" s="707"/>
      <c r="I91" s="707"/>
      <c r="J91" s="754">
        <v>0.35</v>
      </c>
      <c r="K91" s="754">
        <v>0.5</v>
      </c>
      <c r="L91" s="707"/>
      <c r="M91" s="754">
        <v>0.5</v>
      </c>
      <c r="N91" s="707"/>
      <c r="O91" s="771">
        <v>0.4</v>
      </c>
      <c r="P91" s="772"/>
      <c r="Q91" s="707"/>
      <c r="R91" s="707"/>
      <c r="S91" s="777">
        <v>0</v>
      </c>
      <c r="T91" s="754">
        <v>0</v>
      </c>
      <c r="U91" s="777"/>
      <c r="V91" s="708"/>
      <c r="W91" s="982"/>
      <c r="X91" s="45"/>
      <c r="Y91" s="45"/>
      <c r="Z91" s="45"/>
      <c r="AA91" s="45"/>
      <c r="AB91" s="45"/>
      <c r="AC91" s="45"/>
      <c r="AD91" s="45"/>
      <c r="AE91" s="45"/>
      <c r="AF91" s="45"/>
      <c r="AG91" s="45"/>
      <c r="AH91" s="45"/>
      <c r="AI91" s="754">
        <v>0</v>
      </c>
      <c r="AJ91" s="45"/>
      <c r="AK91" s="45"/>
      <c r="AL91" s="45"/>
      <c r="AM91" s="45"/>
      <c r="AN91" s="45"/>
      <c r="AO91" s="45"/>
      <c r="AP91" s="45"/>
      <c r="AQ91" s="45"/>
      <c r="AR91" s="811"/>
      <c r="AS91" s="776">
        <v>1026.2010467529294</v>
      </c>
      <c r="AT91" s="1015" t="s">
        <v>697</v>
      </c>
    </row>
    <row r="92" spans="2:46" s="238" customFormat="1" x14ac:dyDescent="0.25">
      <c r="B92" s="667" t="s">
        <v>698</v>
      </c>
      <c r="C92" s="698"/>
      <c r="D92" s="752">
        <f>D75+10</f>
        <v>332.5</v>
      </c>
      <c r="E92" s="669"/>
      <c r="F92" s="669"/>
      <c r="G92" s="669"/>
      <c r="H92" s="669"/>
      <c r="I92" s="669"/>
      <c r="J92" s="752">
        <f t="shared" ref="J92:V92" si="9">J75+10</f>
        <v>362.59999999999997</v>
      </c>
      <c r="K92" s="752">
        <f t="shared" si="9"/>
        <v>291.64999999999998</v>
      </c>
      <c r="L92" s="669"/>
      <c r="M92" s="752">
        <f t="shared" si="9"/>
        <v>291.64999999999998</v>
      </c>
      <c r="N92" s="669"/>
      <c r="O92" s="773">
        <f t="shared" si="9"/>
        <v>291.64999999999998</v>
      </c>
      <c r="P92" s="677">
        <f t="shared" si="9"/>
        <v>10</v>
      </c>
      <c r="Q92" s="669"/>
      <c r="R92" s="669"/>
      <c r="S92" s="752">
        <f t="shared" si="9"/>
        <v>407.75</v>
      </c>
      <c r="T92" s="752">
        <f t="shared" si="9"/>
        <v>414.2</v>
      </c>
      <c r="U92" s="752">
        <f t="shared" si="9"/>
        <v>407.75</v>
      </c>
      <c r="V92" s="677">
        <f t="shared" si="9"/>
        <v>407.75</v>
      </c>
      <c r="W92" s="981"/>
      <c r="X92" s="45"/>
      <c r="Y92" s="45"/>
      <c r="Z92" s="45"/>
      <c r="AA92" s="45"/>
      <c r="AB92" s="45"/>
      <c r="AC92" s="45"/>
      <c r="AD92" s="45"/>
      <c r="AE92" s="45"/>
      <c r="AF92" s="45"/>
      <c r="AG92" s="45"/>
      <c r="AH92" s="45"/>
      <c r="AI92" s="752">
        <v>370</v>
      </c>
      <c r="AJ92" s="45"/>
      <c r="AK92" s="45"/>
      <c r="AL92" s="45"/>
      <c r="AM92" s="45"/>
      <c r="AN92" s="45"/>
      <c r="AO92" s="45"/>
      <c r="AP92" s="45"/>
      <c r="AQ92" s="45"/>
      <c r="AR92" s="811"/>
      <c r="AS92" s="776">
        <v>1176.9294564999998</v>
      </c>
      <c r="AT92" s="1015" t="s">
        <v>699</v>
      </c>
    </row>
    <row r="93" spans="2:46" s="238" customFormat="1" x14ac:dyDescent="0.25">
      <c r="B93" s="667" t="s">
        <v>700</v>
      </c>
      <c r="C93" s="698"/>
      <c r="D93" s="752">
        <f>D32/2+D33+D34</f>
        <v>104.2</v>
      </c>
      <c r="E93" s="704"/>
      <c r="F93" s="704"/>
      <c r="G93" s="704"/>
      <c r="H93" s="704"/>
      <c r="I93" s="704"/>
      <c r="J93" s="752">
        <f>J32+J33+J34</f>
        <v>141.69999999999999</v>
      </c>
      <c r="K93" s="752">
        <f>K32/2+K33+K34</f>
        <v>102.9</v>
      </c>
      <c r="L93" s="704"/>
      <c r="M93" s="753">
        <v>37</v>
      </c>
      <c r="N93" s="704"/>
      <c r="O93" s="770">
        <v>99.3</v>
      </c>
      <c r="P93" s="705">
        <v>99.3</v>
      </c>
      <c r="Q93" s="704"/>
      <c r="R93" s="704"/>
      <c r="S93" s="753">
        <v>89.3</v>
      </c>
      <c r="T93" s="753">
        <v>89.3</v>
      </c>
      <c r="U93" s="753"/>
      <c r="V93" s="705"/>
      <c r="W93" s="981"/>
      <c r="X93" s="45"/>
      <c r="Y93" s="45"/>
      <c r="Z93" s="45"/>
      <c r="AA93" s="45"/>
      <c r="AB93" s="45"/>
      <c r="AC93" s="45"/>
      <c r="AD93" s="45"/>
      <c r="AE93" s="45"/>
      <c r="AF93" s="45"/>
      <c r="AG93" s="45"/>
      <c r="AH93" s="45"/>
      <c r="AI93" s="753">
        <v>0</v>
      </c>
      <c r="AJ93" s="45"/>
      <c r="AK93" s="45"/>
      <c r="AL93" s="45"/>
      <c r="AM93" s="45"/>
      <c r="AN93" s="45"/>
      <c r="AO93" s="45"/>
      <c r="AP93" s="45"/>
      <c r="AQ93" s="45"/>
      <c r="AR93" s="811"/>
      <c r="AS93" s="776">
        <v>1444.8910738281247</v>
      </c>
      <c r="AT93" s="1015" t="s">
        <v>701</v>
      </c>
    </row>
    <row r="94" spans="2:46" s="238" customFormat="1" x14ac:dyDescent="0.25">
      <c r="B94" s="668" t="s">
        <v>702</v>
      </c>
      <c r="C94" s="690" t="s">
        <v>538</v>
      </c>
      <c r="D94" s="752">
        <f>((D90*(1-D91))+((D92+D93)*D91))/1000*D89</f>
        <v>143.29599999999999</v>
      </c>
      <c r="E94" s="669"/>
      <c r="F94" s="669"/>
      <c r="G94" s="669"/>
      <c r="H94" s="669"/>
      <c r="I94" s="669"/>
      <c r="J94" s="752">
        <f t="shared" ref="J94:V94" si="10">((J90*(1-J91))+((J92+J93)*J91))/1000*J89</f>
        <v>201.345</v>
      </c>
      <c r="K94" s="752">
        <f t="shared" si="10"/>
        <v>112.90950000000001</v>
      </c>
      <c r="L94" s="669"/>
      <c r="M94" s="752">
        <f t="shared" si="10"/>
        <v>144.11224999999999</v>
      </c>
      <c r="N94" s="669"/>
      <c r="O94" s="773">
        <f t="shared" si="10"/>
        <v>138.66059999999999</v>
      </c>
      <c r="P94" s="677">
        <f t="shared" si="10"/>
        <v>203.39</v>
      </c>
      <c r="Q94" s="669"/>
      <c r="R94" s="669"/>
      <c r="S94" s="752">
        <f t="shared" si="10"/>
        <v>221.23500000000001</v>
      </c>
      <c r="T94" s="752">
        <f t="shared" si="10"/>
        <v>268.75</v>
      </c>
      <c r="U94" s="752">
        <f t="shared" si="10"/>
        <v>268.75</v>
      </c>
      <c r="V94" s="677">
        <f t="shared" si="10"/>
        <v>301.53750000000002</v>
      </c>
      <c r="W94" s="981"/>
      <c r="X94" s="45"/>
      <c r="Y94" s="45"/>
      <c r="Z94" s="45"/>
      <c r="AA94" s="45"/>
      <c r="AB94" s="45"/>
      <c r="AC94" s="45"/>
      <c r="AD94" s="45"/>
      <c r="AE94" s="45"/>
      <c r="AF94" s="45"/>
      <c r="AG94" s="45"/>
      <c r="AH94" s="45"/>
      <c r="AI94" s="755">
        <v>1600</v>
      </c>
      <c r="AJ94" s="45"/>
      <c r="AK94" s="45"/>
      <c r="AL94" s="45"/>
      <c r="AM94" s="45"/>
      <c r="AN94" s="45"/>
      <c r="AO94" s="45"/>
      <c r="AP94" s="45"/>
      <c r="AQ94" s="45"/>
      <c r="AR94" s="760">
        <v>1750</v>
      </c>
      <c r="AS94" s="776">
        <v>1555.2723628906247</v>
      </c>
      <c r="AT94" s="1021"/>
    </row>
    <row r="95" spans="2:46" s="238" customFormat="1" x14ac:dyDescent="0.25">
      <c r="B95" s="668" t="s">
        <v>703</v>
      </c>
      <c r="C95" s="690" t="s">
        <v>538</v>
      </c>
      <c r="D95" s="755">
        <v>20</v>
      </c>
      <c r="E95" s="685"/>
      <c r="F95" s="685"/>
      <c r="G95" s="685"/>
      <c r="H95" s="685"/>
      <c r="I95" s="685"/>
      <c r="J95" s="760">
        <v>39</v>
      </c>
      <c r="K95" s="760">
        <v>39</v>
      </c>
      <c r="L95" s="685"/>
      <c r="M95" s="760">
        <v>16</v>
      </c>
      <c r="N95" s="685"/>
      <c r="O95" s="9">
        <v>19</v>
      </c>
      <c r="P95" s="10">
        <v>19</v>
      </c>
      <c r="Q95" s="685"/>
      <c r="R95" s="685"/>
      <c r="S95" s="760">
        <v>35</v>
      </c>
      <c r="T95" s="760">
        <v>32</v>
      </c>
      <c r="U95" s="760">
        <v>32</v>
      </c>
      <c r="V95" s="10">
        <v>35</v>
      </c>
      <c r="W95" s="683"/>
      <c r="X95" s="45"/>
      <c r="Y95" s="45"/>
      <c r="Z95" s="45"/>
      <c r="AA95" s="45"/>
      <c r="AB95" s="45"/>
      <c r="AC95" s="45"/>
      <c r="AD95" s="45"/>
      <c r="AE95" s="45"/>
      <c r="AF95" s="45"/>
      <c r="AG95" s="45"/>
      <c r="AH95" s="45"/>
      <c r="AI95" s="760">
        <v>40</v>
      </c>
      <c r="AJ95" s="45"/>
      <c r="AK95" s="45"/>
      <c r="AL95" s="45"/>
      <c r="AM95" s="45"/>
      <c r="AN95" s="45"/>
      <c r="AO95" s="45"/>
      <c r="AP95" s="45"/>
      <c r="AQ95" s="45"/>
      <c r="AR95" s="760">
        <v>60</v>
      </c>
      <c r="AS95" s="776">
        <v>165.57193359374997</v>
      </c>
    </row>
    <row r="96" spans="2:46" s="238" customFormat="1" x14ac:dyDescent="0.25">
      <c r="B96" s="668" t="s">
        <v>704</v>
      </c>
      <c r="C96" s="690" t="s">
        <v>538</v>
      </c>
      <c r="D96" s="755">
        <v>0</v>
      </c>
      <c r="E96" s="685"/>
      <c r="F96" s="685"/>
      <c r="G96" s="685"/>
      <c r="H96" s="685"/>
      <c r="I96" s="685"/>
      <c r="J96" s="760">
        <v>0</v>
      </c>
      <c r="K96" s="758"/>
      <c r="L96" s="685"/>
      <c r="M96" s="760">
        <v>2</v>
      </c>
      <c r="N96" s="685"/>
      <c r="O96" s="9">
        <v>5</v>
      </c>
      <c r="P96" s="10">
        <v>5</v>
      </c>
      <c r="Q96" s="685"/>
      <c r="R96" s="685"/>
      <c r="S96" s="760"/>
      <c r="T96" s="760">
        <v>5</v>
      </c>
      <c r="U96" s="760">
        <v>5</v>
      </c>
      <c r="V96" s="10"/>
      <c r="W96" s="683"/>
      <c r="X96" s="45"/>
      <c r="Y96" s="45"/>
      <c r="Z96" s="45"/>
      <c r="AA96" s="45"/>
      <c r="AB96" s="45"/>
      <c r="AC96" s="45"/>
      <c r="AD96" s="45"/>
      <c r="AE96" s="45"/>
      <c r="AF96" s="45"/>
      <c r="AG96" s="45"/>
      <c r="AH96" s="45"/>
      <c r="AI96" s="760">
        <v>50</v>
      </c>
      <c r="AJ96" s="45"/>
      <c r="AK96" s="45"/>
      <c r="AL96" s="45"/>
      <c r="AM96" s="45"/>
      <c r="AN96" s="45"/>
      <c r="AO96" s="45"/>
      <c r="AP96" s="45"/>
      <c r="AQ96" s="45"/>
      <c r="AR96" s="760">
        <v>340</v>
      </c>
      <c r="AS96" s="776">
        <v>1103.8128906249997</v>
      </c>
    </row>
    <row r="97" spans="2:45" s="238" customFormat="1" x14ac:dyDescent="0.25">
      <c r="B97" s="668" t="s">
        <v>705</v>
      </c>
      <c r="C97" s="690" t="s">
        <v>538</v>
      </c>
      <c r="D97" s="755">
        <v>20</v>
      </c>
      <c r="E97" s="704"/>
      <c r="F97" s="704"/>
      <c r="G97" s="704"/>
      <c r="H97" s="704"/>
      <c r="I97" s="704"/>
      <c r="J97" s="755">
        <v>20</v>
      </c>
      <c r="K97" s="755">
        <v>30</v>
      </c>
      <c r="L97" s="704"/>
      <c r="M97" s="755">
        <v>24</v>
      </c>
      <c r="N97" s="704"/>
      <c r="O97" s="774">
        <v>30</v>
      </c>
      <c r="P97" s="709">
        <v>30</v>
      </c>
      <c r="Q97" s="704"/>
      <c r="R97" s="704"/>
      <c r="S97" s="755">
        <v>40</v>
      </c>
      <c r="T97" s="755">
        <v>23</v>
      </c>
      <c r="U97" s="755">
        <v>23</v>
      </c>
      <c r="V97" s="709">
        <v>45.900920024999991</v>
      </c>
      <c r="W97" s="981"/>
      <c r="X97" s="45"/>
      <c r="Y97" s="45"/>
      <c r="Z97" s="45"/>
      <c r="AA97" s="45"/>
      <c r="AB97" s="45"/>
      <c r="AC97" s="45"/>
      <c r="AD97" s="45"/>
      <c r="AE97" s="45"/>
      <c r="AF97" s="45"/>
      <c r="AG97" s="45"/>
      <c r="AH97" s="45"/>
      <c r="AI97" s="755">
        <v>2010</v>
      </c>
      <c r="AJ97" s="45"/>
      <c r="AK97" s="45"/>
      <c r="AL97" s="45"/>
      <c r="AM97" s="45"/>
      <c r="AN97" s="45"/>
      <c r="AO97" s="45"/>
      <c r="AP97" s="45"/>
      <c r="AQ97" s="45"/>
      <c r="AR97" s="760">
        <v>4110</v>
      </c>
      <c r="AS97" s="776">
        <v>275.95322265624992</v>
      </c>
    </row>
    <row r="98" spans="2:45" s="238" customFormat="1" x14ac:dyDescent="0.25">
      <c r="B98" s="668" t="s">
        <v>659</v>
      </c>
      <c r="C98" s="690"/>
      <c r="D98" s="752"/>
      <c r="E98" s="685"/>
      <c r="F98" s="685"/>
      <c r="G98" s="685"/>
      <c r="H98" s="685"/>
      <c r="I98" s="685"/>
      <c r="J98" s="758"/>
      <c r="K98" s="758"/>
      <c r="L98" s="685"/>
      <c r="M98" s="758"/>
      <c r="N98" s="685"/>
      <c r="O98" s="5"/>
      <c r="P98" s="6"/>
      <c r="Q98" s="685"/>
      <c r="R98" s="685"/>
      <c r="S98" s="758"/>
      <c r="T98" s="758"/>
      <c r="U98" s="758"/>
      <c r="V98" s="6"/>
      <c r="W98" s="683"/>
      <c r="X98" s="45"/>
      <c r="Y98" s="45"/>
      <c r="Z98" s="45"/>
      <c r="AA98" s="45"/>
      <c r="AB98" s="45"/>
      <c r="AC98" s="45"/>
      <c r="AD98" s="45"/>
      <c r="AE98" s="45"/>
      <c r="AF98" s="45"/>
      <c r="AG98" s="45"/>
      <c r="AH98" s="45"/>
      <c r="AI98" s="811"/>
      <c r="AJ98" s="45"/>
      <c r="AK98" s="45"/>
      <c r="AL98" s="45"/>
      <c r="AM98" s="45"/>
      <c r="AN98" s="45"/>
      <c r="AO98" s="45"/>
      <c r="AP98" s="45"/>
      <c r="AQ98" s="45"/>
      <c r="AR98" s="811"/>
      <c r="AS98" s="746"/>
    </row>
    <row r="99" spans="2:45" s="238" customFormat="1" x14ac:dyDescent="0.25">
      <c r="B99" s="667" t="s">
        <v>702</v>
      </c>
      <c r="C99" s="690" t="s">
        <v>538</v>
      </c>
      <c r="D99" s="756">
        <f>D94</f>
        <v>143.29599999999999</v>
      </c>
      <c r="E99" s="21"/>
      <c r="F99" s="21"/>
      <c r="G99" s="21"/>
      <c r="H99" s="21"/>
      <c r="I99" s="21"/>
      <c r="J99" s="756">
        <f t="shared" ref="J99:V102" si="11">J94</f>
        <v>201.345</v>
      </c>
      <c r="K99" s="756">
        <f t="shared" si="11"/>
        <v>112.90950000000001</v>
      </c>
      <c r="L99" s="21"/>
      <c r="M99" s="756">
        <f t="shared" si="11"/>
        <v>144.11224999999999</v>
      </c>
      <c r="N99" s="21"/>
      <c r="O99" s="20">
        <f t="shared" si="11"/>
        <v>138.66059999999999</v>
      </c>
      <c r="P99" s="22">
        <f t="shared" si="11"/>
        <v>203.39</v>
      </c>
      <c r="Q99" s="21"/>
      <c r="R99" s="21"/>
      <c r="S99" s="756">
        <f t="shared" si="11"/>
        <v>221.23500000000001</v>
      </c>
      <c r="T99" s="756">
        <f t="shared" si="11"/>
        <v>268.75</v>
      </c>
      <c r="U99" s="756">
        <f t="shared" si="11"/>
        <v>268.75</v>
      </c>
      <c r="V99" s="22">
        <f t="shared" si="11"/>
        <v>301.53750000000002</v>
      </c>
      <c r="W99" s="983"/>
      <c r="X99" s="45"/>
      <c r="Y99" s="45"/>
      <c r="Z99" s="45"/>
      <c r="AA99" s="45"/>
      <c r="AB99" s="45"/>
      <c r="AC99" s="45"/>
      <c r="AD99" s="45"/>
      <c r="AE99" s="45"/>
      <c r="AF99" s="45"/>
      <c r="AG99" s="45"/>
      <c r="AH99" s="45"/>
      <c r="AI99" s="756">
        <f>AI94</f>
        <v>1600</v>
      </c>
      <c r="AJ99" s="45"/>
      <c r="AK99" s="45"/>
      <c r="AL99" s="45"/>
      <c r="AM99" s="45"/>
      <c r="AN99" s="45"/>
      <c r="AO99" s="45"/>
      <c r="AP99" s="45"/>
      <c r="AQ99" s="45"/>
      <c r="AR99" s="756">
        <f>AR94</f>
        <v>1750</v>
      </c>
      <c r="AS99" s="756">
        <f>AS94</f>
        <v>1555.2723628906247</v>
      </c>
    </row>
    <row r="100" spans="2:45" s="238" customFormat="1" x14ac:dyDescent="0.25">
      <c r="B100" s="667" t="s">
        <v>706</v>
      </c>
      <c r="C100" s="690" t="s">
        <v>538</v>
      </c>
      <c r="D100" s="752">
        <f>D95</f>
        <v>20</v>
      </c>
      <c r="E100" s="669"/>
      <c r="F100" s="669"/>
      <c r="G100" s="669"/>
      <c r="H100" s="669"/>
      <c r="I100" s="669"/>
      <c r="J100" s="752">
        <f t="shared" si="11"/>
        <v>39</v>
      </c>
      <c r="K100" s="752">
        <f t="shared" si="11"/>
        <v>39</v>
      </c>
      <c r="L100" s="669"/>
      <c r="M100" s="752">
        <f t="shared" si="11"/>
        <v>16</v>
      </c>
      <c r="N100" s="669"/>
      <c r="O100" s="773">
        <f t="shared" si="11"/>
        <v>19</v>
      </c>
      <c r="P100" s="677">
        <f t="shared" si="11"/>
        <v>19</v>
      </c>
      <c r="Q100" s="669"/>
      <c r="R100" s="669"/>
      <c r="S100" s="752">
        <f t="shared" si="11"/>
        <v>35</v>
      </c>
      <c r="T100" s="752">
        <f t="shared" si="11"/>
        <v>32</v>
      </c>
      <c r="U100" s="752">
        <f t="shared" si="11"/>
        <v>32</v>
      </c>
      <c r="V100" s="677">
        <f t="shared" si="11"/>
        <v>35</v>
      </c>
      <c r="W100" s="981"/>
      <c r="X100" s="45"/>
      <c r="Y100" s="45"/>
      <c r="Z100" s="45"/>
      <c r="AA100" s="45"/>
      <c r="AB100" s="45"/>
      <c r="AC100" s="45"/>
      <c r="AD100" s="45"/>
      <c r="AE100" s="45"/>
      <c r="AF100" s="45"/>
      <c r="AG100" s="45"/>
      <c r="AH100" s="45"/>
      <c r="AI100" s="756">
        <f t="shared" ref="AI100:AI102" si="12">AI95</f>
        <v>40</v>
      </c>
      <c r="AJ100" s="45"/>
      <c r="AK100" s="45"/>
      <c r="AL100" s="45"/>
      <c r="AM100" s="45"/>
      <c r="AN100" s="45"/>
      <c r="AO100" s="45"/>
      <c r="AP100" s="45"/>
      <c r="AQ100" s="45"/>
      <c r="AR100" s="756">
        <f t="shared" ref="AR100:AR102" si="13">AR95</f>
        <v>60</v>
      </c>
      <c r="AS100" s="752">
        <f>AS95</f>
        <v>165.57193359374997</v>
      </c>
    </row>
    <row r="101" spans="2:45" s="238" customFormat="1" x14ac:dyDescent="0.25">
      <c r="B101" s="667" t="s">
        <v>707</v>
      </c>
      <c r="C101" s="690" t="s">
        <v>538</v>
      </c>
      <c r="D101" s="752">
        <f>D96</f>
        <v>0</v>
      </c>
      <c r="E101" s="669"/>
      <c r="F101" s="669"/>
      <c r="G101" s="669"/>
      <c r="H101" s="669"/>
      <c r="I101" s="669"/>
      <c r="J101" s="752">
        <f t="shared" si="11"/>
        <v>0</v>
      </c>
      <c r="K101" s="752">
        <f t="shared" si="11"/>
        <v>0</v>
      </c>
      <c r="L101" s="669"/>
      <c r="M101" s="752">
        <f t="shared" si="11"/>
        <v>2</v>
      </c>
      <c r="N101" s="669"/>
      <c r="O101" s="773">
        <f t="shared" si="11"/>
        <v>5</v>
      </c>
      <c r="P101" s="677">
        <f t="shared" si="11"/>
        <v>5</v>
      </c>
      <c r="Q101" s="669"/>
      <c r="R101" s="669"/>
      <c r="S101" s="752">
        <f t="shared" si="11"/>
        <v>0</v>
      </c>
      <c r="T101" s="752">
        <f t="shared" si="11"/>
        <v>5</v>
      </c>
      <c r="U101" s="752">
        <f t="shared" si="11"/>
        <v>5</v>
      </c>
      <c r="V101" s="677">
        <f t="shared" si="11"/>
        <v>0</v>
      </c>
      <c r="W101" s="981"/>
      <c r="X101" s="45"/>
      <c r="Y101" s="45"/>
      <c r="Z101" s="45"/>
      <c r="AA101" s="45"/>
      <c r="AB101" s="45"/>
      <c r="AC101" s="45"/>
      <c r="AD101" s="45"/>
      <c r="AE101" s="45"/>
      <c r="AF101" s="45"/>
      <c r="AG101" s="45"/>
      <c r="AH101" s="45"/>
      <c r="AI101" s="756">
        <f t="shared" si="12"/>
        <v>50</v>
      </c>
      <c r="AJ101" s="45"/>
      <c r="AK101" s="45"/>
      <c r="AL101" s="45"/>
      <c r="AM101" s="45"/>
      <c r="AN101" s="45"/>
      <c r="AO101" s="45"/>
      <c r="AP101" s="45"/>
      <c r="AQ101" s="45"/>
      <c r="AR101" s="756">
        <f t="shared" si="13"/>
        <v>340</v>
      </c>
      <c r="AS101" s="752">
        <f>AS96</f>
        <v>1103.8128906249997</v>
      </c>
    </row>
    <row r="102" spans="2:45" s="238" customFormat="1" x14ac:dyDescent="0.25">
      <c r="B102" s="667" t="s">
        <v>656</v>
      </c>
      <c r="C102" s="690" t="s">
        <v>538</v>
      </c>
      <c r="D102" s="752">
        <f>D97</f>
        <v>20</v>
      </c>
      <c r="E102" s="669"/>
      <c r="F102" s="669"/>
      <c r="G102" s="669"/>
      <c r="H102" s="669"/>
      <c r="I102" s="669"/>
      <c r="J102" s="752">
        <f t="shared" si="11"/>
        <v>20</v>
      </c>
      <c r="K102" s="752">
        <f t="shared" si="11"/>
        <v>30</v>
      </c>
      <c r="L102" s="669"/>
      <c r="M102" s="752">
        <f t="shared" si="11"/>
        <v>24</v>
      </c>
      <c r="N102" s="669"/>
      <c r="O102" s="773">
        <f t="shared" si="11"/>
        <v>30</v>
      </c>
      <c r="P102" s="677">
        <f t="shared" si="11"/>
        <v>30</v>
      </c>
      <c r="Q102" s="669"/>
      <c r="R102" s="669"/>
      <c r="S102" s="752">
        <f t="shared" si="11"/>
        <v>40</v>
      </c>
      <c r="T102" s="752">
        <f t="shared" si="11"/>
        <v>23</v>
      </c>
      <c r="U102" s="752">
        <f t="shared" si="11"/>
        <v>23</v>
      </c>
      <c r="V102" s="677">
        <f t="shared" si="11"/>
        <v>45.900920024999991</v>
      </c>
      <c r="W102" s="981"/>
      <c r="X102" s="45"/>
      <c r="Y102" s="45"/>
      <c r="Z102" s="45"/>
      <c r="AA102" s="45"/>
      <c r="AB102" s="45"/>
      <c r="AC102" s="45"/>
      <c r="AD102" s="45"/>
      <c r="AE102" s="45"/>
      <c r="AF102" s="45"/>
      <c r="AG102" s="45"/>
      <c r="AH102" s="45"/>
      <c r="AI102" s="756">
        <f t="shared" si="12"/>
        <v>2010</v>
      </c>
      <c r="AJ102" s="45"/>
      <c r="AK102" s="45"/>
      <c r="AL102" s="45"/>
      <c r="AM102" s="45"/>
      <c r="AN102" s="45"/>
      <c r="AO102" s="45"/>
      <c r="AP102" s="45"/>
      <c r="AQ102" s="45"/>
      <c r="AR102" s="756">
        <f t="shared" si="13"/>
        <v>4110</v>
      </c>
      <c r="AS102" s="753">
        <v>7129.4474341123032</v>
      </c>
    </row>
    <row r="103" spans="2:45" s="238" customFormat="1" x14ac:dyDescent="0.25">
      <c r="B103" s="675" t="s">
        <v>709</v>
      </c>
      <c r="C103" s="690" t="s">
        <v>538</v>
      </c>
      <c r="D103" s="439">
        <f>SUM(D99:D102)</f>
        <v>183.29599999999999</v>
      </c>
      <c r="E103" s="79"/>
      <c r="F103" s="79"/>
      <c r="G103" s="79"/>
      <c r="H103" s="79"/>
      <c r="I103" s="79"/>
      <c r="J103" s="439">
        <f t="shared" ref="J103:V103" si="14">SUM(J99:J102)</f>
        <v>260.34500000000003</v>
      </c>
      <c r="K103" s="439">
        <f t="shared" si="14"/>
        <v>181.90950000000001</v>
      </c>
      <c r="L103" s="79"/>
      <c r="M103" s="439">
        <f t="shared" si="14"/>
        <v>186.11224999999999</v>
      </c>
      <c r="N103" s="79"/>
      <c r="O103" s="77">
        <f t="shared" si="14"/>
        <v>192.66059999999999</v>
      </c>
      <c r="P103" s="78">
        <f t="shared" si="14"/>
        <v>257.39</v>
      </c>
      <c r="Q103" s="79"/>
      <c r="R103" s="79"/>
      <c r="S103" s="439">
        <f t="shared" si="14"/>
        <v>296.23500000000001</v>
      </c>
      <c r="T103" s="439">
        <f t="shared" si="14"/>
        <v>328.75</v>
      </c>
      <c r="U103" s="439">
        <f t="shared" si="14"/>
        <v>328.75</v>
      </c>
      <c r="V103" s="78">
        <f t="shared" si="14"/>
        <v>382.43842002500003</v>
      </c>
      <c r="W103" s="980"/>
      <c r="X103" s="45"/>
      <c r="Y103" s="45"/>
      <c r="Z103" s="45"/>
      <c r="AA103" s="45"/>
      <c r="AB103" s="45"/>
      <c r="AC103" s="45"/>
      <c r="AD103" s="45"/>
      <c r="AE103" s="45"/>
      <c r="AF103" s="45"/>
      <c r="AG103" s="45"/>
      <c r="AH103" s="45"/>
      <c r="AI103" s="439">
        <f>SUM(AI99:AI102)</f>
        <v>3700</v>
      </c>
      <c r="AJ103" s="45"/>
      <c r="AK103" s="45"/>
      <c r="AL103" s="45"/>
      <c r="AM103" s="45"/>
      <c r="AN103" s="45"/>
      <c r="AO103" s="45"/>
      <c r="AP103" s="45"/>
      <c r="AQ103" s="45"/>
      <c r="AR103" s="991">
        <f>SUM(AR99:AR102)</f>
        <v>6260</v>
      </c>
      <c r="AS103" s="439">
        <f>SUM(AS99:AS102)</f>
        <v>9954.104621221677</v>
      </c>
    </row>
    <row r="104" spans="2:45" s="238" customFormat="1" x14ac:dyDescent="0.25">
      <c r="B104" s="702" t="s">
        <v>710</v>
      </c>
      <c r="C104" s="690" t="s">
        <v>538</v>
      </c>
      <c r="D104" s="751">
        <f>D84-D103</f>
        <v>1328.1539999999998</v>
      </c>
      <c r="E104" s="178"/>
      <c r="F104" s="178"/>
      <c r="G104" s="178"/>
      <c r="H104" s="178"/>
      <c r="I104" s="178"/>
      <c r="J104" s="751">
        <f t="shared" ref="J104:T104" si="15">J84-J103</f>
        <v>837.96100000000001</v>
      </c>
      <c r="K104" s="751">
        <f t="shared" si="15"/>
        <v>773.17849999999999</v>
      </c>
      <c r="L104" s="178"/>
      <c r="M104" s="751">
        <f t="shared" si="15"/>
        <v>767.47574999999995</v>
      </c>
      <c r="N104" s="178"/>
      <c r="O104" s="769">
        <f t="shared" si="15"/>
        <v>843.49140000000011</v>
      </c>
      <c r="P104" s="703"/>
      <c r="Q104" s="178"/>
      <c r="R104" s="178"/>
      <c r="S104" s="751">
        <f t="shared" si="15"/>
        <v>817.46500000000003</v>
      </c>
      <c r="T104" s="751">
        <f t="shared" si="15"/>
        <v>156.29000000000008</v>
      </c>
      <c r="U104" s="751"/>
      <c r="V104" s="703"/>
      <c r="W104" s="980"/>
      <c r="X104" s="45"/>
      <c r="Y104" s="45"/>
      <c r="Z104" s="45"/>
      <c r="AA104" s="45"/>
      <c r="AB104" s="45"/>
      <c r="AC104" s="45"/>
      <c r="AD104" s="45"/>
      <c r="AE104" s="45"/>
      <c r="AF104" s="45"/>
      <c r="AG104" s="45"/>
      <c r="AH104" s="45"/>
      <c r="AI104" s="751">
        <f>AI84-AI103</f>
        <v>3025.2000000000007</v>
      </c>
      <c r="AJ104" s="45"/>
      <c r="AK104" s="45"/>
      <c r="AL104" s="45"/>
      <c r="AM104" s="45"/>
      <c r="AN104" s="45"/>
      <c r="AO104" s="45"/>
      <c r="AP104" s="45"/>
      <c r="AQ104" s="45"/>
      <c r="AR104" s="990">
        <f>AR84-AR103</f>
        <v>3100</v>
      </c>
      <c r="AS104" s="751"/>
    </row>
    <row r="105" spans="2:45" s="238" customFormat="1" x14ac:dyDescent="0.25">
      <c r="B105" s="702" t="s">
        <v>711</v>
      </c>
      <c r="C105" s="690" t="s">
        <v>538</v>
      </c>
      <c r="D105" s="751">
        <f>D85-D103</f>
        <v>1986.0539999999999</v>
      </c>
      <c r="E105" s="178"/>
      <c r="F105" s="178"/>
      <c r="G105" s="178"/>
      <c r="H105" s="178"/>
      <c r="I105" s="178"/>
      <c r="J105" s="751">
        <f t="shared" ref="J105:T105" si="16">J85-J103</f>
        <v>1289.289</v>
      </c>
      <c r="K105" s="751">
        <f t="shared" si="16"/>
        <v>1156.2224999999999</v>
      </c>
      <c r="L105" s="178"/>
      <c r="M105" s="751">
        <f t="shared" si="16"/>
        <v>1150.5197499999999</v>
      </c>
      <c r="N105" s="178"/>
      <c r="O105" s="769">
        <f t="shared" si="16"/>
        <v>1249.0674000000001</v>
      </c>
      <c r="P105" s="703"/>
      <c r="Q105" s="178"/>
      <c r="R105" s="178"/>
      <c r="S105" s="751">
        <f t="shared" si="16"/>
        <v>1374.3150000000001</v>
      </c>
      <c r="T105" s="751">
        <f t="shared" si="16"/>
        <v>398.80999999999995</v>
      </c>
      <c r="U105" s="751"/>
      <c r="V105" s="703"/>
      <c r="W105" s="980"/>
      <c r="X105" s="45"/>
      <c r="Y105" s="45"/>
      <c r="Z105" s="45"/>
      <c r="AA105" s="45"/>
      <c r="AB105" s="45"/>
      <c r="AC105" s="45"/>
      <c r="AD105" s="45"/>
      <c r="AE105" s="45"/>
      <c r="AF105" s="45"/>
      <c r="AG105" s="45"/>
      <c r="AH105" s="45"/>
      <c r="AI105" s="751">
        <f>AI85-AI103</f>
        <v>6387.7999999999993</v>
      </c>
      <c r="AJ105" s="45"/>
      <c r="AK105" s="45"/>
      <c r="AL105" s="45"/>
      <c r="AM105" s="45"/>
      <c r="AN105" s="45"/>
      <c r="AO105" s="45"/>
      <c r="AP105" s="45"/>
      <c r="AQ105" s="45"/>
      <c r="AR105" s="990">
        <f>AR85-AR103</f>
        <v>7780</v>
      </c>
      <c r="AS105" s="751"/>
    </row>
    <row r="106" spans="2:45" s="238" customFormat="1" x14ac:dyDescent="0.25">
      <c r="B106" s="675" t="s">
        <v>712</v>
      </c>
      <c r="C106" s="690" t="s">
        <v>538</v>
      </c>
      <c r="D106" s="439">
        <f>D86-D103</f>
        <v>1657.1039999999996</v>
      </c>
      <c r="E106" s="79"/>
      <c r="F106" s="79"/>
      <c r="G106" s="79"/>
      <c r="H106" s="79"/>
      <c r="I106" s="79"/>
      <c r="J106" s="439">
        <f t="shared" ref="J106:V106" si="17">J86-J103</f>
        <v>1063.6249999999998</v>
      </c>
      <c r="K106" s="439">
        <f t="shared" si="17"/>
        <v>964.70049999999992</v>
      </c>
      <c r="L106" s="79"/>
      <c r="M106" s="439">
        <f t="shared" si="17"/>
        <v>958.99774999999988</v>
      </c>
      <c r="N106" s="79"/>
      <c r="O106" s="77">
        <f t="shared" si="17"/>
        <v>1046.2794000000001</v>
      </c>
      <c r="P106" s="78">
        <f t="shared" si="17"/>
        <v>-32.389999999999986</v>
      </c>
      <c r="Q106" s="79"/>
      <c r="R106" s="79"/>
      <c r="S106" s="439">
        <f t="shared" si="17"/>
        <v>1095.8899999999999</v>
      </c>
      <c r="T106" s="439">
        <f t="shared" si="17"/>
        <v>277.54999999999995</v>
      </c>
      <c r="U106" s="439">
        <f t="shared" si="17"/>
        <v>466.75</v>
      </c>
      <c r="V106" s="78">
        <f t="shared" si="17"/>
        <v>413.06157997499997</v>
      </c>
      <c r="W106" s="980"/>
      <c r="X106" s="45"/>
      <c r="Y106" s="45"/>
      <c r="Z106" s="45"/>
      <c r="AA106" s="45"/>
      <c r="AB106" s="45"/>
      <c r="AC106" s="45"/>
      <c r="AD106" s="45"/>
      <c r="AE106" s="45"/>
      <c r="AF106" s="45"/>
      <c r="AG106" s="45"/>
      <c r="AH106" s="45"/>
      <c r="AI106" s="439">
        <f>AI86-AI103</f>
        <v>4706.5</v>
      </c>
      <c r="AJ106" s="45"/>
      <c r="AK106" s="45"/>
      <c r="AL106" s="45"/>
      <c r="AM106" s="45"/>
      <c r="AN106" s="45"/>
      <c r="AO106" s="45"/>
      <c r="AP106" s="45"/>
      <c r="AQ106" s="45"/>
      <c r="AR106" s="991">
        <f>AR86-AR103</f>
        <v>9490</v>
      </c>
      <c r="AS106" s="439">
        <f>AS86-AS103</f>
        <v>16285.395378778323</v>
      </c>
    </row>
    <row r="107" spans="2:45" s="238" customFormat="1" x14ac:dyDescent="0.25">
      <c r="B107" s="667" t="s">
        <v>667</v>
      </c>
      <c r="C107" s="698"/>
      <c r="D107" s="752" t="s">
        <v>668</v>
      </c>
      <c r="E107" s="710"/>
      <c r="F107" s="710"/>
      <c r="G107" s="710"/>
      <c r="H107" s="710"/>
      <c r="I107" s="710"/>
      <c r="J107" s="756" t="s">
        <v>669</v>
      </c>
      <c r="K107" s="756" t="s">
        <v>668</v>
      </c>
      <c r="L107" s="710"/>
      <c r="M107" s="756" t="s">
        <v>669</v>
      </c>
      <c r="N107" s="710"/>
      <c r="O107" s="20" t="s">
        <v>669</v>
      </c>
      <c r="P107" s="22" t="s">
        <v>669</v>
      </c>
      <c r="Q107" s="710"/>
      <c r="R107" s="710"/>
      <c r="S107" s="756" t="s">
        <v>668</v>
      </c>
      <c r="T107" s="756" t="s">
        <v>668</v>
      </c>
      <c r="U107" s="756" t="s">
        <v>669</v>
      </c>
      <c r="V107" s="22" t="s">
        <v>669</v>
      </c>
      <c r="W107" s="983"/>
      <c r="X107" s="45"/>
      <c r="Y107" s="45"/>
      <c r="Z107" s="45"/>
      <c r="AA107" s="45"/>
      <c r="AB107" s="45"/>
      <c r="AC107" s="45"/>
      <c r="AD107" s="45"/>
      <c r="AE107" s="45"/>
      <c r="AF107" s="45"/>
      <c r="AG107" s="45"/>
      <c r="AH107" s="45"/>
      <c r="AI107" s="756" t="s">
        <v>669</v>
      </c>
      <c r="AJ107" s="45"/>
      <c r="AK107" s="45"/>
      <c r="AL107" s="45"/>
      <c r="AM107" s="45"/>
      <c r="AN107" s="45"/>
      <c r="AO107" s="45"/>
      <c r="AP107" s="45"/>
      <c r="AQ107" s="45"/>
      <c r="AR107" s="756" t="s">
        <v>669</v>
      </c>
      <c r="AS107" s="756" t="s">
        <v>669</v>
      </c>
    </row>
    <row r="108" spans="2:45" s="238" customFormat="1" ht="11" thickBot="1" x14ac:dyDescent="0.3">
      <c r="B108" s="711" t="s">
        <v>713</v>
      </c>
      <c r="C108" s="712" t="s">
        <v>538</v>
      </c>
      <c r="D108" s="757">
        <f>D103*66%*4%</f>
        <v>4.8390143999999999</v>
      </c>
      <c r="E108" s="713"/>
      <c r="F108" s="713"/>
      <c r="G108" s="713"/>
      <c r="H108" s="713"/>
      <c r="I108" s="713"/>
      <c r="J108" s="757">
        <f>J103*50%*4%</f>
        <v>5.206900000000001</v>
      </c>
      <c r="K108" s="757">
        <f>K103*66%*4%</f>
        <v>4.8024108000000005</v>
      </c>
      <c r="L108" s="713"/>
      <c r="M108" s="757">
        <f>M103*50%*4%</f>
        <v>3.722245</v>
      </c>
      <c r="N108" s="713"/>
      <c r="O108" s="775">
        <f>O103*50%*4%</f>
        <v>3.8532119999999996</v>
      </c>
      <c r="P108" s="714">
        <f>P103*50%*4%</f>
        <v>5.1478000000000002</v>
      </c>
      <c r="Q108" s="713"/>
      <c r="R108" s="713"/>
      <c r="S108" s="757">
        <f>S103*66%*4%</f>
        <v>7.8206040000000012</v>
      </c>
      <c r="T108" s="757">
        <f>T103*66%*4%</f>
        <v>8.6790000000000003</v>
      </c>
      <c r="U108" s="757">
        <f>U103*50%*4%</f>
        <v>6.5750000000000002</v>
      </c>
      <c r="V108" s="714">
        <f>V103*50%*4%</f>
        <v>7.6487684005000007</v>
      </c>
      <c r="W108" s="984"/>
      <c r="X108" s="490"/>
      <c r="Y108" s="490"/>
      <c r="Z108" s="490"/>
      <c r="AA108" s="490"/>
      <c r="AB108" s="490"/>
      <c r="AC108" s="490"/>
      <c r="AD108" s="490"/>
      <c r="AE108" s="490"/>
      <c r="AF108" s="490"/>
      <c r="AG108" s="490"/>
      <c r="AH108" s="490"/>
      <c r="AI108" s="757">
        <f>AI103*50%*4%</f>
        <v>74</v>
      </c>
      <c r="AJ108" s="490"/>
      <c r="AK108" s="490"/>
      <c r="AL108" s="490"/>
      <c r="AM108" s="490"/>
      <c r="AN108" s="490"/>
      <c r="AO108" s="490"/>
      <c r="AP108" s="490"/>
      <c r="AQ108" s="490"/>
      <c r="AR108" s="757">
        <f>AR103*50%*4%</f>
        <v>125.2</v>
      </c>
      <c r="AS108" s="757">
        <f>AS103*50%*4%</f>
        <v>199.08209242443354</v>
      </c>
    </row>
    <row r="109" spans="2:45" s="238" customFormat="1" x14ac:dyDescent="0.25"/>
    <row r="110" spans="2:45" s="238" customFormat="1" x14ac:dyDescent="0.25"/>
    <row r="111" spans="2:45" s="238" customFormat="1" x14ac:dyDescent="0.25"/>
    <row r="112" spans="2:45" s="238" customFormat="1" x14ac:dyDescent="0.25"/>
    <row r="113" s="238" customFormat="1" x14ac:dyDescent="0.25"/>
    <row r="114" s="238" customFormat="1" x14ac:dyDescent="0.25"/>
    <row r="115" s="238" customFormat="1" x14ac:dyDescent="0.25"/>
    <row r="116" s="238" customFormat="1" x14ac:dyDescent="0.25"/>
    <row r="117" s="238" customFormat="1" x14ac:dyDescent="0.25"/>
    <row r="118" s="238" customFormat="1" x14ac:dyDescent="0.25"/>
    <row r="119" s="238" customFormat="1" x14ac:dyDescent="0.25"/>
    <row r="120" s="238" customFormat="1" x14ac:dyDescent="0.25"/>
    <row r="121" s="238" customFormat="1" x14ac:dyDescent="0.25"/>
    <row r="122" s="238" customFormat="1" x14ac:dyDescent="0.25"/>
    <row r="123" s="238" customFormat="1" x14ac:dyDescent="0.25"/>
    <row r="124" s="238" customFormat="1" x14ac:dyDescent="0.25"/>
    <row r="125" s="238" customFormat="1" x14ac:dyDescent="0.25"/>
    <row r="126" s="238" customFormat="1" x14ac:dyDescent="0.25"/>
    <row r="127" s="238" customFormat="1" x14ac:dyDescent="0.25"/>
    <row r="128" s="238" customFormat="1" x14ac:dyDescent="0.25"/>
    <row r="129" s="238" customFormat="1" x14ac:dyDescent="0.25"/>
    <row r="130" s="238" customFormat="1" x14ac:dyDescent="0.25"/>
    <row r="131" s="238" customFormat="1" x14ac:dyDescent="0.25"/>
    <row r="132" s="238" customFormat="1" x14ac:dyDescent="0.25"/>
    <row r="133" s="238" customFormat="1" x14ac:dyDescent="0.25"/>
    <row r="134" s="238" customFormat="1" x14ac:dyDescent="0.25"/>
    <row r="135" s="238" customFormat="1" x14ac:dyDescent="0.25"/>
    <row r="136" s="238" customFormat="1" x14ac:dyDescent="0.25"/>
    <row r="137" s="238" customFormat="1" x14ac:dyDescent="0.25"/>
    <row r="138" s="238" customFormat="1" x14ac:dyDescent="0.25"/>
    <row r="139" s="238" customFormat="1" x14ac:dyDescent="0.25"/>
    <row r="140" s="238" customFormat="1" x14ac:dyDescent="0.25"/>
    <row r="141" s="238" customFormat="1" x14ac:dyDescent="0.25"/>
    <row r="142" s="238" customFormat="1" x14ac:dyDescent="0.25"/>
    <row r="143" s="238" customFormat="1" x14ac:dyDescent="0.25"/>
    <row r="144" s="238" customFormat="1" x14ac:dyDescent="0.25"/>
    <row r="145" s="238" customFormat="1" x14ac:dyDescent="0.25"/>
    <row r="146" s="238" customFormat="1" x14ac:dyDescent="0.25"/>
    <row r="147" s="238" customFormat="1" x14ac:dyDescent="0.25"/>
    <row r="148" s="238" customForma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D7E24-8437-4DEB-90D4-3653BB06A90F}">
  <dimension ref="A1:BB134"/>
  <sheetViews>
    <sheetView showGridLines="0" showRowColHeaders="0" zoomScaleNormal="100" workbookViewId="0"/>
  </sheetViews>
  <sheetFormatPr defaultColWidth="8.81640625" defaultRowHeight="10.5" x14ac:dyDescent="0.25"/>
  <cols>
    <col min="1" max="1" width="2.453125" style="235" customWidth="1"/>
    <col min="2" max="2" width="36.453125" style="2" customWidth="1"/>
    <col min="3" max="3" width="18.54296875" style="180" customWidth="1"/>
    <col min="4" max="4" width="14.81640625" style="233" customWidth="1"/>
    <col min="5" max="5" width="14.81640625" style="181" customWidth="1"/>
    <col min="6" max="6" width="15.1796875" style="180" customWidth="1"/>
    <col min="7" max="7" width="14.81640625" style="234" customWidth="1"/>
    <col min="8" max="8" width="15.1796875" style="180" customWidth="1"/>
    <col min="9" max="9" width="14.81640625" style="234" customWidth="1"/>
    <col min="10" max="10" width="15.1796875" style="180" customWidth="1"/>
    <col min="11" max="11" width="14.81640625" style="234" customWidth="1"/>
    <col min="12" max="12" width="15.1796875" style="180" customWidth="1"/>
    <col min="13" max="13" width="14.81640625" style="234" customWidth="1"/>
    <col min="14" max="14" width="15.1796875" style="180" customWidth="1"/>
    <col min="15" max="15" width="14.81640625" style="234" customWidth="1"/>
    <col min="16" max="16" width="160.54296875" style="235" customWidth="1"/>
    <col min="17" max="17" width="8.81640625" style="235"/>
    <col min="18" max="18" width="8.81640625" style="299"/>
    <col min="19" max="33" width="8.81640625" style="235"/>
    <col min="34" max="16384" width="8.81640625" style="2"/>
  </cols>
  <sheetData>
    <row r="1" spans="1:54" ht="11" thickBot="1" x14ac:dyDescent="0.3">
      <c r="B1" s="235"/>
      <c r="C1" s="235"/>
      <c r="D1" s="235"/>
      <c r="E1" s="235"/>
      <c r="F1" s="235"/>
      <c r="G1" s="235"/>
      <c r="H1" s="235"/>
      <c r="I1" s="235"/>
      <c r="J1" s="235"/>
      <c r="K1" s="235"/>
      <c r="L1" s="235"/>
      <c r="M1" s="235"/>
      <c r="N1" s="235"/>
      <c r="O1" s="235"/>
      <c r="R1" s="267"/>
      <c r="S1" s="2"/>
      <c r="T1" s="2"/>
      <c r="U1" s="2"/>
      <c r="V1" s="2"/>
      <c r="W1" s="2"/>
      <c r="X1" s="2"/>
      <c r="Y1" s="2"/>
      <c r="Z1" s="2"/>
      <c r="AA1" s="2"/>
      <c r="AB1" s="2"/>
      <c r="AC1" s="2"/>
      <c r="AD1" s="2"/>
      <c r="AE1" s="2"/>
      <c r="AF1" s="2"/>
      <c r="AG1" s="2"/>
    </row>
    <row r="2" spans="1:54" s="1234" customFormat="1" ht="30" customHeight="1" x14ac:dyDescent="0.25">
      <c r="A2" s="239"/>
      <c r="B2" s="1366" t="s">
        <v>49</v>
      </c>
      <c r="C2" s="1399" t="s">
        <v>50</v>
      </c>
      <c r="D2" s="1399" t="s">
        <v>51</v>
      </c>
      <c r="E2" s="1447" t="s">
        <v>52</v>
      </c>
      <c r="F2" s="1447"/>
      <c r="G2" s="1447"/>
      <c r="H2" s="1448"/>
      <c r="I2" s="239"/>
      <c r="J2" s="239"/>
      <c r="K2" s="239"/>
      <c r="L2" s="239"/>
      <c r="M2" s="239"/>
      <c r="N2" s="239"/>
      <c r="O2" s="239"/>
      <c r="P2" s="239"/>
      <c r="Q2" s="239"/>
      <c r="R2" s="1259"/>
    </row>
    <row r="3" spans="1:54" ht="58" customHeight="1" x14ac:dyDescent="0.25">
      <c r="B3" s="1359" t="s">
        <v>53</v>
      </c>
      <c r="C3" s="1427" t="s">
        <v>54</v>
      </c>
      <c r="D3" s="1427">
        <v>0.3</v>
      </c>
      <c r="E3" s="1449" t="str" cm="1">
        <f t="array" ref="E3">_xlfn.IFS(C3=Lists!B3,Lists!C3,C3=Lists!B4,Lists!C4,C3=Lists!B5,Lists!C5,C3=Lists!B6,Lists!C6)</f>
        <v>The average proportional agri-environment payment rates provided to conventional and organic farms base on data from Moakes et al. (2015).</v>
      </c>
      <c r="F3" s="1449"/>
      <c r="G3" s="1449"/>
      <c r="H3" s="1450"/>
      <c r="I3" s="235"/>
      <c r="J3" s="235"/>
      <c r="K3" s="235"/>
      <c r="L3" s="235"/>
      <c r="M3" s="235"/>
      <c r="N3" s="235"/>
      <c r="O3" s="235"/>
      <c r="R3" s="267"/>
      <c r="S3" s="2"/>
      <c r="T3" s="2"/>
      <c r="U3" s="2"/>
      <c r="V3" s="2"/>
      <c r="W3" s="2"/>
      <c r="X3" s="2"/>
      <c r="Y3" s="2"/>
      <c r="Z3" s="2"/>
      <c r="AA3" s="2"/>
      <c r="AB3" s="2"/>
      <c r="AC3" s="2"/>
      <c r="AD3" s="2"/>
      <c r="AE3" s="2"/>
      <c r="AF3" s="2"/>
      <c r="AG3" s="2"/>
    </row>
    <row r="4" spans="1:54" ht="58" customHeight="1" x14ac:dyDescent="0.25">
      <c r="B4" s="1359" t="s">
        <v>55</v>
      </c>
      <c r="C4" s="1427" t="s">
        <v>56</v>
      </c>
      <c r="D4" s="1427">
        <v>0.2</v>
      </c>
      <c r="E4" s="1449" t="str" cm="1">
        <f t="array" ref="E4">_xlfn.IFS(C4=Lists!D3,Lists!E3,C4=Lists!D4,Lists!E4,C4=Lists!D5,Lists!E5)</f>
        <v>Outputs from the agroecological and conventional farms sold at current conventional market price.</v>
      </c>
      <c r="F4" s="1449"/>
      <c r="G4" s="1449"/>
      <c r="H4" s="1450"/>
      <c r="I4" s="235"/>
      <c r="J4" s="235"/>
      <c r="K4" s="235"/>
      <c r="L4" s="235"/>
      <c r="M4" s="235"/>
      <c r="N4" s="235"/>
      <c r="O4" s="235"/>
      <c r="R4" s="267"/>
      <c r="S4" s="2"/>
      <c r="T4" s="2"/>
      <c r="U4" s="2"/>
      <c r="V4" s="2"/>
      <c r="W4" s="2"/>
      <c r="X4" s="2"/>
      <c r="Y4" s="2"/>
      <c r="Z4" s="2"/>
      <c r="AA4" s="2"/>
      <c r="AB4" s="2"/>
      <c r="AC4" s="2"/>
      <c r="AD4" s="2"/>
      <c r="AE4" s="2"/>
      <c r="AF4" s="2"/>
      <c r="AG4" s="2"/>
    </row>
    <row r="5" spans="1:54" ht="58" customHeight="1" x14ac:dyDescent="0.25">
      <c r="B5" s="1359" t="s">
        <v>57</v>
      </c>
      <c r="C5" s="1427" t="s">
        <v>913</v>
      </c>
      <c r="D5" s="1427">
        <v>-0.3</v>
      </c>
      <c r="E5" s="1449" t="str" cm="1">
        <f t="array" ref="E5">_xlfn.IFS(C5=Lists!F3,Lists!G3,C5=Lists!F4,Lists!G4,C5=Lists!F5,Lists!G5,C5=Lists!F6,Lists!G6)</f>
        <v>Fixed costs for the agroecological farm types are set at 10% lower than those reported for conventional farms in the FBS.</v>
      </c>
      <c r="F5" s="1449"/>
      <c r="G5" s="1449"/>
      <c r="H5" s="1450"/>
      <c r="I5" s="235"/>
      <c r="J5" s="235"/>
      <c r="K5" s="235"/>
      <c r="L5" s="235"/>
      <c r="M5" s="235"/>
      <c r="N5" s="235"/>
      <c r="O5" s="235"/>
      <c r="R5" s="267"/>
      <c r="S5" s="2"/>
      <c r="T5" s="2"/>
      <c r="U5" s="2"/>
      <c r="V5" s="2"/>
      <c r="W5" s="2"/>
      <c r="X5" s="2"/>
      <c r="Y5" s="2"/>
      <c r="Z5" s="2"/>
      <c r="AA5" s="2"/>
      <c r="AB5" s="2"/>
      <c r="AC5" s="2"/>
      <c r="AD5" s="2"/>
      <c r="AE5" s="2"/>
      <c r="AF5" s="2"/>
      <c r="AG5" s="2"/>
    </row>
    <row r="6" spans="1:54" ht="58" customHeight="1" x14ac:dyDescent="0.25">
      <c r="B6" s="1359" t="s">
        <v>59</v>
      </c>
      <c r="C6" s="1427" t="s">
        <v>989</v>
      </c>
      <c r="D6" s="1427">
        <v>2</v>
      </c>
      <c r="E6" s="1449" t="str" cm="1">
        <f t="array" ref="E6">_xlfn.IFS(C6=Lists!H3,Lists!I3,C6=Lists!H4,Lists!I4,C6=Lists!H5,Lists!I5,C6=Lists!H6,Lists!I6)</f>
        <v>Nitrogen price modelled at 100% higher than the rates reported in the FBS.</v>
      </c>
      <c r="F6" s="1449"/>
      <c r="G6" s="1449"/>
      <c r="H6" s="1450"/>
      <c r="I6" s="235"/>
      <c r="J6" s="235"/>
      <c r="K6" s="235"/>
      <c r="L6" s="235"/>
      <c r="M6" s="235"/>
      <c r="N6" s="235"/>
      <c r="O6" s="235"/>
      <c r="R6" s="267"/>
      <c r="S6" s="2"/>
      <c r="T6" s="2"/>
      <c r="U6" s="2"/>
      <c r="V6" s="2"/>
      <c r="W6" s="2"/>
      <c r="X6" s="2"/>
      <c r="Y6" s="2"/>
      <c r="Z6" s="2"/>
      <c r="AA6" s="2"/>
      <c r="AB6" s="2"/>
      <c r="AC6" s="2"/>
      <c r="AD6" s="2"/>
      <c r="AE6" s="2"/>
      <c r="AF6" s="2"/>
      <c r="AG6" s="2"/>
    </row>
    <row r="7" spans="1:54" ht="58" customHeight="1" thickBot="1" x14ac:dyDescent="0.3">
      <c r="B7" s="1360" t="s">
        <v>61</v>
      </c>
      <c r="C7" s="1428" t="s">
        <v>900</v>
      </c>
      <c r="D7" s="1429">
        <v>25</v>
      </c>
      <c r="E7" s="1434" t="str" cm="1">
        <f t="array" ref="E7">_xlfn.IFS(C7=Lists!J3,Lists!K3,C7=Lists!J4,Lists!K4,C7=Lists!J5,Lists!K5,C7=Lists!J6,Lists!K6)</f>
        <v>No payment is provided to the farm types for any carbon sequestered.</v>
      </c>
      <c r="F7" s="1435"/>
      <c r="G7" s="1435"/>
      <c r="H7" s="1436"/>
      <c r="I7" s="235"/>
      <c r="J7" s="235"/>
      <c r="K7" s="235"/>
      <c r="L7" s="235"/>
      <c r="M7" s="235"/>
      <c r="N7" s="235"/>
      <c r="O7" s="235"/>
      <c r="R7" s="267"/>
      <c r="S7" s="2"/>
      <c r="T7" s="2"/>
      <c r="U7" s="2"/>
      <c r="V7" s="2"/>
      <c r="W7" s="2"/>
      <c r="X7" s="2"/>
      <c r="Y7" s="2"/>
      <c r="Z7" s="2"/>
      <c r="AA7" s="2"/>
      <c r="AB7" s="2"/>
      <c r="AC7" s="2"/>
      <c r="AD7" s="2"/>
      <c r="AE7" s="2"/>
      <c r="AF7" s="2"/>
      <c r="AG7" s="2"/>
    </row>
    <row r="8" spans="1:54" x14ac:dyDescent="0.25">
      <c r="B8" s="235"/>
      <c r="C8" s="235"/>
      <c r="D8" s="235"/>
      <c r="E8" s="235"/>
      <c r="F8" s="235"/>
      <c r="G8" s="235"/>
      <c r="H8" s="235"/>
      <c r="I8" s="235"/>
      <c r="J8" s="235"/>
      <c r="K8" s="235"/>
      <c r="L8" s="235"/>
      <c r="M8" s="235"/>
      <c r="N8" s="235"/>
      <c r="O8" s="235"/>
      <c r="R8" s="267"/>
      <c r="S8" s="2"/>
      <c r="T8" s="2"/>
      <c r="U8" s="2"/>
      <c r="V8" s="2"/>
      <c r="W8" s="2"/>
      <c r="X8" s="2"/>
      <c r="Y8" s="2"/>
      <c r="Z8" s="2"/>
      <c r="AA8" s="2"/>
      <c r="AB8" s="2"/>
      <c r="AC8" s="2"/>
      <c r="AD8" s="2"/>
      <c r="AE8" s="2"/>
      <c r="AF8" s="2"/>
      <c r="AG8" s="2"/>
    </row>
    <row r="9" spans="1:54" s="235" customFormat="1" ht="11" thickBot="1" x14ac:dyDescent="0.3">
      <c r="R9" s="267"/>
      <c r="S9" s="2"/>
      <c r="T9" s="2"/>
      <c r="U9" s="2"/>
      <c r="V9" s="2"/>
      <c r="W9" s="2"/>
      <c r="X9" s="2"/>
      <c r="Y9" s="2"/>
      <c r="Z9" s="2"/>
      <c r="AA9" s="2"/>
      <c r="AB9" s="2"/>
      <c r="AC9" s="2"/>
      <c r="AD9" s="2"/>
      <c r="AE9" s="2"/>
      <c r="AF9" s="2"/>
      <c r="AG9" s="2"/>
      <c r="AH9" s="2"/>
      <c r="AI9" s="2"/>
      <c r="AJ9" s="2"/>
      <c r="AK9" s="2"/>
      <c r="AL9" s="2"/>
      <c r="AM9" s="2"/>
      <c r="AN9" s="2"/>
      <c r="AO9" s="2"/>
      <c r="AP9" s="2"/>
    </row>
    <row r="10" spans="1:54" s="8" customFormat="1" ht="16.399999999999999" customHeight="1" x14ac:dyDescent="0.25">
      <c r="A10" s="235"/>
      <c r="B10" s="182"/>
      <c r="C10" s="1441" t="s">
        <v>63</v>
      </c>
      <c r="D10" s="1442"/>
      <c r="E10" s="1443"/>
      <c r="F10" s="1437" t="s">
        <v>64</v>
      </c>
      <c r="G10" s="1438"/>
      <c r="H10" s="1437" t="s">
        <v>65</v>
      </c>
      <c r="I10" s="1438"/>
      <c r="J10" s="1437" t="s">
        <v>66</v>
      </c>
      <c r="K10" s="1438"/>
      <c r="L10" s="1437" t="s">
        <v>67</v>
      </c>
      <c r="M10" s="1438"/>
      <c r="N10" s="1437" t="s">
        <v>68</v>
      </c>
      <c r="O10" s="1438"/>
      <c r="P10" s="1385" t="s">
        <v>69</v>
      </c>
      <c r="Q10" s="236"/>
      <c r="R10" s="658"/>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row>
    <row r="11" spans="1:54" s="188" customFormat="1" ht="51" customHeight="1" x14ac:dyDescent="0.35">
      <c r="A11" s="236"/>
      <c r="B11" s="183" t="s">
        <v>70</v>
      </c>
      <c r="C11" s="184" t="s">
        <v>71</v>
      </c>
      <c r="D11" s="185" t="s">
        <v>72</v>
      </c>
      <c r="E11" s="186" t="s">
        <v>73</v>
      </c>
      <c r="F11" s="184" t="s">
        <v>71</v>
      </c>
      <c r="G11" s="187" t="s">
        <v>75</v>
      </c>
      <c r="H11" s="184" t="s">
        <v>71</v>
      </c>
      <c r="I11" s="187" t="s">
        <v>75</v>
      </c>
      <c r="J11" s="184" t="s">
        <v>71</v>
      </c>
      <c r="K11" s="187" t="s">
        <v>75</v>
      </c>
      <c r="L11" s="184" t="s">
        <v>71</v>
      </c>
      <c r="M11" s="187" t="s">
        <v>75</v>
      </c>
      <c r="N11" s="184" t="s">
        <v>71</v>
      </c>
      <c r="O11" s="187" t="s">
        <v>75</v>
      </c>
      <c r="P11" s="1386"/>
      <c r="Q11" s="236"/>
      <c r="R11" s="1218"/>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row>
    <row r="12" spans="1:54" s="192" customFormat="1" ht="11" thickBot="1" x14ac:dyDescent="0.3">
      <c r="A12" s="237"/>
      <c r="B12" s="189" t="s">
        <v>76</v>
      </c>
      <c r="C12" s="1420">
        <v>175</v>
      </c>
      <c r="D12" s="1421">
        <v>175</v>
      </c>
      <c r="E12" s="1422">
        <v>175</v>
      </c>
      <c r="F12" s="1420">
        <v>26</v>
      </c>
      <c r="G12" s="1422">
        <v>26</v>
      </c>
      <c r="H12" s="1420">
        <v>147</v>
      </c>
      <c r="I12" s="1422">
        <v>147</v>
      </c>
      <c r="J12" s="1420">
        <v>84</v>
      </c>
      <c r="K12" s="1422">
        <v>84</v>
      </c>
      <c r="L12" s="1420">
        <v>170</v>
      </c>
      <c r="M12" s="1422">
        <v>170</v>
      </c>
      <c r="N12" s="1420">
        <v>92</v>
      </c>
      <c r="O12" s="1422">
        <v>92</v>
      </c>
      <c r="P12" s="1394" t="s">
        <v>77</v>
      </c>
      <c r="Q12" s="237"/>
      <c r="R12" s="267"/>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1"/>
    </row>
    <row r="13" spans="1:54" s="198" customFormat="1" ht="21" x14ac:dyDescent="0.25">
      <c r="A13" s="235"/>
      <c r="B13" s="193" t="s">
        <v>78</v>
      </c>
      <c r="C13" s="194"/>
      <c r="D13" s="195"/>
      <c r="E13" s="196"/>
      <c r="F13" s="194"/>
      <c r="G13" s="196"/>
      <c r="H13" s="194"/>
      <c r="I13" s="196"/>
      <c r="J13" s="194"/>
      <c r="K13" s="196"/>
      <c r="L13" s="194"/>
      <c r="M13" s="196"/>
      <c r="N13" s="1342"/>
      <c r="O13" s="196"/>
      <c r="P13" s="1387"/>
      <c r="Q13" s="235"/>
      <c r="R13" s="267"/>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197"/>
    </row>
    <row r="14" spans="1:54" s="202" customFormat="1" x14ac:dyDescent="0.25">
      <c r="A14" s="235"/>
      <c r="B14" s="199" t="s">
        <v>79</v>
      </c>
      <c r="C14" s="1408">
        <f>C12*15%</f>
        <v>26.25</v>
      </c>
      <c r="D14" s="1409">
        <v>52.33</v>
      </c>
      <c r="E14" s="1410">
        <f>78.5</f>
        <v>78.5</v>
      </c>
      <c r="F14" s="1408">
        <v>0</v>
      </c>
      <c r="G14" s="1410">
        <v>7</v>
      </c>
      <c r="H14" s="1408">
        <f>H12*0.6</f>
        <v>88.2</v>
      </c>
      <c r="I14" s="1410">
        <v>106</v>
      </c>
      <c r="J14" s="1408">
        <f>0.81*J12</f>
        <v>68.040000000000006</v>
      </c>
      <c r="K14" s="1410">
        <v>76</v>
      </c>
      <c r="L14" s="1408">
        <f>56%*L12</f>
        <v>95.2</v>
      </c>
      <c r="M14" s="1410">
        <v>34.5</v>
      </c>
      <c r="N14" s="1408">
        <f>0.45*N12</f>
        <v>41.4</v>
      </c>
      <c r="O14" s="1410">
        <f>0.23*(O12-O19)*SUM('Cropping allocation - baseline'!M89)+0.77*(O12-O19)*SUM('Cropping allocation - baseline'!M26)-2*SUM('Cropping allocation - baseline'!M26)</f>
        <v>29.50742142857143</v>
      </c>
      <c r="P14" s="1444" t="s">
        <v>80</v>
      </c>
      <c r="Q14" s="1350"/>
      <c r="R14" s="1439"/>
      <c r="S14" s="1440"/>
      <c r="T14" s="1440"/>
      <c r="U14" s="1440"/>
      <c r="V14" s="1440"/>
      <c r="W14" s="1440"/>
      <c r="X14" s="1440"/>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01"/>
    </row>
    <row r="15" spans="1:54" s="202" customFormat="1" ht="15" customHeight="1" x14ac:dyDescent="0.25">
      <c r="A15" s="235"/>
      <c r="B15" s="199" t="s">
        <v>81</v>
      </c>
      <c r="C15" s="1408">
        <f>C12*0%</f>
        <v>0</v>
      </c>
      <c r="D15" s="1409">
        <v>0</v>
      </c>
      <c r="E15" s="1410">
        <v>0</v>
      </c>
      <c r="F15" s="1408">
        <v>0</v>
      </c>
      <c r="G15" s="1410">
        <v>0</v>
      </c>
      <c r="H15" s="1408">
        <v>0</v>
      </c>
      <c r="I15" s="1410">
        <v>0</v>
      </c>
      <c r="J15" s="1408">
        <f>0.014*J12</f>
        <v>1.1759999999999999</v>
      </c>
      <c r="K15" s="1410">
        <v>0</v>
      </c>
      <c r="L15" s="1408">
        <f>25%*L12</f>
        <v>42.5</v>
      </c>
      <c r="M15" s="1410">
        <f>M12-SUM(M14,M16,M19)</f>
        <v>91.3</v>
      </c>
      <c r="N15" s="1408">
        <v>0</v>
      </c>
      <c r="O15" s="1410">
        <v>0</v>
      </c>
      <c r="P15" s="1445"/>
      <c r="Q15" s="235"/>
      <c r="R15" s="1439"/>
      <c r="S15" s="1440"/>
      <c r="T15" s="1440"/>
      <c r="U15" s="1440"/>
      <c r="V15" s="1440"/>
      <c r="W15" s="1440"/>
      <c r="X15" s="1440"/>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01"/>
    </row>
    <row r="16" spans="1:54" s="202" customFormat="1" ht="15" customHeight="1" x14ac:dyDescent="0.25">
      <c r="A16" s="235"/>
      <c r="B16" s="199" t="s">
        <v>82</v>
      </c>
      <c r="C16" s="203">
        <f>C12*0%</f>
        <v>0</v>
      </c>
      <c r="D16" s="1373">
        <v>0</v>
      </c>
      <c r="E16" s="1411">
        <v>0</v>
      </c>
      <c r="F16" s="203">
        <v>0</v>
      </c>
      <c r="G16" s="1411">
        <v>0</v>
      </c>
      <c r="H16" s="203">
        <v>0</v>
      </c>
      <c r="I16" s="1411">
        <v>0</v>
      </c>
      <c r="J16" s="928">
        <v>0</v>
      </c>
      <c r="K16" s="1411">
        <v>0</v>
      </c>
      <c r="L16" s="928">
        <f>16%*L12</f>
        <v>27.2</v>
      </c>
      <c r="M16" s="1412">
        <f>L16</f>
        <v>27.2</v>
      </c>
      <c r="N16" s="203">
        <v>0</v>
      </c>
      <c r="O16" s="1411">
        <v>0</v>
      </c>
      <c r="P16" s="1445"/>
      <c r="Q16" s="235"/>
      <c r="R16" s="1439"/>
      <c r="S16" s="1440"/>
      <c r="T16" s="1440"/>
      <c r="U16" s="1440"/>
      <c r="V16" s="1440"/>
      <c r="W16" s="1440"/>
      <c r="X16" s="1440"/>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01"/>
    </row>
    <row r="17" spans="1:54" s="202" customFormat="1" ht="15" customHeight="1" x14ac:dyDescent="0.25">
      <c r="A17" s="235"/>
      <c r="B17" s="199" t="s">
        <v>83</v>
      </c>
      <c r="C17" s="928">
        <f>C12*82%</f>
        <v>143.5</v>
      </c>
      <c r="D17" s="1413">
        <v>104.7</v>
      </c>
      <c r="E17" s="1412">
        <v>78</v>
      </c>
      <c r="F17" s="203">
        <v>25</v>
      </c>
      <c r="G17" s="1411">
        <v>17.5</v>
      </c>
      <c r="H17" s="928">
        <f>H12*0.3</f>
        <v>44.1</v>
      </c>
      <c r="I17" s="1411">
        <v>26</v>
      </c>
      <c r="J17" s="928">
        <f>0.15*J12</f>
        <v>12.6</v>
      </c>
      <c r="K17" s="1411">
        <v>0</v>
      </c>
      <c r="L17" s="928">
        <v>0</v>
      </c>
      <c r="M17" s="1411">
        <v>0</v>
      </c>
      <c r="N17" s="203">
        <f>0.5*N12</f>
        <v>46</v>
      </c>
      <c r="O17" s="1414">
        <f>0.23*(O12-O19)*SUM('Cropping allocation - baseline'!M90:M93)+0.77*(O12-O19)*SUM('Cropping allocation - baseline'!M5:M25)-2*SUM('Cropping allocation - baseline'!M5:M25)</f>
        <v>53.450278571428562</v>
      </c>
      <c r="P17" s="1445"/>
      <c r="Q17" s="235"/>
      <c r="R17" s="1439"/>
      <c r="S17" s="1440"/>
      <c r="T17" s="1440"/>
      <c r="U17" s="1440"/>
      <c r="V17" s="1440"/>
      <c r="W17" s="1440"/>
      <c r="X17" s="1440"/>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01"/>
    </row>
    <row r="18" spans="1:54" s="202" customFormat="1" ht="15" customHeight="1" x14ac:dyDescent="0.25">
      <c r="A18" s="235"/>
      <c r="B18" s="228" t="s">
        <v>84</v>
      </c>
      <c r="C18" s="1008">
        <v>0</v>
      </c>
      <c r="D18" s="1415">
        <v>0</v>
      </c>
      <c r="E18" s="1416">
        <v>0</v>
      </c>
      <c r="F18" s="1009">
        <v>0</v>
      </c>
      <c r="G18" s="1417">
        <v>0</v>
      </c>
      <c r="H18" s="1008">
        <v>0</v>
      </c>
      <c r="I18" s="1417">
        <v>0</v>
      </c>
      <c r="J18" s="1008">
        <v>0</v>
      </c>
      <c r="K18" s="1417">
        <v>0</v>
      </c>
      <c r="L18" s="1008">
        <v>0</v>
      </c>
      <c r="M18" s="1417">
        <v>0</v>
      </c>
      <c r="N18" s="1009">
        <v>0</v>
      </c>
      <c r="O18" s="1417">
        <v>2</v>
      </c>
      <c r="P18" s="1445"/>
      <c r="Q18" s="235"/>
      <c r="R18" s="1439"/>
      <c r="S18" s="1440"/>
      <c r="T18" s="1440"/>
      <c r="U18" s="1440"/>
      <c r="V18" s="1440"/>
      <c r="W18" s="1440"/>
      <c r="X18" s="1440"/>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01"/>
    </row>
    <row r="19" spans="1:54" s="202" customFormat="1" ht="15.75" customHeight="1" thickBot="1" x14ac:dyDescent="0.3">
      <c r="A19" s="235"/>
      <c r="B19" s="204" t="s">
        <v>85</v>
      </c>
      <c r="C19" s="927">
        <f>C12*3%</f>
        <v>5.25</v>
      </c>
      <c r="D19" s="1418">
        <v>17.5</v>
      </c>
      <c r="E19" s="916">
        <f>D19</f>
        <v>17.5</v>
      </c>
      <c r="F19" s="1378">
        <v>1</v>
      </c>
      <c r="G19" s="1419">
        <v>2.5</v>
      </c>
      <c r="H19" s="927">
        <f>H12*0.1</f>
        <v>14.700000000000001</v>
      </c>
      <c r="I19" s="916">
        <f>I12*10%</f>
        <v>14.700000000000001</v>
      </c>
      <c r="J19" s="927">
        <v>2.2999999999999998</v>
      </c>
      <c r="K19" s="1419">
        <v>8</v>
      </c>
      <c r="L19" s="927">
        <f>3%*L12</f>
        <v>5.0999999999999996</v>
      </c>
      <c r="M19" s="916">
        <f>M12*10%</f>
        <v>17</v>
      </c>
      <c r="N19" s="927">
        <f>0.05*N12</f>
        <v>4.6000000000000005</v>
      </c>
      <c r="O19" s="1419">
        <v>7</v>
      </c>
      <c r="P19" s="1446"/>
      <c r="Q19" s="235"/>
      <c r="R19" s="1439"/>
      <c r="S19" s="1440"/>
      <c r="T19" s="1440"/>
      <c r="U19" s="1440"/>
      <c r="V19" s="1440"/>
      <c r="W19" s="1440"/>
      <c r="X19" s="1440"/>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01"/>
    </row>
    <row r="20" spans="1:54" s="198" customFormat="1" x14ac:dyDescent="0.25">
      <c r="A20" s="235"/>
      <c r="B20" s="193" t="s">
        <v>86</v>
      </c>
      <c r="C20" s="205"/>
      <c r="D20" s="206"/>
      <c r="E20" s="207"/>
      <c r="F20" s="205"/>
      <c r="G20" s="207"/>
      <c r="H20" s="205"/>
      <c r="I20" s="207"/>
      <c r="J20" s="205"/>
      <c r="K20" s="207"/>
      <c r="L20" s="205"/>
      <c r="M20" s="942"/>
      <c r="N20" s="1343"/>
      <c r="O20" s="207"/>
      <c r="P20" s="1388"/>
      <c r="Q20" s="235"/>
      <c r="R20" s="267"/>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197"/>
    </row>
    <row r="21" spans="1:54" s="202" customFormat="1" x14ac:dyDescent="0.25">
      <c r="A21" s="235"/>
      <c r="B21" s="199" t="s">
        <v>87</v>
      </c>
      <c r="C21" s="208">
        <f>C17*'Cropping allocation - baseline'!F28</f>
        <v>178829.54851796073</v>
      </c>
      <c r="D21" s="638">
        <f>(D17+D14)*'Cropping allocation - baseline'!O28</f>
        <v>85646.756173315574</v>
      </c>
      <c r="E21" s="654">
        <f>(E17+E14)*'Cropping allocation - baseline'!O57</f>
        <v>64648.8499098549</v>
      </c>
      <c r="F21" s="943">
        <f>F17*'Cropping allocation - baseline'!F94</f>
        <v>47879.782170199105</v>
      </c>
      <c r="G21" s="920">
        <f>(G17+G14)*'Cropping allocation - baseline'!O94</f>
        <v>59868.731299999999</v>
      </c>
      <c r="H21" s="931">
        <f>H17*'Cropping allocation - baseline'!F28</f>
        <v>54957.37344698306</v>
      </c>
      <c r="I21" s="656">
        <f>I17*'Cropping allocation - baseline'!O70</f>
        <v>16811.3454787341</v>
      </c>
      <c r="J21" s="943">
        <f>J17*'Cropping allocation - baseline'!F28</f>
        <v>15702.106699138016</v>
      </c>
      <c r="K21" s="920">
        <v>0</v>
      </c>
      <c r="L21" s="943">
        <v>0</v>
      </c>
      <c r="M21" s="920">
        <v>0</v>
      </c>
      <c r="N21" s="1423">
        <f>N17*'Cropping allocation - baseline'!F94</f>
        <v>88098.799193166356</v>
      </c>
      <c r="O21" s="920">
        <f>(0.23*(O14+O17+O18)*'Cropping allocation - baseline'!O106)+0.77*(O14+O17-O18)*'Cropping allocation - baseline'!O28+(O18*'Cropping allocation - baseline'!O108)</f>
        <v>97820.08609684094</v>
      </c>
      <c r="P21" s="920" t="s">
        <v>88</v>
      </c>
      <c r="Q21" s="235"/>
      <c r="R21" s="267"/>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01"/>
    </row>
    <row r="22" spans="1:54" s="202" customFormat="1" x14ac:dyDescent="0.25">
      <c r="A22" s="235"/>
      <c r="B22" s="199" t="s">
        <v>89</v>
      </c>
      <c r="C22" s="209">
        <v>0</v>
      </c>
      <c r="D22" s="643">
        <v>0</v>
      </c>
      <c r="E22" s="655">
        <v>0</v>
      </c>
      <c r="F22" s="214">
        <v>0</v>
      </c>
      <c r="G22" s="653">
        <v>0</v>
      </c>
      <c r="H22" s="929">
        <v>0</v>
      </c>
      <c r="I22" s="655">
        <v>0</v>
      </c>
      <c r="J22" s="214">
        <v>0</v>
      </c>
      <c r="K22" s="653">
        <v>0</v>
      </c>
      <c r="L22" s="214">
        <f>(SUM(L14:L16))*'Livestock allocation - baseline'!G32</f>
        <v>89122.835595310375</v>
      </c>
      <c r="M22" s="653">
        <f>(M14+M15+M16)*'Livestock allocation - baseline'!AE32</f>
        <v>50923.244999999995</v>
      </c>
      <c r="N22" s="214">
        <v>0</v>
      </c>
      <c r="O22" s="653">
        <v>0</v>
      </c>
      <c r="P22" s="1389" t="s">
        <v>90</v>
      </c>
      <c r="Q22" s="235"/>
      <c r="R22" s="267"/>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01"/>
    </row>
    <row r="23" spans="1:54" s="202" customFormat="1" x14ac:dyDescent="0.25">
      <c r="A23" s="235"/>
      <c r="B23" s="199" t="s">
        <v>91</v>
      </c>
      <c r="C23" s="208">
        <f>C14*'Livestock allocation - baseline'!G18</f>
        <v>25118.247690155054</v>
      </c>
      <c r="D23" s="638">
        <v>0</v>
      </c>
      <c r="E23" s="656">
        <f>E14*'Livestock allocation - baseline'!AE18</f>
        <v>52615.264369416669</v>
      </c>
      <c r="F23" s="943">
        <v>0</v>
      </c>
      <c r="G23" s="920">
        <v>0</v>
      </c>
      <c r="H23" s="930">
        <v>0</v>
      </c>
      <c r="I23" s="656">
        <v>0</v>
      </c>
      <c r="J23" s="943">
        <f>(J14+J15)*'Livestock allocation - baseline'!G18</f>
        <v>66231.79550940085</v>
      </c>
      <c r="K23" s="920">
        <f>K14*'Livestock allocation - baseline'!AE18</f>
        <v>50939.619007333342</v>
      </c>
      <c r="L23" s="943">
        <v>0</v>
      </c>
      <c r="M23" s="920">
        <v>0</v>
      </c>
      <c r="N23" s="1423">
        <f>N14*'Livestock allocation - baseline'!G18</f>
        <v>39615.064928473112</v>
      </c>
      <c r="O23" s="920">
        <f>Dashboard!O14*'Livestock allocation - baseline'!AE55</f>
        <v>23137.561416408222</v>
      </c>
      <c r="P23" s="920" t="s">
        <v>92</v>
      </c>
      <c r="Q23" s="235"/>
      <c r="R23" s="267"/>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01"/>
    </row>
    <row r="24" spans="1:54" s="202" customFormat="1" x14ac:dyDescent="0.25">
      <c r="A24" s="235"/>
      <c r="B24" s="228" t="s">
        <v>93</v>
      </c>
      <c r="C24" s="1022">
        <v>0</v>
      </c>
      <c r="D24" s="1023">
        <v>0</v>
      </c>
      <c r="E24" s="1024">
        <v>0</v>
      </c>
      <c r="F24" s="1025">
        <v>0</v>
      </c>
      <c r="G24" s="1026">
        <v>0</v>
      </c>
      <c r="H24" s="1027">
        <v>0</v>
      </c>
      <c r="I24" s="1024">
        <v>0</v>
      </c>
      <c r="J24" s="1025">
        <v>0</v>
      </c>
      <c r="K24" s="1026">
        <v>0</v>
      </c>
      <c r="L24" s="1025">
        <v>0</v>
      </c>
      <c r="M24" s="1026">
        <v>0</v>
      </c>
      <c r="N24" s="1424">
        <v>0</v>
      </c>
      <c r="O24" s="1026">
        <f>3*'Livestock allocation - baseline'!AE57</f>
        <v>63073.5</v>
      </c>
      <c r="P24" s="1026"/>
      <c r="Q24" s="235"/>
      <c r="R24" s="267"/>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01"/>
    </row>
    <row r="25" spans="1:54" s="202" customFormat="1" ht="11" thickBot="1" x14ac:dyDescent="0.3">
      <c r="A25" s="235"/>
      <c r="B25" s="204" t="s">
        <v>65</v>
      </c>
      <c r="C25" s="210">
        <v>0</v>
      </c>
      <c r="D25" s="644">
        <v>0</v>
      </c>
      <c r="E25" s="657">
        <v>0</v>
      </c>
      <c r="F25" s="944">
        <v>0</v>
      </c>
      <c r="G25" s="922">
        <v>0</v>
      </c>
      <c r="H25" s="932">
        <f>H12*'Livestock allocation - baseline'!G45</f>
        <v>539055.83146008523</v>
      </c>
      <c r="I25" s="657">
        <f>I14*'Livestock allocation - baseline'!AE45</f>
        <v>237049.18740750002</v>
      </c>
      <c r="J25" s="944">
        <v>0</v>
      </c>
      <c r="K25" s="922">
        <v>0</v>
      </c>
      <c r="L25" s="944">
        <v>0</v>
      </c>
      <c r="M25" s="922">
        <v>0</v>
      </c>
      <c r="N25" s="944">
        <v>0</v>
      </c>
      <c r="O25" s="653">
        <v>0</v>
      </c>
      <c r="P25" s="1389" t="s">
        <v>94</v>
      </c>
      <c r="Q25" s="235"/>
      <c r="R25" s="267"/>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01"/>
    </row>
    <row r="26" spans="1:54" s="198" customFormat="1" x14ac:dyDescent="0.25">
      <c r="A26" s="235"/>
      <c r="B26" s="211" t="s">
        <v>95</v>
      </c>
      <c r="C26" s="205"/>
      <c r="D26" s="206"/>
      <c r="E26" s="207"/>
      <c r="F26" s="945"/>
      <c r="G26" s="946"/>
      <c r="H26" s="205"/>
      <c r="I26" s="207"/>
      <c r="J26" s="945"/>
      <c r="K26" s="946"/>
      <c r="L26" s="945"/>
      <c r="M26" s="946"/>
      <c r="N26" s="1344"/>
      <c r="O26" s="946"/>
      <c r="P26" s="1390"/>
      <c r="Q26" s="235"/>
      <c r="R26" s="267"/>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197"/>
    </row>
    <row r="27" spans="1:54" s="202" customFormat="1" x14ac:dyDescent="0.25">
      <c r="A27" s="235"/>
      <c r="B27" s="212" t="s">
        <v>83</v>
      </c>
      <c r="C27" s="213">
        <f>C17*'Cropping allocation - baseline'!H28</f>
        <v>84560.093229569218</v>
      </c>
      <c r="D27" s="642">
        <f>(D14+D17)*'Cropping allocation - baseline'!Q28</f>
        <v>20561.137295303572</v>
      </c>
      <c r="E27" s="642">
        <f>(E14+E17)*'Cropping allocation - baseline'!Q57</f>
        <v>21169.62014932969</v>
      </c>
      <c r="F27" s="213">
        <f>F17*'Cropping allocation - baseline'!H94</f>
        <v>27788.08301070191</v>
      </c>
      <c r="G27" s="651">
        <f>(G14+G17)*'Cropping allocation - baseline'!Q94</f>
        <v>48334.898499999996</v>
      </c>
      <c r="H27" s="934">
        <f>H17*'Cropping allocation - baseline'!H28</f>
        <v>25986.760358355419</v>
      </c>
      <c r="I27" s="651">
        <f>I17*'Cropping allocation - baseline'!Q70</f>
        <v>4052.0769900812493</v>
      </c>
      <c r="J27" s="213">
        <f>J17*'Cropping allocation - baseline'!H28</f>
        <v>7424.7886738158331</v>
      </c>
      <c r="K27" s="651">
        <v>0</v>
      </c>
      <c r="L27" s="213">
        <v>0</v>
      </c>
      <c r="M27" s="651">
        <v>0</v>
      </c>
      <c r="N27" s="213">
        <f>N17*'Cropping allocation - baseline'!H94</f>
        <v>51130.072739691517</v>
      </c>
      <c r="O27" s="651">
        <f>(0.23*(O14+O17+O18)*'Cropping allocation - baseline'!Q106)+0.77*(O14+O17-O18)*'Cropping allocation - baseline'!Q28+(O18*'Cropping allocation - baseline'!Q108)</f>
        <v>66663.637686133268</v>
      </c>
      <c r="P27" s="1391" t="s">
        <v>96</v>
      </c>
      <c r="Q27" s="235"/>
      <c r="R27" s="267"/>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01"/>
    </row>
    <row r="28" spans="1:54" s="202" customFormat="1" x14ac:dyDescent="0.25">
      <c r="A28" s="235"/>
      <c r="B28" s="212" t="s">
        <v>91</v>
      </c>
      <c r="C28" s="213">
        <f>C14*'Livestock allocation - baseline'!I18</f>
        <v>9974.9098549628761</v>
      </c>
      <c r="D28" s="640">
        <v>0</v>
      </c>
      <c r="E28" s="651">
        <f>E14*'Livestock allocation - baseline'!AG18</f>
        <v>20764.069785599415</v>
      </c>
      <c r="F28" s="213">
        <v>0</v>
      </c>
      <c r="G28" s="651">
        <v>0</v>
      </c>
      <c r="H28" s="934">
        <v>0</v>
      </c>
      <c r="I28" s="651">
        <v>0</v>
      </c>
      <c r="J28" s="213">
        <f>(J14+J15)*'Livestock allocation - baseline'!I18</f>
        <v>26301.842305566115</v>
      </c>
      <c r="K28" s="651">
        <f>K14*'Livestock allocation - baseline'!AG18</f>
        <v>20102.79367777778</v>
      </c>
      <c r="L28" s="213">
        <v>0</v>
      </c>
      <c r="M28" s="651">
        <v>0</v>
      </c>
      <c r="N28" s="213">
        <f>N14*'Livestock allocation - baseline'!I18</f>
        <v>15731.857828398593</v>
      </c>
      <c r="O28" s="651">
        <f>O14*'Livestock allocation - baseline'!AG55</f>
        <v>6335.2023981845241</v>
      </c>
      <c r="P28" s="1391" t="s">
        <v>97</v>
      </c>
      <c r="Q28" s="235"/>
      <c r="R28" s="267"/>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01"/>
    </row>
    <row r="29" spans="1:54" s="202" customFormat="1" x14ac:dyDescent="0.25">
      <c r="A29" s="235"/>
      <c r="B29" s="199" t="s">
        <v>89</v>
      </c>
      <c r="C29" s="214">
        <v>0</v>
      </c>
      <c r="D29" s="639">
        <v>0</v>
      </c>
      <c r="E29" s="649">
        <v>0</v>
      </c>
      <c r="F29" s="214">
        <v>0</v>
      </c>
      <c r="G29" s="653">
        <v>0</v>
      </c>
      <c r="H29" s="935">
        <v>0</v>
      </c>
      <c r="I29" s="653">
        <v>0</v>
      </c>
      <c r="J29" s="214">
        <v>0</v>
      </c>
      <c r="K29" s="653">
        <v>0</v>
      </c>
      <c r="L29" s="214">
        <f>(SUM(L14:L16)*'Livestock allocation - baseline'!I32)</f>
        <v>41619.232974915161</v>
      </c>
      <c r="M29" s="653">
        <f>SUM(M14:M16)*'Livestock allocation - baseline'!AG32</f>
        <v>25724.704099339539</v>
      </c>
      <c r="N29" s="214">
        <v>0</v>
      </c>
      <c r="O29" s="653">
        <v>0</v>
      </c>
      <c r="P29" s="1389" t="s">
        <v>98</v>
      </c>
      <c r="Q29" s="235"/>
      <c r="R29" s="267"/>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01"/>
    </row>
    <row r="30" spans="1:54" s="219" customFormat="1" x14ac:dyDescent="0.25">
      <c r="A30" s="238"/>
      <c r="B30" s="215" t="s">
        <v>65</v>
      </c>
      <c r="C30" s="216">
        <v>0</v>
      </c>
      <c r="D30" s="641">
        <v>0</v>
      </c>
      <c r="E30" s="650">
        <v>0</v>
      </c>
      <c r="F30" s="216">
        <v>0</v>
      </c>
      <c r="G30" s="921">
        <v>0</v>
      </c>
      <c r="H30" s="936">
        <f>H12*'Livestock allocation - baseline'!I45</f>
        <v>221856.55663080001</v>
      </c>
      <c r="I30" s="921">
        <f>(I14*'Livestock allocation - baseline'!AG45)</f>
        <v>66751.843748199768</v>
      </c>
      <c r="J30" s="216">
        <v>0</v>
      </c>
      <c r="K30" s="921">
        <v>0</v>
      </c>
      <c r="L30" s="216">
        <v>0</v>
      </c>
      <c r="M30" s="921">
        <v>0</v>
      </c>
      <c r="N30" s="214">
        <v>0</v>
      </c>
      <c r="O30" s="921">
        <v>0</v>
      </c>
      <c r="P30" s="1392" t="s">
        <v>99</v>
      </c>
      <c r="Q30" s="238"/>
      <c r="R30" s="267"/>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218"/>
    </row>
    <row r="31" spans="1:54" s="219" customFormat="1" x14ac:dyDescent="0.25">
      <c r="A31" s="238"/>
      <c r="B31" s="215" t="s">
        <v>93</v>
      </c>
      <c r="C31" s="216">
        <v>0</v>
      </c>
      <c r="D31" s="641">
        <v>0</v>
      </c>
      <c r="E31" s="650">
        <v>0</v>
      </c>
      <c r="F31" s="216">
        <v>0</v>
      </c>
      <c r="G31" s="921">
        <v>0</v>
      </c>
      <c r="H31" s="936">
        <v>0</v>
      </c>
      <c r="I31" s="921">
        <v>0</v>
      </c>
      <c r="J31" s="216">
        <v>0</v>
      </c>
      <c r="K31" s="921">
        <v>0</v>
      </c>
      <c r="L31" s="216">
        <v>0</v>
      </c>
      <c r="M31" s="921">
        <v>0</v>
      </c>
      <c r="N31" s="214">
        <v>0</v>
      </c>
      <c r="O31" s="921">
        <f>3*'Livestock allocation - baseline'!AG57</f>
        <v>24014.258986044148</v>
      </c>
      <c r="P31" s="1392"/>
      <c r="Q31" s="238"/>
      <c r="R31" s="1219"/>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218"/>
    </row>
    <row r="32" spans="1:54" s="202" customFormat="1" ht="11" thickBot="1" x14ac:dyDescent="0.3">
      <c r="A32" s="235"/>
      <c r="B32" s="199" t="s">
        <v>100</v>
      </c>
      <c r="C32" s="1307">
        <f>C14*Forage!O29</f>
        <v>10492.300722826087</v>
      </c>
      <c r="D32" s="1315">
        <v>0</v>
      </c>
      <c r="E32" s="650">
        <v>0</v>
      </c>
      <c r="F32" s="1307">
        <v>0</v>
      </c>
      <c r="G32" s="1308">
        <v>0</v>
      </c>
      <c r="H32" s="1316">
        <f>H14*Forage!I29</f>
        <v>41603.543739130437</v>
      </c>
      <c r="I32" s="1308">
        <f>(26*Forage!V29)+(80*Forage!T29)</f>
        <v>6212.7214434782609</v>
      </c>
      <c r="J32" s="1307">
        <f>J14*((Forage!G29*50%)+(Forage!O29*50%))</f>
        <v>23859.770162869569</v>
      </c>
      <c r="K32" s="1308">
        <f>K14*((Forage!T29*75%)+(Forage!S29*25%))</f>
        <v>3496.1343382608702</v>
      </c>
      <c r="L32" s="1307">
        <f>(L14*Forage!L29)+(Dashboard!L15*Forage!J29)+(Dashboard!L16*0)</f>
        <v>17757.086790724639</v>
      </c>
      <c r="M32" s="1308">
        <f>(M14*Forage!T29)+(Dashboard!M15*Forage!J29)+(Dashboard!M16*0)</f>
        <v>2091.9173100000003</v>
      </c>
      <c r="N32" s="1307">
        <v>0</v>
      </c>
      <c r="O32" s="653">
        <v>0</v>
      </c>
      <c r="P32" s="1389" t="s">
        <v>101</v>
      </c>
      <c r="Q32" s="235"/>
      <c r="R32" s="267"/>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01"/>
    </row>
    <row r="33" spans="1:54" s="222" customFormat="1" x14ac:dyDescent="0.25">
      <c r="A33" s="235"/>
      <c r="B33" s="220" t="s">
        <v>102</v>
      </c>
      <c r="C33" s="205"/>
      <c r="D33" s="206"/>
      <c r="E33" s="207"/>
      <c r="F33" s="945"/>
      <c r="G33" s="946"/>
      <c r="H33" s="205"/>
      <c r="I33" s="207"/>
      <c r="J33" s="945"/>
      <c r="K33" s="946"/>
      <c r="L33" s="945"/>
      <c r="M33" s="946"/>
      <c r="N33" s="1344"/>
      <c r="O33" s="946"/>
      <c r="P33" s="1390"/>
      <c r="Q33" s="235"/>
      <c r="R33" s="267"/>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21"/>
    </row>
    <row r="34" spans="1:54" s="202" customFormat="1" x14ac:dyDescent="0.25">
      <c r="A34" s="235"/>
      <c r="B34" s="223" t="s">
        <v>103</v>
      </c>
      <c r="C34" s="224">
        <f t="shared" ref="C34:N34" si="0">SUM(C21:C25)</f>
        <v>203947.79620811579</v>
      </c>
      <c r="D34" s="646">
        <f t="shared" si="0"/>
        <v>85646.756173315574</v>
      </c>
      <c r="E34" s="652">
        <f t="shared" si="0"/>
        <v>117264.11427927157</v>
      </c>
      <c r="F34" s="224">
        <f t="shared" si="0"/>
        <v>47879.782170199105</v>
      </c>
      <c r="G34" s="652">
        <f t="shared" si="0"/>
        <v>59868.731299999999</v>
      </c>
      <c r="H34" s="225">
        <f t="shared" si="0"/>
        <v>594013.20490706828</v>
      </c>
      <c r="I34" s="923">
        <f t="shared" si="0"/>
        <v>253860.53288623411</v>
      </c>
      <c r="J34" s="224">
        <f>SUM(J21:J25)</f>
        <v>81933.902208538871</v>
      </c>
      <c r="K34" s="652">
        <f>SUM(K21:K25)</f>
        <v>50939.619007333342</v>
      </c>
      <c r="L34" s="224">
        <f t="shared" si="0"/>
        <v>89122.835595310375</v>
      </c>
      <c r="M34" s="652">
        <f t="shared" si="0"/>
        <v>50923.244999999995</v>
      </c>
      <c r="N34" s="224">
        <f t="shared" si="0"/>
        <v>127713.86412163946</v>
      </c>
      <c r="O34" s="652">
        <f>SUM(O20:O24)</f>
        <v>184031.14751324916</v>
      </c>
      <c r="P34" s="1389" t="s">
        <v>104</v>
      </c>
      <c r="Q34" s="235"/>
      <c r="R34" s="267"/>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01"/>
    </row>
    <row r="35" spans="1:54" s="202" customFormat="1" x14ac:dyDescent="0.25">
      <c r="A35" s="235"/>
      <c r="B35" s="199" t="s">
        <v>105</v>
      </c>
      <c r="C35" s="214" cm="1">
        <f t="array" ref="C35">C12*(_xlfn.IFS($C$3="Current payment rate",'FBS Data'!C26,C3=Lists!B4,'FBS Data'!C17,C3=Lists!B5,'FBS Data'!C20,C3=Lists!B6,'FBS Data'!C26*(1+D3)))</f>
        <v>5600</v>
      </c>
      <c r="D35" s="643" cm="1">
        <f t="array" ref="D35">D12*(_xlfn.IFS($C$3="Current payment rate",'FBS Data'!D26,C3=Lists!B4,'FBS Data'!C16,C3=Lists!B5,'FBS Data'!C19,C3=Lists!B6,'FBS Data'!D26*(1+D3)))</f>
        <v>12372.093023255813</v>
      </c>
      <c r="E35" s="653">
        <f>D35</f>
        <v>12372.093023255813</v>
      </c>
      <c r="F35" s="214" cm="1">
        <f t="array" ref="F35">F12*(_xlfn.IFS($C$3="Current payment rate",'FBS Data'!E26,C3=Lists!B4,'FBS Data'!D17,C3=Lists!B5,'FBS Data'!D20,C3=Lists!B6,'FBS Data'!E26*(1+D3)))</f>
        <v>572</v>
      </c>
      <c r="G35" s="653" cm="1">
        <f t="array" ref="G35">F12*(_xlfn.IFS($C$3="Current payment rate",'FBS Data'!F26,C3=Lists!B4,'FBS Data'!D16,C3=Lists!B5,'FBS Data'!D19,C3=Lists!B6,'FBS Data'!F26*(1+D3)))</f>
        <v>1612</v>
      </c>
      <c r="H35" s="929" cm="1">
        <f t="array" ref="H35">H12*(_xlfn.IFS($C$3="Current payment rate",'FBS Data'!G26,C3=Lists!B4,'FBS Data'!D17,C3=Lists!B5,'FBS Data'!E20,C3=Lists!B6,'FBS Data'!G26*(1+D3)))</f>
        <v>4998</v>
      </c>
      <c r="I35" s="655" cm="1">
        <f t="array" ref="I35">I12*(_xlfn.IFS($C$3="Current payment rate",'FBS Data'!H26,C3=Lists!B4,'FBS Data'!D16,C3=Lists!B5,'FBS Data'!E19,C3=Lists!B6,'FBS Data'!H26*(1+D3)))</f>
        <v>10878</v>
      </c>
      <c r="J35" s="214" cm="1">
        <f t="array" ref="J35">J12*(_xlfn.IFS($C$3="Current payment rate",'FBS Data'!I26,C3=Lists!B4,'FBS Data'!D17,C3=Lists!B5,'FBS Data'!F20,C3=Lists!B6,'FBS Data'!I26*(1+D3)))</f>
        <v>4231.9509202453983</v>
      </c>
      <c r="K35" s="653" cm="1">
        <f t="array" ref="K35">K12*(_xlfn.IFS($C$3="Current payment rate",'FBS Data'!J26,C3=Lists!B4,'FBS Data'!D16,C3=Lists!B5,'FBS Data'!F19,C3=Lists!B6,'FBS Data'!J26*(1+D3)))</f>
        <v>11591.865564150441</v>
      </c>
      <c r="L35" s="214" cm="1">
        <f t="array" ref="L35">L12*(_xlfn.IFS($C$3="Current payment rate",'FBS Data'!K26,C3=Lists!B4,'FBS Data'!D17,C3=Lists!B5,'FBS Data'!G20,C3=Lists!B6,'FBS Data'!K26*(1+D3)))</f>
        <v>13094.917158101656</v>
      </c>
      <c r="M35" s="653" cm="1">
        <f t="array" ref="M35">M12*(_xlfn.IFS($C$3="Current payment rate",'FBS Data'!L26,C3=Lists!B4,'FBS Data'!D16,C3=Lists!B5,'FBS Data'!F19,C3=Lists!B6,'FBS Data'!L26*(1+D3)))</f>
        <v>18509.161752316762</v>
      </c>
      <c r="N35" s="214" cm="1">
        <f t="array" ref="N35">N12*(_xlfn.IFS($C$3="Current payment rate",'FBS Data'!M26,C3=Lists!B4,'FBS Data'!D17,C3=Lists!B5,'FBS Data'!G20,C3=Lists!B6,'FBS Data'!M26*(1+D3)))</f>
        <v>4508</v>
      </c>
      <c r="O35" s="653" cm="1">
        <f t="array" ref="O35">O12*(_xlfn.IFS($C$3="Current payment rate",'FBS Data'!N26,C3=Lists!B4,'FBS Data'!D16,C3=Lists!B5,'FBS Data'!G19,C3=Lists!B6,'FBS Data'!N26*(1+D3)))</f>
        <v>10856</v>
      </c>
      <c r="P35" s="1389" t="s">
        <v>106</v>
      </c>
      <c r="Q35" s="235"/>
      <c r="R35" s="267"/>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01"/>
    </row>
    <row r="36" spans="1:54" s="202" customFormat="1" x14ac:dyDescent="0.25">
      <c r="A36" s="235"/>
      <c r="B36" s="199" t="s">
        <v>107</v>
      </c>
      <c r="C36" s="214"/>
      <c r="D36" s="643">
        <f>150*D14</f>
        <v>7849.5</v>
      </c>
      <c r="E36" s="653">
        <v>0</v>
      </c>
      <c r="F36" s="214">
        <v>0</v>
      </c>
      <c r="G36" s="653">
        <f>150*G14</f>
        <v>1050</v>
      </c>
      <c r="H36" s="929">
        <v>0</v>
      </c>
      <c r="I36" s="655">
        <v>0</v>
      </c>
      <c r="J36" s="214">
        <v>0</v>
      </c>
      <c r="K36" s="653">
        <v>0</v>
      </c>
      <c r="L36" s="214">
        <v>0</v>
      </c>
      <c r="M36" s="653">
        <v>0</v>
      </c>
      <c r="N36" s="214">
        <v>0</v>
      </c>
      <c r="O36" s="921">
        <v>0</v>
      </c>
      <c r="P36" s="1392" t="s">
        <v>108</v>
      </c>
      <c r="Q36" s="235"/>
      <c r="R36" s="267"/>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01"/>
    </row>
    <row r="37" spans="1:54" s="202" customFormat="1" x14ac:dyDescent="0.25">
      <c r="A37" s="235"/>
      <c r="B37" s="199" t="s">
        <v>109</v>
      </c>
      <c r="C37" s="214">
        <f>Dashboard!C12*'FBS Data'!C5</f>
        <v>36925</v>
      </c>
      <c r="D37" s="643">
        <f>C37</f>
        <v>36925</v>
      </c>
      <c r="E37" s="653">
        <f>D37</f>
        <v>36925</v>
      </c>
      <c r="F37" s="214">
        <f>F12*'FBS Data'!D5</f>
        <v>5486</v>
      </c>
      <c r="G37" s="653">
        <f>G12*'FBS Data'!D5</f>
        <v>5486</v>
      </c>
      <c r="H37" s="929">
        <f>H12*'FBS Data'!E5</f>
        <v>34006.980000000003</v>
      </c>
      <c r="I37" s="655">
        <f>I12*'FBS Data'!E5</f>
        <v>34006.980000000003</v>
      </c>
      <c r="J37" s="214">
        <f>J12*'FBS Data'!F5</f>
        <v>18825.240000000002</v>
      </c>
      <c r="K37" s="653">
        <f>K12*'FBS Data'!F5</f>
        <v>18825.240000000002</v>
      </c>
      <c r="L37" s="214">
        <f>L12*'FBS Data'!G5</f>
        <v>27444.799999999999</v>
      </c>
      <c r="M37" s="653">
        <f>M12*'FBS Data'!G5</f>
        <v>27444.799999999999</v>
      </c>
      <c r="N37" s="214">
        <f>N12*'FBS Data'!H5</f>
        <v>21930.959999999999</v>
      </c>
      <c r="O37" s="653">
        <f>O12*'FBS Data'!H5</f>
        <v>21930.959999999999</v>
      </c>
      <c r="P37" s="1395" t="s">
        <v>110</v>
      </c>
      <c r="Q37" s="235"/>
      <c r="R37" s="267"/>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01"/>
    </row>
    <row r="38" spans="1:54" s="1306" customFormat="1" ht="11" thickBot="1" x14ac:dyDescent="0.3">
      <c r="A38" s="235"/>
      <c r="B38" s="1304" t="s">
        <v>111</v>
      </c>
      <c r="C38" s="1314" cm="1">
        <f t="array" ref="C38">_xlfn.IFS($C$7=Lists!$J$3,0,$C$7=Lists!$J$4,Carbon!C10,$C$7=Lists!$J$5,Carbon!C13)*$D$7</f>
        <v>0</v>
      </c>
      <c r="D38" s="1322" cm="1">
        <f t="array" ref="D38">_xlfn.IFS($C$7=Lists!$J$3,0,$C$7=Lists!$J$4,Carbon!D10,$C$7=Lists!$J$5,Carbon!D13)*$D$7</f>
        <v>0</v>
      </c>
      <c r="E38" s="1323" cm="1">
        <f t="array" ref="E38">_xlfn.IFS($C$7=Lists!$J$3,0,$C$7=Lists!$J$4,Carbon!E10,$C$7=Lists!$J$5,Carbon!E13)*$D$7</f>
        <v>0</v>
      </c>
      <c r="F38" s="1314" cm="1">
        <f t="array" ref="F38">_xlfn.IFS($C$7=Lists!$J$3,0,$C$7=Lists!$J$4,Carbon!F10,$C$7=Lists!$J$5,Carbon!F13)*$D$7</f>
        <v>0</v>
      </c>
      <c r="G38" s="1323" cm="1">
        <f t="array" ref="G38">_xlfn.IFS($C$7=Lists!$J$3,0,$C$7=Lists!$J$4,Carbon!G10,$C$7=Lists!$J$5,Carbon!G13)*$D$7</f>
        <v>0</v>
      </c>
      <c r="H38" s="1314" cm="1">
        <f t="array" ref="H38">_xlfn.IFS($C$7=Lists!$J$3,0,$C$7=Lists!$J$4,Carbon!H10,$C$7=Lists!$J$5,Carbon!H13)*$D$7</f>
        <v>0</v>
      </c>
      <c r="I38" s="1323" cm="1">
        <f t="array" ref="I38">_xlfn.IFS($C$7=Lists!$J$3,0,$C$7=Lists!$J$4,Carbon!I10,$C$7=Lists!$J$5,Carbon!I13)*$D$7</f>
        <v>0</v>
      </c>
      <c r="J38" s="1314" cm="1">
        <f t="array" ref="J38">_xlfn.IFS($C$7=Lists!$J$3,0,$C$7=Lists!$J$4,Carbon!J10,$C$7=Lists!$J$5,Carbon!J13)*$D$7</f>
        <v>0</v>
      </c>
      <c r="K38" s="1323" cm="1">
        <f t="array" ref="K38">_xlfn.IFS($C$7=Lists!$J$3,0,$C$7=Lists!$J$4,Carbon!K10,$C$7=Lists!$J$5,Carbon!K13)*$D$7</f>
        <v>0</v>
      </c>
      <c r="L38" s="1314" cm="1">
        <f t="array" ref="L38">_xlfn.IFS($C$7=Lists!$J$3,0,$C$7=Lists!$J$4,Carbon!L10,$C$7=Lists!$J$5,Carbon!L13)*$D$7</f>
        <v>0</v>
      </c>
      <c r="M38" s="1323" cm="1">
        <f t="array" ref="M38">_xlfn.IFS($C$7=Lists!$J$3,0,$C$7=Lists!$J$4,Carbon!M10,$C$7=Lists!$J$5,Carbon!M13)*$D$7</f>
        <v>0</v>
      </c>
      <c r="N38" s="1314" cm="1">
        <f t="array" ref="N38">_xlfn.IFS($C$7=Lists!$J$3,0,$C$7=Lists!$J$4,Carbon!N10,$C$7=Lists!$J$5,Carbon!N13)*$D$7</f>
        <v>0</v>
      </c>
      <c r="O38" s="1314" cm="1">
        <f t="array" ref="O38">_xlfn.IFS($C$7=Lists!$J$3,0,$C$7=Lists!$J$4,Carbon!O10,$C$7=Lists!$J$5,Carbon!O13)*$D$7</f>
        <v>0</v>
      </c>
      <c r="P38" s="1393"/>
      <c r="Q38" s="235"/>
      <c r="R38" s="267"/>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1305"/>
    </row>
    <row r="39" spans="1:54" s="222" customFormat="1" x14ac:dyDescent="0.25">
      <c r="A39" s="235"/>
      <c r="B39" s="193" t="s">
        <v>112</v>
      </c>
      <c r="C39" s="1309"/>
      <c r="D39" s="1310"/>
      <c r="E39" s="1311"/>
      <c r="F39" s="1312"/>
      <c r="G39" s="1313"/>
      <c r="H39" s="1309"/>
      <c r="I39" s="1311"/>
      <c r="J39" s="1312"/>
      <c r="K39" s="1313"/>
      <c r="L39" s="1312"/>
      <c r="M39" s="1313"/>
      <c r="N39" s="1345"/>
      <c r="O39" s="946"/>
      <c r="P39" s="1390"/>
      <c r="Q39" s="235"/>
      <c r="R39" s="267"/>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21"/>
    </row>
    <row r="40" spans="1:54" s="202" customFormat="1" ht="11" thickBot="1" x14ac:dyDescent="0.3">
      <c r="A40" s="235"/>
      <c r="B40" s="199" t="s">
        <v>95</v>
      </c>
      <c r="C40" s="214">
        <f t="shared" ref="C40:O40" si="1">SUM(C27:C32)</f>
        <v>105027.30380735818</v>
      </c>
      <c r="D40" s="648">
        <f t="shared" si="1"/>
        <v>20561.137295303572</v>
      </c>
      <c r="E40" s="653">
        <f t="shared" si="1"/>
        <v>41933.689934929105</v>
      </c>
      <c r="F40" s="214">
        <f t="shared" si="1"/>
        <v>27788.08301070191</v>
      </c>
      <c r="G40" s="653">
        <f t="shared" si="1"/>
        <v>48334.898499999996</v>
      </c>
      <c r="H40" s="935">
        <f t="shared" si="1"/>
        <v>289446.86072828586</v>
      </c>
      <c r="I40" s="655">
        <f t="shared" si="1"/>
        <v>77016.642181759278</v>
      </c>
      <c r="J40" s="214">
        <f t="shared" si="1"/>
        <v>57586.401142251518</v>
      </c>
      <c r="K40" s="653">
        <f t="shared" si="1"/>
        <v>23598.928016038648</v>
      </c>
      <c r="L40" s="214">
        <f t="shared" si="1"/>
        <v>59376.319765639797</v>
      </c>
      <c r="M40" s="653">
        <f t="shared" si="1"/>
        <v>27816.621409339539</v>
      </c>
      <c r="N40" s="214">
        <f t="shared" si="1"/>
        <v>66861.930568090116</v>
      </c>
      <c r="O40" s="214">
        <f t="shared" si="1"/>
        <v>97013.099070361946</v>
      </c>
      <c r="P40" s="1394" t="s">
        <v>113</v>
      </c>
      <c r="Q40" s="235"/>
      <c r="R40" s="267"/>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01"/>
    </row>
    <row r="41" spans="1:54" s="222" customFormat="1" x14ac:dyDescent="0.25">
      <c r="A41" s="235"/>
      <c r="B41" s="193" t="s">
        <v>114</v>
      </c>
      <c r="C41" s="205"/>
      <c r="D41" s="206"/>
      <c r="E41" s="207"/>
      <c r="F41" s="945"/>
      <c r="G41" s="946"/>
      <c r="H41" s="205"/>
      <c r="I41" s="207"/>
      <c r="J41" s="945"/>
      <c r="K41" s="946"/>
      <c r="L41" s="945"/>
      <c r="M41" s="946"/>
      <c r="N41" s="1344"/>
      <c r="O41" s="946"/>
      <c r="P41" s="1390"/>
      <c r="Q41" s="235"/>
      <c r="R41" s="267"/>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21"/>
    </row>
    <row r="42" spans="1:54" s="202" customFormat="1" ht="11" thickBot="1" x14ac:dyDescent="0.3">
      <c r="A42" s="235"/>
      <c r="B42" s="199" t="s">
        <v>115</v>
      </c>
      <c r="C42" s="214" cm="1">
        <f t="array" ref="C42">C12*_xlfn.IFS(C5=Lists!F3,'FBS Data'!C27,C5=Lists!F4,'FBS Data'!C27,C5=Lists!F5,'FBS Data'!C27,C5=Lists!F6,'FBS Data'!C27)</f>
        <v>122150</v>
      </c>
      <c r="D42" s="648" cm="1">
        <f t="array" ref="D42">C12*_xlfn.IFS(C5=Lists!F3,'FBS Data'!D27,C5=Lists!F4,'FBS Data'!C27,C5=Lists!F5,'FBS Data'!C27*0.9,C5=Lists!F6,'FBS Data'!D27*(1+D5))</f>
        <v>109935.00000000001</v>
      </c>
      <c r="E42" s="655" cm="1">
        <f t="array" ref="E42">C12*_xlfn.IFS(C5=Lists!F3,'FBS Data'!D27,C5=Lists!F4,'FBS Data'!C27,C5=Lists!F5,'FBS Data'!C27*0.9,C5=Lists!F6,'FBS Data'!D27*(1+D5))</f>
        <v>109935.00000000001</v>
      </c>
      <c r="F42" s="935" cm="1">
        <f t="array" ref="F42">F12*_xlfn.IFS(C5=Lists!F3,'FBS Data'!C27,C5=Lists!F4,'FBS Data'!C27,C5=Lists!F5,'FBS Data'!C27,C5=Lists!F6,'FBS Data'!C27)</f>
        <v>18148</v>
      </c>
      <c r="G42" s="935" cm="1">
        <f t="array" ref="G42">G12*_xlfn.IFS(C5=Lists!F3,'FBS Data'!D27,C5=Lists!F4,'FBS Data'!C27,C5=Lists!F5,'FBS Data'!C27*0.9,C5=Lists!F6,'FBS Data'!D27*(1+D5))</f>
        <v>16333.2</v>
      </c>
      <c r="H42" s="935">
        <f>H12*'FBS Data'!G27</f>
        <v>274155</v>
      </c>
      <c r="I42" s="655" cm="1">
        <f t="array" ref="I42">I12*_xlfn.IFS(C5=Lists!F3,'FBS Data'!H27,C5=Lists!F4,'FBS Data'!G27,C5=Lists!F5,'FBS Data'!H27*0.9,C5=Lists!F6,'FBS Data'!H27*(1+D5))</f>
        <v>210573.0703125</v>
      </c>
      <c r="J42" s="214">
        <f>J12*'FBS Data'!I27</f>
        <v>67796.760736196331</v>
      </c>
      <c r="K42" s="653" cm="1">
        <f t="array" ref="K42">K12*_xlfn.IFS(C5=Lists!F3,'FBS Data'!J27,C5=Lists!F4,'FBS Data'!I27,C5=Lists!F5,'FBS Data'!I27*0.9,C5=Lists!F6,'FBS Data'!J27*(1+D5))</f>
        <v>61017.084662576686</v>
      </c>
      <c r="L42" s="214">
        <f>L12*'FBS Data'!K27</f>
        <v>49835.158663296825</v>
      </c>
      <c r="M42" s="653" cm="1">
        <f t="array" ref="M42">L12*_xlfn.IFS(C5=Lists!F3,'FBS Data'!L27,C5=Lists!F4,'FBS Data'!K27,C5=Lists!F5,'FBS Data'!K27*0.9,C5=Lists!F6,'FBS Data'!L27*(1+D5))</f>
        <v>44851.642796967142</v>
      </c>
      <c r="N42" s="214">
        <f>N12*'FBS Data'!M27</f>
        <v>66240</v>
      </c>
      <c r="O42" s="214" cm="1">
        <f t="array" ref="O42">O12*_xlfn.IFS(C5=Lists!F3,('FBS Data'!N27+'FBS Data'!J27),C5=Lists!F4,('FBS Data'!M27),C5=Lists!F5,('FBS Data'!N27+'FBS Data'!J27)*0.9,C5=Lists!F6,('FBS Data'!N27+'FBS Data'!J27)*(1+D5))</f>
        <v>127808.49847640212</v>
      </c>
      <c r="P42" s="1394" t="s">
        <v>116</v>
      </c>
      <c r="Q42" s="235"/>
      <c r="R42" s="267"/>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01"/>
    </row>
    <row r="43" spans="1:54" s="222" customFormat="1" ht="11" thickBot="1" x14ac:dyDescent="0.3">
      <c r="A43" s="235"/>
      <c r="B43" s="193" t="s">
        <v>117</v>
      </c>
      <c r="C43" s="1317"/>
      <c r="D43" s="1318"/>
      <c r="E43" s="1319"/>
      <c r="F43" s="1320"/>
      <c r="G43" s="1321"/>
      <c r="H43" s="1317"/>
      <c r="I43" s="1319"/>
      <c r="J43" s="1320"/>
      <c r="K43" s="1321"/>
      <c r="L43" s="1320"/>
      <c r="M43" s="1321"/>
      <c r="N43" s="1346"/>
      <c r="O43" s="1321"/>
      <c r="P43" s="1390"/>
      <c r="Q43" s="235"/>
      <c r="R43" s="267"/>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21"/>
    </row>
    <row r="44" spans="1:54" s="227" customFormat="1" ht="15" customHeight="1" thickBot="1" x14ac:dyDescent="0.3">
      <c r="A44" s="235"/>
      <c r="B44" s="189"/>
      <c r="C44" s="1324">
        <f>(SUM(C34:C36)+C38-SUM(C40:C40)-SUM(C42:C42))</f>
        <v>-17629.507599242395</v>
      </c>
      <c r="D44" s="1325">
        <f t="shared" ref="D44:M44" si="2">(SUM(D34:D36)+D38-SUM(D40:D40)-SUM(D42:D42))</f>
        <v>-24627.788098732199</v>
      </c>
      <c r="E44" s="1326">
        <f>(SUM(E34:E36)+E38-SUM(E40:E40)-SUM(E42:E42))</f>
        <v>-22232.482632401734</v>
      </c>
      <c r="F44" s="1324">
        <f t="shared" si="2"/>
        <v>2515.6991594971951</v>
      </c>
      <c r="G44" s="1326">
        <f>(SUM(G34:G36)+G38-SUM(G40:G40)-SUM(G42:G42))</f>
        <v>-2137.367199999997</v>
      </c>
      <c r="H44" s="1324">
        <f t="shared" si="2"/>
        <v>35409.344178782427</v>
      </c>
      <c r="I44" s="1326">
        <f t="shared" si="2"/>
        <v>-22851.179608025181</v>
      </c>
      <c r="J44" s="1324">
        <f t="shared" si="2"/>
        <v>-39217.308749663585</v>
      </c>
      <c r="K44" s="1326">
        <f t="shared" si="2"/>
        <v>-22084.528107131548</v>
      </c>
      <c r="L44" s="1324">
        <f t="shared" si="2"/>
        <v>-6993.7256755245908</v>
      </c>
      <c r="M44" s="1425">
        <f t="shared" si="2"/>
        <v>-3235.85745398992</v>
      </c>
      <c r="N44" s="1324">
        <f>(SUM(N34:N36)+N38-SUM(N40:N40)-SUM(N42:N42))</f>
        <v>-880.06644645065535</v>
      </c>
      <c r="O44" s="1326">
        <f>(SUM(O34:O36)+O38-SUM(O40:O40)-SUM(O42:O42))</f>
        <v>-29934.450033514906</v>
      </c>
      <c r="P44" s="1426" t="s">
        <v>118</v>
      </c>
      <c r="Q44" s="235"/>
      <c r="R44" s="267"/>
      <c r="S44" s="2"/>
      <c r="T44" s="2"/>
      <c r="U44" s="2"/>
      <c r="V44" s="2"/>
      <c r="W44" s="2"/>
      <c r="X44" s="2"/>
      <c r="Y44" s="2"/>
      <c r="Z44" s="2"/>
      <c r="AA44" s="2"/>
      <c r="AB44" s="2"/>
      <c r="AC44" s="2"/>
      <c r="AD44" s="2"/>
      <c r="AE44" s="2"/>
      <c r="AF44" s="2"/>
      <c r="AG44" s="2"/>
      <c r="AH44" s="2"/>
      <c r="AI44" s="2"/>
      <c r="AJ44" s="2"/>
      <c r="AK44" s="2"/>
      <c r="AL44" s="2"/>
      <c r="AM44" s="2"/>
      <c r="AN44" s="2"/>
      <c r="AO44" s="2"/>
      <c r="AP44" s="2"/>
      <c r="AQ44" s="232"/>
      <c r="AR44" s="232"/>
      <c r="AS44" s="232"/>
      <c r="AT44" s="232"/>
      <c r="AU44" s="232"/>
      <c r="AV44" s="232"/>
      <c r="AW44" s="232"/>
      <c r="AX44" s="232"/>
      <c r="AY44" s="232"/>
      <c r="AZ44" s="232"/>
      <c r="BA44" s="232"/>
      <c r="BB44" s="226"/>
    </row>
    <row r="45" spans="1:54" s="235" customFormat="1" ht="12" customHeight="1" x14ac:dyDescent="0.25">
      <c r="B45" s="239"/>
      <c r="C45" s="239"/>
      <c r="D45" s="239"/>
      <c r="E45" s="239"/>
      <c r="F45" s="239"/>
      <c r="G45" s="239"/>
      <c r="H45" s="1243"/>
      <c r="I45" s="239"/>
      <c r="J45" s="239"/>
      <c r="K45" s="239"/>
      <c r="L45" s="239"/>
      <c r="M45" s="239"/>
      <c r="N45" s="239"/>
      <c r="O45" s="239"/>
      <c r="R45" s="267"/>
      <c r="S45" s="2"/>
      <c r="T45" s="2"/>
      <c r="U45" s="2"/>
      <c r="V45" s="2"/>
      <c r="W45" s="2"/>
      <c r="X45" s="2"/>
      <c r="Y45" s="2"/>
      <c r="Z45" s="2"/>
      <c r="AA45" s="2"/>
      <c r="AB45" s="2"/>
      <c r="AC45" s="2"/>
      <c r="AD45" s="2"/>
      <c r="AE45" s="2"/>
      <c r="AF45" s="2"/>
      <c r="AG45" s="2"/>
      <c r="AH45" s="2"/>
      <c r="AI45" s="2"/>
      <c r="AJ45" s="2"/>
      <c r="AK45" s="2"/>
      <c r="AL45" s="2"/>
      <c r="AM45" s="2"/>
      <c r="AN45" s="2"/>
      <c r="AO45" s="2"/>
      <c r="AP45" s="2"/>
    </row>
    <row r="46" spans="1:54" s="235" customFormat="1" ht="12.65" customHeight="1" x14ac:dyDescent="0.25">
      <c r="B46" s="239"/>
      <c r="C46" s="239"/>
      <c r="D46" s="239"/>
      <c r="E46" s="239"/>
      <c r="F46" s="1143"/>
      <c r="G46" s="1143"/>
      <c r="H46" s="1143"/>
      <c r="I46" s="1143"/>
      <c r="J46" s="1143"/>
      <c r="K46" s="1143"/>
      <c r="L46" s="1143"/>
      <c r="M46" s="1143"/>
      <c r="N46" s="1143"/>
      <c r="O46" s="239"/>
      <c r="R46" s="267"/>
      <c r="S46" s="2"/>
      <c r="T46" s="2"/>
      <c r="U46" s="2"/>
      <c r="V46" s="2"/>
      <c r="W46" s="2"/>
      <c r="X46" s="2"/>
      <c r="Y46" s="2"/>
      <c r="Z46" s="2"/>
      <c r="AA46" s="2"/>
      <c r="AB46" s="2"/>
      <c r="AC46" s="2"/>
      <c r="AD46" s="2"/>
      <c r="AE46" s="2"/>
      <c r="AF46" s="2"/>
      <c r="AG46" s="2"/>
      <c r="AH46" s="2"/>
      <c r="AI46" s="2"/>
      <c r="AJ46" s="2"/>
      <c r="AK46" s="2"/>
      <c r="AL46" s="2"/>
      <c r="AM46" s="2"/>
      <c r="AN46" s="2"/>
      <c r="AO46" s="2"/>
      <c r="AP46" s="2"/>
    </row>
    <row r="47" spans="1:54" s="235" customFormat="1" x14ac:dyDescent="0.25">
      <c r="B47" s="239"/>
      <c r="C47" s="239"/>
      <c r="D47" s="1143"/>
      <c r="E47" s="1143"/>
      <c r="F47" s="239"/>
      <c r="G47" s="239"/>
      <c r="H47" s="1272"/>
      <c r="I47" s="239"/>
      <c r="J47" s="239"/>
      <c r="K47" s="239"/>
      <c r="L47" s="1263"/>
      <c r="M47" s="1263"/>
      <c r="N47" s="239"/>
      <c r="O47" s="239"/>
      <c r="R47" s="267"/>
      <c r="S47" s="2"/>
      <c r="T47" s="2"/>
      <c r="U47" s="2"/>
      <c r="V47" s="2"/>
      <c r="W47" s="2"/>
      <c r="X47" s="2"/>
      <c r="Y47" s="2"/>
      <c r="Z47" s="2"/>
      <c r="AA47" s="2"/>
      <c r="AB47" s="2"/>
      <c r="AC47" s="2"/>
      <c r="AD47" s="2"/>
      <c r="AE47" s="2"/>
      <c r="AF47" s="2"/>
      <c r="AG47" s="2"/>
      <c r="AH47" s="2"/>
      <c r="AI47" s="2"/>
      <c r="AJ47" s="2"/>
      <c r="AK47" s="2"/>
      <c r="AL47" s="2"/>
      <c r="AM47" s="2"/>
      <c r="AN47" s="2"/>
      <c r="AO47" s="2"/>
      <c r="AP47" s="2"/>
    </row>
    <row r="48" spans="1:54" s="235" customFormat="1" x14ac:dyDescent="0.25">
      <c r="B48" s="239"/>
      <c r="C48" s="239"/>
      <c r="D48" s="1243"/>
      <c r="E48" s="1243"/>
      <c r="F48" s="239"/>
      <c r="G48" s="1347"/>
      <c r="H48" s="1243"/>
      <c r="I48" s="1143"/>
      <c r="J48" s="239"/>
      <c r="K48" s="239"/>
      <c r="L48" s="239"/>
      <c r="M48" s="239"/>
      <c r="N48" s="239"/>
      <c r="O48" s="239"/>
      <c r="R48" s="267"/>
      <c r="S48" s="2"/>
      <c r="T48" s="2"/>
      <c r="U48" s="2"/>
      <c r="V48" s="2"/>
      <c r="W48" s="2"/>
      <c r="X48" s="2"/>
      <c r="Y48" s="2"/>
      <c r="Z48" s="2"/>
      <c r="AA48" s="2"/>
      <c r="AB48" s="2"/>
      <c r="AC48" s="2"/>
      <c r="AD48" s="2"/>
      <c r="AE48" s="2"/>
      <c r="AF48" s="2"/>
      <c r="AG48" s="2"/>
      <c r="AH48" s="2"/>
      <c r="AI48" s="2"/>
      <c r="AJ48" s="2"/>
      <c r="AK48" s="2"/>
      <c r="AL48" s="2"/>
      <c r="AM48" s="2"/>
      <c r="AN48" s="2"/>
      <c r="AO48" s="2"/>
      <c r="AP48" s="2"/>
    </row>
    <row r="49" spans="4:42" s="235" customFormat="1" x14ac:dyDescent="0.25">
      <c r="D49" s="1233"/>
      <c r="E49" s="1233"/>
      <c r="H49" s="1031"/>
      <c r="R49" s="267"/>
      <c r="S49" s="2"/>
      <c r="T49" s="2"/>
      <c r="U49" s="2"/>
      <c r="V49" s="2"/>
      <c r="W49" s="2"/>
      <c r="X49" s="2"/>
      <c r="Y49" s="2"/>
      <c r="Z49" s="2"/>
      <c r="AA49" s="2"/>
      <c r="AB49" s="2"/>
      <c r="AC49" s="2"/>
      <c r="AD49" s="2"/>
      <c r="AE49" s="2"/>
      <c r="AF49" s="2"/>
      <c r="AG49" s="2"/>
      <c r="AH49" s="2"/>
      <c r="AI49" s="2"/>
      <c r="AJ49" s="2"/>
      <c r="AK49" s="2"/>
      <c r="AL49" s="2"/>
      <c r="AM49" s="2"/>
      <c r="AN49" s="2"/>
      <c r="AO49" s="2"/>
      <c r="AP49" s="2"/>
    </row>
    <row r="50" spans="4:42" s="235" customFormat="1" x14ac:dyDescent="0.25">
      <c r="H50" s="1031"/>
      <c r="R50" s="267"/>
      <c r="S50" s="2"/>
      <c r="T50" s="2"/>
      <c r="U50" s="2"/>
      <c r="V50" s="2"/>
      <c r="W50" s="2"/>
      <c r="X50" s="2"/>
      <c r="Y50" s="2"/>
      <c r="Z50" s="2"/>
      <c r="AA50" s="2"/>
      <c r="AB50" s="2"/>
      <c r="AC50" s="2"/>
      <c r="AD50" s="2"/>
      <c r="AE50" s="2"/>
      <c r="AF50" s="2"/>
      <c r="AG50" s="2"/>
      <c r="AH50" s="2"/>
      <c r="AI50" s="2"/>
      <c r="AJ50" s="2"/>
      <c r="AK50" s="2"/>
      <c r="AL50" s="2"/>
      <c r="AM50" s="2"/>
      <c r="AN50" s="2"/>
      <c r="AO50" s="2"/>
      <c r="AP50" s="2"/>
    </row>
    <row r="51" spans="4:42" s="235" customFormat="1" x14ac:dyDescent="0.25">
      <c r="D51" s="1030"/>
      <c r="E51" s="1030"/>
      <c r="F51" s="1030"/>
      <c r="H51" s="1144"/>
      <c r="R51" s="267"/>
      <c r="S51" s="2"/>
      <c r="T51" s="2"/>
      <c r="U51" s="2"/>
      <c r="V51" s="2"/>
      <c r="W51" s="2"/>
      <c r="X51" s="2"/>
      <c r="Y51" s="2"/>
      <c r="Z51" s="2"/>
      <c r="AA51" s="2"/>
      <c r="AB51" s="2"/>
      <c r="AC51" s="2"/>
      <c r="AD51" s="2"/>
      <c r="AE51" s="2"/>
      <c r="AF51" s="2"/>
      <c r="AG51" s="2"/>
      <c r="AH51" s="2"/>
      <c r="AI51" s="2"/>
      <c r="AJ51" s="2"/>
      <c r="AK51" s="2"/>
      <c r="AL51" s="2"/>
      <c r="AM51" s="2"/>
      <c r="AN51" s="2"/>
      <c r="AO51" s="2"/>
      <c r="AP51" s="2"/>
    </row>
    <row r="52" spans="4:42" s="235" customFormat="1" x14ac:dyDescent="0.25">
      <c r="R52" s="267"/>
      <c r="S52" s="2"/>
      <c r="T52" s="2"/>
      <c r="U52" s="2"/>
      <c r="V52" s="2"/>
      <c r="W52" s="2"/>
      <c r="X52" s="2"/>
      <c r="Y52" s="2"/>
      <c r="Z52" s="2"/>
      <c r="AA52" s="2"/>
      <c r="AB52" s="2"/>
      <c r="AC52" s="2"/>
      <c r="AD52" s="2"/>
      <c r="AE52" s="2"/>
      <c r="AF52" s="2"/>
      <c r="AG52" s="2"/>
      <c r="AH52" s="2"/>
      <c r="AI52" s="2"/>
      <c r="AJ52" s="2"/>
      <c r="AK52" s="2"/>
      <c r="AL52" s="2"/>
      <c r="AM52" s="2"/>
      <c r="AN52" s="2"/>
      <c r="AO52" s="2"/>
      <c r="AP52" s="2"/>
    </row>
    <row r="53" spans="4:42" s="235" customFormat="1" x14ac:dyDescent="0.25">
      <c r="R53" s="267"/>
      <c r="S53" s="2"/>
      <c r="T53" s="2"/>
      <c r="U53" s="2"/>
      <c r="V53" s="2"/>
      <c r="W53" s="2"/>
      <c r="X53" s="2"/>
      <c r="Y53" s="2"/>
      <c r="Z53" s="2"/>
      <c r="AA53" s="2"/>
      <c r="AB53" s="2"/>
      <c r="AC53" s="2"/>
      <c r="AD53" s="2"/>
      <c r="AE53" s="2"/>
      <c r="AF53" s="2"/>
      <c r="AG53" s="2"/>
      <c r="AH53" s="2"/>
      <c r="AI53" s="2"/>
      <c r="AJ53" s="2"/>
      <c r="AK53" s="2"/>
      <c r="AL53" s="2"/>
      <c r="AM53" s="2"/>
      <c r="AN53" s="2"/>
      <c r="AO53" s="2"/>
      <c r="AP53" s="2"/>
    </row>
    <row r="54" spans="4:42" s="235" customFormat="1" x14ac:dyDescent="0.25">
      <c r="R54" s="267"/>
      <c r="S54" s="2"/>
      <c r="T54" s="2"/>
      <c r="U54" s="2"/>
      <c r="V54" s="2"/>
      <c r="W54" s="2"/>
      <c r="X54" s="2"/>
      <c r="Y54" s="2"/>
      <c r="Z54" s="2"/>
      <c r="AA54" s="2"/>
      <c r="AB54" s="2"/>
      <c r="AC54" s="2"/>
      <c r="AD54" s="2"/>
      <c r="AE54" s="2"/>
      <c r="AF54" s="2"/>
      <c r="AG54" s="2"/>
      <c r="AH54" s="2"/>
      <c r="AI54" s="2"/>
      <c r="AJ54" s="2"/>
      <c r="AK54" s="2"/>
      <c r="AL54" s="2"/>
      <c r="AM54" s="2"/>
      <c r="AN54" s="2"/>
      <c r="AO54" s="2"/>
      <c r="AP54" s="2"/>
    </row>
    <row r="55" spans="4:42" s="235" customFormat="1" x14ac:dyDescent="0.25">
      <c r="R55" s="267"/>
      <c r="S55" s="2"/>
      <c r="T55" s="2"/>
      <c r="U55" s="2"/>
      <c r="V55" s="2"/>
      <c r="W55" s="2"/>
      <c r="X55" s="2"/>
      <c r="Y55" s="2"/>
      <c r="Z55" s="2"/>
      <c r="AA55" s="2"/>
      <c r="AB55" s="2"/>
      <c r="AC55" s="2"/>
      <c r="AD55" s="2"/>
      <c r="AE55" s="2"/>
      <c r="AF55" s="2"/>
      <c r="AG55" s="2"/>
      <c r="AH55" s="2"/>
      <c r="AI55" s="2"/>
      <c r="AJ55" s="2"/>
      <c r="AK55" s="2"/>
      <c r="AL55" s="2"/>
      <c r="AM55" s="2"/>
      <c r="AN55" s="2"/>
      <c r="AO55" s="2"/>
      <c r="AP55" s="2"/>
    </row>
    <row r="56" spans="4:42" s="235" customFormat="1" x14ac:dyDescent="0.25">
      <c r="R56" s="267"/>
      <c r="S56" s="2"/>
      <c r="T56" s="2"/>
      <c r="U56" s="2"/>
      <c r="V56" s="2"/>
      <c r="W56" s="2"/>
      <c r="X56" s="2"/>
      <c r="Y56" s="2"/>
      <c r="Z56" s="2"/>
      <c r="AA56" s="2"/>
      <c r="AB56" s="2"/>
      <c r="AC56" s="2"/>
      <c r="AD56" s="2"/>
      <c r="AE56" s="2"/>
      <c r="AF56" s="2"/>
      <c r="AG56" s="2"/>
      <c r="AH56" s="2"/>
      <c r="AI56" s="2"/>
      <c r="AJ56" s="2"/>
      <c r="AK56" s="2"/>
      <c r="AL56" s="2"/>
      <c r="AM56" s="2"/>
      <c r="AN56" s="2"/>
      <c r="AO56" s="2"/>
      <c r="AP56" s="2"/>
    </row>
    <row r="57" spans="4:42" s="235" customFormat="1" ht="14.5" x14ac:dyDescent="0.35">
      <c r="J57" s="1144"/>
      <c r="L57"/>
      <c r="R57" s="267"/>
      <c r="S57" s="2"/>
      <c r="T57" s="2"/>
      <c r="U57" s="2"/>
      <c r="V57" s="2"/>
      <c r="W57" s="2"/>
      <c r="X57" s="2"/>
      <c r="Y57" s="2"/>
      <c r="Z57" s="2"/>
      <c r="AA57" s="2"/>
      <c r="AB57" s="2"/>
      <c r="AC57" s="2"/>
      <c r="AD57" s="2"/>
      <c r="AE57" s="2"/>
      <c r="AF57" s="2"/>
      <c r="AG57" s="2"/>
      <c r="AH57" s="2"/>
      <c r="AI57" s="2"/>
      <c r="AJ57" s="2"/>
      <c r="AK57" s="2"/>
      <c r="AL57" s="2"/>
      <c r="AM57" s="2"/>
      <c r="AN57" s="2"/>
      <c r="AO57" s="2"/>
      <c r="AP57" s="2"/>
    </row>
    <row r="58" spans="4:42" s="235" customFormat="1" ht="14.5" x14ac:dyDescent="0.35">
      <c r="J58" s="1144"/>
      <c r="L58"/>
      <c r="R58" s="267"/>
      <c r="S58" s="2"/>
      <c r="T58" s="2"/>
      <c r="U58" s="2"/>
      <c r="V58" s="2"/>
      <c r="W58" s="2"/>
      <c r="X58" s="2"/>
      <c r="Y58" s="2"/>
      <c r="Z58" s="2"/>
      <c r="AA58" s="2"/>
      <c r="AB58" s="2"/>
      <c r="AC58" s="2"/>
      <c r="AD58" s="2"/>
      <c r="AE58" s="2"/>
      <c r="AF58" s="2"/>
      <c r="AG58" s="2"/>
      <c r="AH58" s="2"/>
      <c r="AI58" s="2"/>
      <c r="AJ58" s="2"/>
      <c r="AK58" s="2"/>
      <c r="AL58" s="2"/>
      <c r="AM58" s="2"/>
      <c r="AN58" s="2"/>
      <c r="AO58" s="2"/>
      <c r="AP58" s="2"/>
    </row>
    <row r="59" spans="4:42" s="235" customFormat="1" ht="14.5" x14ac:dyDescent="0.35">
      <c r="J59" s="1144"/>
      <c r="L59"/>
      <c r="R59" s="267"/>
      <c r="S59" s="2"/>
      <c r="T59" s="2"/>
      <c r="U59" s="2"/>
      <c r="V59" s="2"/>
      <c r="W59" s="2"/>
      <c r="X59" s="2"/>
      <c r="Y59" s="2"/>
      <c r="Z59" s="2"/>
      <c r="AA59" s="2"/>
      <c r="AB59" s="2"/>
      <c r="AC59" s="2"/>
      <c r="AD59" s="2"/>
      <c r="AE59" s="2"/>
      <c r="AF59" s="2"/>
      <c r="AG59" s="2"/>
      <c r="AH59" s="2"/>
      <c r="AI59" s="2"/>
      <c r="AJ59" s="2"/>
      <c r="AK59" s="2"/>
      <c r="AL59" s="2"/>
      <c r="AM59" s="2"/>
      <c r="AN59" s="2"/>
      <c r="AO59" s="2"/>
      <c r="AP59" s="2"/>
    </row>
    <row r="60" spans="4:42" s="235" customFormat="1" ht="14.5" x14ac:dyDescent="0.35">
      <c r="J60" s="1144"/>
      <c r="L60"/>
      <c r="R60" s="267"/>
      <c r="S60" s="2"/>
      <c r="T60" s="2"/>
      <c r="U60" s="2"/>
      <c r="V60" s="2"/>
      <c r="W60" s="2"/>
      <c r="X60" s="2"/>
      <c r="Y60" s="2"/>
      <c r="Z60" s="2"/>
      <c r="AA60" s="2"/>
      <c r="AB60" s="2"/>
      <c r="AC60" s="2"/>
      <c r="AD60" s="2"/>
      <c r="AE60" s="2"/>
      <c r="AF60" s="2"/>
      <c r="AG60" s="2"/>
      <c r="AH60" s="2"/>
      <c r="AI60" s="2"/>
      <c r="AJ60" s="2"/>
      <c r="AK60" s="2"/>
      <c r="AL60" s="2"/>
      <c r="AM60" s="2"/>
      <c r="AN60" s="2"/>
      <c r="AO60" s="2"/>
      <c r="AP60" s="2"/>
    </row>
    <row r="61" spans="4:42" s="235" customFormat="1" ht="14.5" x14ac:dyDescent="0.35">
      <c r="J61" s="1144"/>
      <c r="L61"/>
      <c r="R61" s="267"/>
      <c r="S61" s="2"/>
      <c r="T61" s="2"/>
      <c r="U61" s="2"/>
      <c r="V61" s="2"/>
      <c r="W61" s="2"/>
      <c r="X61" s="2"/>
      <c r="Y61" s="2"/>
      <c r="Z61" s="2"/>
      <c r="AA61" s="2"/>
      <c r="AB61" s="2"/>
      <c r="AC61" s="2"/>
      <c r="AD61" s="2"/>
      <c r="AE61" s="2"/>
      <c r="AF61" s="2"/>
      <c r="AG61" s="2"/>
      <c r="AH61" s="2"/>
      <c r="AI61" s="2"/>
      <c r="AJ61" s="2"/>
      <c r="AK61" s="2"/>
      <c r="AL61" s="2"/>
      <c r="AM61" s="2"/>
      <c r="AN61" s="2"/>
      <c r="AO61" s="2"/>
      <c r="AP61" s="2"/>
    </row>
    <row r="62" spans="4:42" s="235" customFormat="1" ht="14.5" x14ac:dyDescent="0.35">
      <c r="J62" s="1144"/>
      <c r="L62"/>
      <c r="R62" s="267"/>
      <c r="S62" s="2"/>
      <c r="T62" s="2"/>
      <c r="U62" s="2"/>
      <c r="V62" s="2"/>
      <c r="W62" s="2"/>
      <c r="X62" s="2"/>
      <c r="Y62" s="2"/>
      <c r="Z62" s="2"/>
      <c r="AA62" s="2"/>
      <c r="AB62" s="2"/>
      <c r="AC62" s="2"/>
      <c r="AD62" s="2"/>
      <c r="AE62" s="2"/>
      <c r="AF62" s="2"/>
      <c r="AG62" s="2"/>
      <c r="AH62" s="2"/>
      <c r="AI62" s="2"/>
      <c r="AJ62" s="2"/>
      <c r="AK62" s="2"/>
      <c r="AL62" s="2"/>
      <c r="AM62" s="2"/>
      <c r="AN62" s="2"/>
      <c r="AO62" s="2"/>
      <c r="AP62" s="2"/>
    </row>
    <row r="63" spans="4:42" s="235" customFormat="1" ht="14.5" x14ac:dyDescent="0.35">
      <c r="J63" s="1144"/>
      <c r="L63"/>
      <c r="R63" s="267"/>
      <c r="S63" s="2"/>
      <c r="T63" s="2"/>
      <c r="U63" s="2"/>
      <c r="V63" s="2"/>
      <c r="W63" s="2"/>
      <c r="X63" s="2"/>
      <c r="Y63" s="2"/>
      <c r="Z63" s="2"/>
      <c r="AA63" s="2"/>
      <c r="AB63" s="2"/>
      <c r="AC63" s="2"/>
      <c r="AD63" s="2"/>
      <c r="AE63" s="2"/>
      <c r="AF63" s="2"/>
      <c r="AG63" s="2"/>
      <c r="AH63" s="2"/>
      <c r="AI63" s="2"/>
      <c r="AJ63" s="2"/>
      <c r="AK63" s="2"/>
      <c r="AL63" s="2"/>
      <c r="AM63" s="2"/>
      <c r="AN63" s="2"/>
      <c r="AO63" s="2"/>
      <c r="AP63" s="2"/>
    </row>
    <row r="64" spans="4:42" s="235" customFormat="1" x14ac:dyDescent="0.25">
      <c r="R64" s="267"/>
      <c r="S64" s="2"/>
      <c r="T64" s="2"/>
      <c r="U64" s="2"/>
      <c r="V64" s="2"/>
      <c r="W64" s="2"/>
      <c r="X64" s="2"/>
      <c r="Y64" s="2"/>
      <c r="Z64" s="2"/>
      <c r="AA64" s="2"/>
      <c r="AB64" s="2"/>
      <c r="AC64" s="2"/>
      <c r="AD64" s="2"/>
      <c r="AE64" s="2"/>
      <c r="AF64" s="2"/>
      <c r="AG64" s="2"/>
      <c r="AH64" s="2"/>
      <c r="AI64" s="2"/>
      <c r="AJ64" s="2"/>
      <c r="AK64" s="2"/>
      <c r="AL64" s="2"/>
      <c r="AM64" s="2"/>
      <c r="AN64" s="2"/>
      <c r="AO64" s="2"/>
      <c r="AP64" s="2"/>
    </row>
    <row r="65" spans="3:33" x14ac:dyDescent="0.25">
      <c r="C65" s="2"/>
      <c r="D65" s="2"/>
      <c r="E65" s="2"/>
      <c r="F65" s="2"/>
      <c r="G65" s="2"/>
      <c r="H65" s="2"/>
      <c r="I65" s="2"/>
      <c r="J65" s="2"/>
      <c r="K65" s="2"/>
      <c r="L65" s="2"/>
      <c r="M65" s="2"/>
      <c r="N65" s="2"/>
      <c r="O65" s="2"/>
      <c r="R65" s="267"/>
      <c r="S65" s="2"/>
      <c r="T65" s="2"/>
      <c r="U65" s="2"/>
      <c r="V65" s="2"/>
      <c r="W65" s="2"/>
      <c r="X65" s="2"/>
      <c r="Y65" s="2"/>
      <c r="Z65" s="2"/>
      <c r="AA65" s="2"/>
      <c r="AB65" s="2"/>
      <c r="AC65" s="2"/>
      <c r="AD65" s="2"/>
      <c r="AE65" s="2"/>
      <c r="AF65" s="2"/>
      <c r="AG65" s="2"/>
    </row>
    <row r="66" spans="3:33" x14ac:dyDescent="0.25">
      <c r="C66" s="2"/>
      <c r="D66" s="2"/>
      <c r="E66" s="2"/>
      <c r="F66" s="2"/>
      <c r="G66" s="2"/>
      <c r="H66" s="2"/>
      <c r="I66" s="2"/>
      <c r="J66" s="2"/>
      <c r="K66" s="2"/>
      <c r="L66" s="2"/>
      <c r="M66" s="2"/>
      <c r="N66" s="2"/>
      <c r="O66" s="2"/>
      <c r="R66" s="267"/>
      <c r="S66" s="2"/>
      <c r="T66" s="2"/>
      <c r="U66" s="2"/>
      <c r="V66" s="2"/>
      <c r="W66" s="2"/>
      <c r="X66" s="2"/>
      <c r="Y66" s="2"/>
      <c r="Z66" s="2"/>
      <c r="AA66" s="2"/>
      <c r="AB66" s="2"/>
      <c r="AC66" s="2"/>
      <c r="AD66" s="2"/>
      <c r="AE66" s="2"/>
      <c r="AF66" s="2"/>
      <c r="AG66" s="2"/>
    </row>
    <row r="67" spans="3:33" x14ac:dyDescent="0.25">
      <c r="C67" s="2"/>
      <c r="D67" s="2"/>
      <c r="E67" s="2"/>
      <c r="F67" s="2"/>
      <c r="G67" s="2"/>
      <c r="H67" s="2"/>
      <c r="I67" s="2"/>
      <c r="J67" s="2"/>
      <c r="K67" s="2"/>
      <c r="L67" s="2"/>
      <c r="M67" s="2"/>
      <c r="N67" s="2"/>
      <c r="O67" s="2"/>
      <c r="R67" s="267"/>
      <c r="S67" s="2"/>
      <c r="T67" s="2"/>
      <c r="U67" s="2"/>
      <c r="V67" s="2"/>
      <c r="W67" s="2"/>
      <c r="X67" s="2"/>
      <c r="Y67" s="2"/>
      <c r="Z67" s="2"/>
      <c r="AA67" s="2"/>
      <c r="AB67" s="2"/>
      <c r="AC67" s="2"/>
      <c r="AD67" s="2"/>
      <c r="AE67" s="2"/>
      <c r="AF67" s="2"/>
      <c r="AG67" s="2"/>
    </row>
    <row r="68" spans="3:33" x14ac:dyDescent="0.25">
      <c r="C68" s="2"/>
      <c r="D68" s="2"/>
      <c r="E68" s="2"/>
      <c r="F68" s="2"/>
      <c r="G68" s="2"/>
      <c r="H68" s="2"/>
      <c r="I68" s="2"/>
      <c r="J68" s="2"/>
      <c r="K68" s="2"/>
      <c r="L68" s="2"/>
      <c r="M68" s="2"/>
      <c r="N68" s="2"/>
      <c r="O68" s="2"/>
      <c r="R68" s="267"/>
      <c r="S68" s="2"/>
      <c r="T68" s="2"/>
      <c r="U68" s="2"/>
      <c r="V68" s="2"/>
      <c r="W68" s="2"/>
      <c r="X68" s="2"/>
      <c r="Y68" s="2"/>
      <c r="Z68" s="2"/>
      <c r="AA68" s="2"/>
      <c r="AB68" s="2"/>
      <c r="AC68" s="2"/>
      <c r="AD68" s="2"/>
      <c r="AE68" s="2"/>
      <c r="AF68" s="2"/>
      <c r="AG68" s="2"/>
    </row>
    <row r="69" spans="3:33" x14ac:dyDescent="0.25">
      <c r="C69" s="2"/>
      <c r="D69" s="2"/>
      <c r="E69" s="2"/>
      <c r="F69" s="2"/>
      <c r="G69" s="2"/>
      <c r="H69" s="2"/>
      <c r="I69" s="2"/>
      <c r="J69" s="2"/>
      <c r="K69" s="2"/>
      <c r="L69" s="2"/>
      <c r="M69" s="2"/>
      <c r="N69" s="2"/>
      <c r="O69" s="2"/>
      <c r="R69" s="267"/>
      <c r="S69" s="2"/>
      <c r="T69" s="2"/>
      <c r="U69" s="2"/>
      <c r="V69" s="2"/>
      <c r="W69" s="2"/>
      <c r="X69" s="2"/>
      <c r="Y69" s="2"/>
      <c r="Z69" s="2"/>
      <c r="AA69" s="2"/>
      <c r="AB69" s="2"/>
      <c r="AC69" s="2"/>
      <c r="AD69" s="2"/>
      <c r="AE69" s="2"/>
      <c r="AF69" s="2"/>
      <c r="AG69" s="2"/>
    </row>
    <row r="70" spans="3:33" x14ac:dyDescent="0.25">
      <c r="C70" s="2"/>
      <c r="D70" s="2"/>
      <c r="E70" s="2"/>
      <c r="F70" s="2"/>
      <c r="G70" s="2"/>
      <c r="H70" s="2"/>
      <c r="I70" s="2"/>
      <c r="J70" s="2"/>
      <c r="K70" s="2"/>
      <c r="L70" s="2"/>
      <c r="M70" s="2"/>
      <c r="N70" s="2"/>
      <c r="O70" s="2"/>
      <c r="R70" s="267"/>
      <c r="S70" s="2"/>
      <c r="T70" s="2"/>
      <c r="U70" s="2"/>
      <c r="V70" s="2"/>
      <c r="W70" s="2"/>
      <c r="X70" s="2"/>
      <c r="Y70" s="2"/>
      <c r="Z70" s="2"/>
      <c r="AA70" s="2"/>
      <c r="AB70" s="2"/>
      <c r="AC70" s="2"/>
      <c r="AD70" s="2"/>
      <c r="AE70" s="2"/>
      <c r="AF70" s="2"/>
      <c r="AG70" s="2"/>
    </row>
    <row r="71" spans="3:33" x14ac:dyDescent="0.25">
      <c r="C71" s="2"/>
      <c r="D71" s="2"/>
      <c r="E71" s="2"/>
      <c r="F71" s="2"/>
      <c r="G71" s="2"/>
      <c r="H71" s="2"/>
      <c r="I71" s="2"/>
      <c r="J71" s="2"/>
      <c r="K71" s="2"/>
      <c r="L71" s="2"/>
      <c r="M71" s="2"/>
      <c r="N71" s="2"/>
      <c r="O71" s="2"/>
      <c r="R71" s="267"/>
      <c r="S71" s="2"/>
      <c r="T71" s="2"/>
      <c r="U71" s="2"/>
      <c r="V71" s="2"/>
      <c r="W71" s="2"/>
      <c r="X71" s="2"/>
      <c r="Y71" s="2"/>
      <c r="Z71" s="2"/>
      <c r="AA71" s="2"/>
      <c r="AB71" s="2"/>
      <c r="AC71" s="2"/>
      <c r="AD71" s="2"/>
      <c r="AE71" s="2"/>
      <c r="AF71" s="2"/>
      <c r="AG71" s="2"/>
    </row>
    <row r="72" spans="3:33" x14ac:dyDescent="0.25">
      <c r="C72" s="2"/>
      <c r="D72" s="2"/>
      <c r="E72" s="2"/>
      <c r="F72" s="2"/>
      <c r="G72" s="2"/>
      <c r="H72" s="2"/>
      <c r="I72" s="2"/>
      <c r="J72" s="2"/>
      <c r="K72" s="2"/>
      <c r="L72" s="2"/>
      <c r="M72" s="2"/>
      <c r="N72" s="2"/>
      <c r="O72" s="2"/>
      <c r="R72" s="267"/>
      <c r="S72" s="2"/>
      <c r="T72" s="2"/>
      <c r="U72" s="2"/>
      <c r="V72" s="2"/>
      <c r="W72" s="2"/>
      <c r="X72" s="2"/>
      <c r="Y72" s="2"/>
      <c r="Z72" s="2"/>
      <c r="AA72" s="2"/>
      <c r="AB72" s="2"/>
      <c r="AC72" s="2"/>
      <c r="AD72" s="2"/>
      <c r="AE72" s="2"/>
      <c r="AF72" s="2"/>
      <c r="AG72" s="2"/>
    </row>
    <row r="73" spans="3:33" x14ac:dyDescent="0.25">
      <c r="C73" s="2"/>
      <c r="D73" s="2"/>
      <c r="E73" s="2"/>
      <c r="F73" s="2"/>
      <c r="G73" s="2"/>
      <c r="H73" s="2"/>
      <c r="I73" s="2"/>
      <c r="J73" s="2"/>
      <c r="K73" s="2"/>
      <c r="L73" s="2"/>
      <c r="M73" s="2"/>
      <c r="N73" s="2"/>
      <c r="O73" s="2"/>
      <c r="R73" s="267"/>
      <c r="S73" s="2"/>
      <c r="T73" s="2"/>
      <c r="U73" s="2"/>
      <c r="V73" s="2"/>
      <c r="W73" s="2"/>
      <c r="X73" s="2"/>
      <c r="Y73" s="2"/>
      <c r="Z73" s="2"/>
      <c r="AA73" s="2"/>
      <c r="AB73" s="2"/>
      <c r="AC73" s="2"/>
      <c r="AD73" s="2"/>
      <c r="AE73" s="2"/>
      <c r="AF73" s="2"/>
      <c r="AG73" s="2"/>
    </row>
    <row r="74" spans="3:33" x14ac:dyDescent="0.25">
      <c r="C74" s="2"/>
      <c r="D74" s="2"/>
      <c r="E74" s="2"/>
      <c r="F74" s="2"/>
      <c r="G74" s="2"/>
      <c r="H74" s="2"/>
      <c r="I74" s="2"/>
      <c r="J74" s="2"/>
      <c r="K74" s="2"/>
      <c r="L74" s="2"/>
      <c r="M74" s="2"/>
      <c r="N74" s="2"/>
      <c r="O74" s="2"/>
      <c r="R74" s="267"/>
      <c r="S74" s="2"/>
      <c r="T74" s="2"/>
      <c r="U74" s="2"/>
      <c r="V74" s="2"/>
      <c r="W74" s="2"/>
      <c r="X74" s="2"/>
      <c r="Y74" s="2"/>
      <c r="Z74" s="2"/>
      <c r="AA74" s="2"/>
      <c r="AB74" s="2"/>
      <c r="AC74" s="2"/>
      <c r="AD74" s="2"/>
      <c r="AE74" s="2"/>
      <c r="AF74" s="2"/>
      <c r="AG74" s="2"/>
    </row>
    <row r="75" spans="3:33" x14ac:dyDescent="0.25">
      <c r="C75" s="2"/>
      <c r="D75" s="2"/>
      <c r="E75" s="2"/>
      <c r="F75" s="2"/>
      <c r="G75" s="2"/>
      <c r="H75" s="2"/>
      <c r="I75" s="2"/>
      <c r="J75" s="2"/>
      <c r="K75" s="2"/>
      <c r="L75" s="2"/>
      <c r="M75" s="2"/>
      <c r="N75" s="2"/>
      <c r="O75" s="2"/>
      <c r="R75" s="267"/>
      <c r="S75" s="2"/>
      <c r="T75" s="2"/>
      <c r="U75" s="2"/>
      <c r="V75" s="2"/>
      <c r="W75" s="2"/>
      <c r="X75" s="2"/>
      <c r="Y75" s="2"/>
      <c r="Z75" s="2"/>
      <c r="AA75" s="2"/>
      <c r="AB75" s="2"/>
      <c r="AC75" s="2"/>
      <c r="AD75" s="2"/>
      <c r="AE75" s="2"/>
      <c r="AF75" s="2"/>
      <c r="AG75" s="2"/>
    </row>
    <row r="76" spans="3:33" x14ac:dyDescent="0.25">
      <c r="C76" s="2"/>
      <c r="D76" s="2"/>
      <c r="E76" s="2"/>
      <c r="F76" s="2"/>
      <c r="G76" s="2"/>
      <c r="H76" s="2"/>
      <c r="I76" s="2"/>
      <c r="J76" s="2"/>
      <c r="K76" s="2"/>
      <c r="L76" s="2"/>
      <c r="M76" s="2"/>
      <c r="N76" s="2"/>
      <c r="O76" s="2"/>
      <c r="R76" s="267"/>
      <c r="S76" s="2"/>
      <c r="T76" s="2"/>
      <c r="U76" s="2"/>
      <c r="V76" s="2"/>
      <c r="W76" s="2"/>
      <c r="X76" s="2"/>
      <c r="Y76" s="2"/>
      <c r="Z76" s="2"/>
      <c r="AA76" s="2"/>
      <c r="AB76" s="2"/>
      <c r="AC76" s="2"/>
      <c r="AD76" s="2"/>
      <c r="AE76" s="2"/>
      <c r="AF76" s="2"/>
      <c r="AG76" s="2"/>
    </row>
    <row r="77" spans="3:33" x14ac:dyDescent="0.25">
      <c r="C77" s="2"/>
      <c r="D77" s="2"/>
      <c r="E77" s="2"/>
      <c r="F77" s="2"/>
      <c r="G77" s="2"/>
      <c r="H77" s="2"/>
      <c r="I77" s="2"/>
      <c r="J77" s="2"/>
      <c r="K77" s="2"/>
      <c r="L77" s="2"/>
      <c r="M77" s="2"/>
      <c r="N77" s="2"/>
      <c r="O77" s="2"/>
      <c r="R77" s="267"/>
      <c r="S77" s="2"/>
      <c r="T77" s="2"/>
      <c r="U77" s="2"/>
      <c r="V77" s="2"/>
      <c r="W77" s="2"/>
      <c r="X77" s="2"/>
      <c r="Y77" s="2"/>
      <c r="Z77" s="2"/>
      <c r="AA77" s="2"/>
      <c r="AB77" s="2"/>
      <c r="AC77" s="2"/>
      <c r="AD77" s="2"/>
      <c r="AE77" s="2"/>
      <c r="AF77" s="2"/>
      <c r="AG77" s="2"/>
    </row>
    <row r="78" spans="3:33" x14ac:dyDescent="0.25">
      <c r="C78" s="2"/>
      <c r="D78" s="2"/>
      <c r="E78" s="2"/>
      <c r="F78" s="2"/>
      <c r="G78" s="2"/>
      <c r="H78" s="2"/>
      <c r="I78" s="2"/>
      <c r="J78" s="2"/>
      <c r="K78" s="2"/>
      <c r="L78" s="2"/>
      <c r="M78" s="2"/>
      <c r="N78" s="2"/>
      <c r="O78" s="2"/>
      <c r="R78" s="267"/>
      <c r="S78" s="2"/>
      <c r="T78" s="2"/>
      <c r="U78" s="2"/>
      <c r="V78" s="2"/>
      <c r="W78" s="2"/>
      <c r="X78" s="2"/>
      <c r="Y78" s="2"/>
      <c r="Z78" s="2"/>
      <c r="AA78" s="2"/>
      <c r="AB78" s="2"/>
      <c r="AC78" s="2"/>
      <c r="AD78" s="2"/>
      <c r="AE78" s="2"/>
      <c r="AF78" s="2"/>
      <c r="AG78" s="2"/>
    </row>
    <row r="79" spans="3:33" x14ac:dyDescent="0.25">
      <c r="C79" s="2"/>
      <c r="D79" s="2"/>
      <c r="E79" s="2"/>
      <c r="F79" s="2"/>
      <c r="G79" s="2"/>
      <c r="H79" s="2"/>
      <c r="I79" s="2"/>
      <c r="J79" s="2"/>
      <c r="K79" s="2"/>
      <c r="L79" s="2"/>
      <c r="M79" s="2"/>
      <c r="N79" s="2"/>
      <c r="O79" s="2"/>
      <c r="R79" s="267"/>
      <c r="S79" s="2"/>
      <c r="T79" s="2"/>
      <c r="U79" s="2"/>
      <c r="V79" s="2"/>
      <c r="W79" s="2"/>
      <c r="X79" s="2"/>
      <c r="Y79" s="2"/>
      <c r="Z79" s="2"/>
      <c r="AA79" s="2"/>
      <c r="AB79" s="2"/>
      <c r="AC79" s="2"/>
      <c r="AD79" s="2"/>
      <c r="AE79" s="2"/>
      <c r="AF79" s="2"/>
      <c r="AG79" s="2"/>
    </row>
    <row r="80" spans="3:33" x14ac:dyDescent="0.25">
      <c r="C80" s="2"/>
      <c r="D80" s="2"/>
      <c r="E80" s="2"/>
      <c r="F80" s="2"/>
      <c r="G80" s="2"/>
      <c r="H80" s="2"/>
      <c r="I80" s="2"/>
      <c r="J80" s="2"/>
      <c r="K80" s="2"/>
      <c r="L80" s="2"/>
      <c r="M80" s="2"/>
      <c r="N80" s="2"/>
      <c r="O80" s="2"/>
      <c r="R80" s="267"/>
      <c r="S80" s="2"/>
      <c r="T80" s="2"/>
      <c r="U80" s="2"/>
      <c r="V80" s="2"/>
      <c r="W80" s="2"/>
      <c r="X80" s="2"/>
      <c r="Y80" s="2"/>
      <c r="Z80" s="2"/>
      <c r="AA80" s="2"/>
      <c r="AB80" s="2"/>
      <c r="AC80" s="2"/>
      <c r="AD80" s="2"/>
      <c r="AE80" s="2"/>
      <c r="AF80" s="2"/>
      <c r="AG80" s="2"/>
    </row>
    <row r="81" spans="3:33" x14ac:dyDescent="0.25">
      <c r="C81" s="2"/>
      <c r="D81" s="2"/>
      <c r="E81" s="2"/>
      <c r="F81" s="2"/>
      <c r="G81" s="2"/>
      <c r="H81" s="2"/>
      <c r="I81" s="2"/>
      <c r="J81" s="2"/>
      <c r="K81" s="2"/>
      <c r="L81" s="2"/>
      <c r="M81" s="2"/>
      <c r="N81" s="2"/>
      <c r="O81" s="2"/>
      <c r="R81" s="267"/>
      <c r="S81" s="2"/>
      <c r="T81" s="2"/>
      <c r="U81" s="2"/>
      <c r="V81" s="2"/>
      <c r="W81" s="2"/>
      <c r="X81" s="2"/>
      <c r="Y81" s="2"/>
      <c r="Z81" s="2"/>
      <c r="AA81" s="2"/>
      <c r="AB81" s="2"/>
      <c r="AC81" s="2"/>
      <c r="AD81" s="2"/>
      <c r="AE81" s="2"/>
      <c r="AF81" s="2"/>
      <c r="AG81" s="2"/>
    </row>
    <row r="82" spans="3:33" x14ac:dyDescent="0.25">
      <c r="C82" s="2"/>
      <c r="D82" s="2"/>
      <c r="E82" s="2"/>
      <c r="F82" s="2"/>
      <c r="G82" s="2"/>
      <c r="H82" s="2"/>
      <c r="I82" s="2"/>
      <c r="J82" s="2"/>
      <c r="K82" s="2"/>
      <c r="L82" s="2"/>
      <c r="M82" s="2"/>
      <c r="N82" s="2"/>
      <c r="O82" s="2"/>
      <c r="R82" s="267"/>
      <c r="S82" s="2"/>
      <c r="T82" s="2"/>
      <c r="U82" s="2"/>
      <c r="V82" s="2"/>
      <c r="W82" s="2"/>
      <c r="X82" s="2"/>
      <c r="Y82" s="2"/>
      <c r="Z82" s="2"/>
      <c r="AA82" s="2"/>
      <c r="AB82" s="2"/>
      <c r="AC82" s="2"/>
      <c r="AD82" s="2"/>
      <c r="AE82" s="2"/>
      <c r="AF82" s="2"/>
      <c r="AG82" s="2"/>
    </row>
    <row r="83" spans="3:33" x14ac:dyDescent="0.25">
      <c r="C83" s="2"/>
      <c r="D83" s="2"/>
      <c r="E83" s="2"/>
      <c r="F83" s="2"/>
      <c r="G83" s="2"/>
      <c r="H83" s="2"/>
      <c r="I83" s="2"/>
      <c r="J83" s="2"/>
      <c r="K83" s="2"/>
      <c r="L83" s="2"/>
      <c r="M83" s="2"/>
      <c r="N83" s="2"/>
      <c r="O83" s="2"/>
      <c r="R83" s="267"/>
      <c r="S83" s="2"/>
      <c r="T83" s="2"/>
      <c r="U83" s="2"/>
      <c r="V83" s="2"/>
      <c r="W83" s="2"/>
      <c r="X83" s="2"/>
      <c r="Y83" s="2"/>
      <c r="Z83" s="2"/>
      <c r="AA83" s="2"/>
      <c r="AB83" s="2"/>
      <c r="AC83" s="2"/>
      <c r="AD83" s="2"/>
      <c r="AE83" s="2"/>
      <c r="AF83" s="2"/>
      <c r="AG83" s="2"/>
    </row>
    <row r="84" spans="3:33" x14ac:dyDescent="0.25">
      <c r="C84" s="2"/>
      <c r="D84" s="2"/>
      <c r="E84" s="2"/>
      <c r="F84" s="2"/>
      <c r="G84" s="2"/>
      <c r="H84" s="2"/>
      <c r="I84" s="2"/>
      <c r="J84" s="2"/>
      <c r="K84" s="2"/>
      <c r="L84" s="2"/>
      <c r="M84" s="2"/>
      <c r="N84" s="2"/>
      <c r="O84" s="2"/>
      <c r="R84" s="267"/>
      <c r="S84" s="2"/>
      <c r="T84" s="2"/>
      <c r="U84" s="2"/>
      <c r="V84" s="2"/>
      <c r="W84" s="2"/>
      <c r="X84" s="2"/>
      <c r="Y84" s="2"/>
      <c r="Z84" s="2"/>
      <c r="AA84" s="2"/>
      <c r="AB84" s="2"/>
      <c r="AC84" s="2"/>
      <c r="AD84" s="2"/>
      <c r="AE84" s="2"/>
      <c r="AF84" s="2"/>
      <c r="AG84" s="2"/>
    </row>
    <row r="85" spans="3:33" x14ac:dyDescent="0.25">
      <c r="C85" s="2"/>
      <c r="D85" s="2"/>
      <c r="E85" s="2"/>
      <c r="F85" s="2"/>
      <c r="G85" s="2"/>
      <c r="H85" s="2"/>
      <c r="I85" s="2"/>
      <c r="J85" s="2"/>
      <c r="K85" s="2"/>
      <c r="L85" s="2"/>
      <c r="M85" s="2"/>
      <c r="N85" s="2"/>
      <c r="O85" s="2"/>
      <c r="R85" s="267"/>
      <c r="S85" s="2"/>
      <c r="T85" s="2"/>
      <c r="U85" s="2"/>
      <c r="V85" s="2"/>
      <c r="W85" s="2"/>
      <c r="X85" s="2"/>
      <c r="Y85" s="2"/>
      <c r="Z85" s="2"/>
      <c r="AA85" s="2"/>
      <c r="AB85" s="2"/>
      <c r="AC85" s="2"/>
      <c r="AD85" s="2"/>
      <c r="AE85" s="2"/>
      <c r="AF85" s="2"/>
      <c r="AG85" s="2"/>
    </row>
    <row r="86" spans="3:33" x14ac:dyDescent="0.25">
      <c r="C86" s="2"/>
      <c r="D86" s="2"/>
      <c r="E86" s="2"/>
      <c r="F86" s="2"/>
      <c r="G86" s="2"/>
      <c r="H86" s="2"/>
      <c r="I86" s="2"/>
      <c r="J86" s="2"/>
      <c r="K86" s="2"/>
      <c r="L86" s="2"/>
      <c r="M86" s="2"/>
      <c r="N86" s="2"/>
      <c r="O86" s="2"/>
      <c r="R86" s="267"/>
      <c r="S86" s="2"/>
      <c r="T86" s="2"/>
      <c r="U86" s="2"/>
      <c r="V86" s="2"/>
      <c r="W86" s="2"/>
      <c r="X86" s="2"/>
      <c r="Y86" s="2"/>
      <c r="Z86" s="2"/>
      <c r="AA86" s="2"/>
      <c r="AB86" s="2"/>
      <c r="AC86" s="2"/>
      <c r="AD86" s="2"/>
      <c r="AE86" s="2"/>
      <c r="AF86" s="2"/>
      <c r="AG86" s="2"/>
    </row>
    <row r="87" spans="3:33" x14ac:dyDescent="0.25">
      <c r="C87" s="2"/>
      <c r="D87" s="2"/>
      <c r="E87" s="2"/>
      <c r="F87" s="2"/>
      <c r="G87" s="2"/>
      <c r="H87" s="2"/>
      <c r="I87" s="2"/>
      <c r="J87" s="2"/>
      <c r="K87" s="2"/>
      <c r="L87" s="2"/>
      <c r="M87" s="2"/>
      <c r="N87" s="2"/>
      <c r="O87" s="2"/>
      <c r="R87" s="267"/>
      <c r="S87" s="2"/>
      <c r="T87" s="2"/>
      <c r="U87" s="2"/>
      <c r="V87" s="2"/>
      <c r="W87" s="2"/>
      <c r="X87" s="2"/>
      <c r="Y87" s="2"/>
      <c r="Z87" s="2"/>
      <c r="AA87" s="2"/>
      <c r="AB87" s="2"/>
      <c r="AC87" s="2"/>
      <c r="AD87" s="2"/>
      <c r="AE87" s="2"/>
      <c r="AF87" s="2"/>
      <c r="AG87" s="2"/>
    </row>
    <row r="88" spans="3:33" x14ac:dyDescent="0.25">
      <c r="C88" s="2"/>
      <c r="D88" s="2"/>
      <c r="E88" s="2"/>
      <c r="F88" s="2"/>
      <c r="G88" s="2"/>
      <c r="H88" s="2"/>
      <c r="I88" s="2"/>
      <c r="J88" s="2"/>
      <c r="K88" s="2"/>
      <c r="L88" s="2"/>
      <c r="M88" s="2"/>
      <c r="N88" s="2"/>
      <c r="O88" s="2"/>
      <c r="R88" s="267"/>
      <c r="S88" s="2"/>
      <c r="T88" s="2"/>
      <c r="U88" s="2"/>
      <c r="V88" s="2"/>
      <c r="W88" s="2"/>
      <c r="X88" s="2"/>
      <c r="Y88" s="2"/>
      <c r="Z88" s="2"/>
      <c r="AA88" s="2"/>
      <c r="AB88" s="2"/>
      <c r="AC88" s="2"/>
      <c r="AD88" s="2"/>
      <c r="AE88" s="2"/>
      <c r="AF88" s="2"/>
      <c r="AG88" s="2"/>
    </row>
    <row r="89" spans="3:33" x14ac:dyDescent="0.25">
      <c r="C89" s="2"/>
      <c r="D89" s="2"/>
      <c r="E89" s="2"/>
      <c r="F89" s="2"/>
      <c r="G89" s="2"/>
      <c r="H89" s="2"/>
      <c r="I89" s="2"/>
      <c r="J89" s="2"/>
      <c r="K89" s="2"/>
      <c r="L89" s="2"/>
      <c r="M89" s="2"/>
      <c r="N89" s="2"/>
      <c r="O89" s="2"/>
      <c r="R89" s="267"/>
      <c r="S89" s="2"/>
      <c r="T89" s="2"/>
      <c r="U89" s="2"/>
      <c r="V89" s="2"/>
      <c r="W89" s="2"/>
      <c r="X89" s="2"/>
      <c r="Y89" s="2"/>
      <c r="Z89" s="2"/>
      <c r="AA89" s="2"/>
      <c r="AB89" s="2"/>
      <c r="AC89" s="2"/>
      <c r="AD89" s="2"/>
      <c r="AE89" s="2"/>
      <c r="AF89" s="2"/>
      <c r="AG89" s="2"/>
    </row>
    <row r="90" spans="3:33" x14ac:dyDescent="0.25">
      <c r="C90" s="2"/>
      <c r="D90" s="2"/>
      <c r="E90" s="2"/>
      <c r="F90" s="2"/>
      <c r="G90" s="2"/>
      <c r="H90" s="2"/>
      <c r="I90" s="2"/>
      <c r="J90" s="2"/>
      <c r="K90" s="2"/>
      <c r="L90" s="2"/>
      <c r="M90" s="2"/>
      <c r="N90" s="2"/>
      <c r="O90" s="2"/>
      <c r="R90" s="267"/>
      <c r="S90" s="2"/>
      <c r="T90" s="2"/>
      <c r="U90" s="2"/>
      <c r="V90" s="2"/>
      <c r="W90" s="2"/>
      <c r="X90" s="2"/>
      <c r="Y90" s="2"/>
      <c r="Z90" s="2"/>
      <c r="AA90" s="2"/>
      <c r="AB90" s="2"/>
      <c r="AC90" s="2"/>
      <c r="AD90" s="2"/>
      <c r="AE90" s="2"/>
      <c r="AF90" s="2"/>
      <c r="AG90" s="2"/>
    </row>
    <row r="91" spans="3:33" x14ac:dyDescent="0.25">
      <c r="C91" s="2"/>
      <c r="D91" s="2"/>
      <c r="E91" s="2"/>
      <c r="F91" s="2"/>
      <c r="G91" s="2"/>
      <c r="H91" s="2"/>
      <c r="I91" s="2"/>
      <c r="J91" s="2"/>
      <c r="K91" s="2"/>
      <c r="L91" s="2"/>
      <c r="M91" s="2"/>
      <c r="N91" s="2"/>
      <c r="O91" s="2"/>
      <c r="R91" s="267"/>
      <c r="S91" s="2"/>
      <c r="T91" s="2"/>
      <c r="U91" s="2"/>
      <c r="V91" s="2"/>
      <c r="W91" s="2"/>
      <c r="X91" s="2"/>
      <c r="Y91" s="2"/>
      <c r="Z91" s="2"/>
      <c r="AA91" s="2"/>
      <c r="AB91" s="2"/>
      <c r="AC91" s="2"/>
      <c r="AD91" s="2"/>
      <c r="AE91" s="2"/>
      <c r="AF91" s="2"/>
      <c r="AG91" s="2"/>
    </row>
    <row r="92" spans="3:33" x14ac:dyDescent="0.25">
      <c r="C92" s="2"/>
      <c r="D92" s="2"/>
      <c r="E92" s="2"/>
      <c r="F92" s="2"/>
      <c r="G92" s="2"/>
      <c r="H92" s="2"/>
      <c r="I92" s="2"/>
      <c r="J92" s="2"/>
      <c r="K92" s="2"/>
      <c r="L92" s="2"/>
      <c r="M92" s="2"/>
      <c r="N92" s="2"/>
      <c r="O92" s="2"/>
      <c r="R92" s="267"/>
      <c r="S92" s="2"/>
      <c r="T92" s="2"/>
      <c r="U92" s="2"/>
      <c r="V92" s="2"/>
      <c r="W92" s="2"/>
      <c r="X92" s="2"/>
      <c r="Y92" s="2"/>
      <c r="Z92" s="2"/>
      <c r="AA92" s="2"/>
      <c r="AB92" s="2"/>
      <c r="AC92" s="2"/>
      <c r="AD92" s="2"/>
      <c r="AE92" s="2"/>
      <c r="AF92" s="2"/>
      <c r="AG92" s="2"/>
    </row>
    <row r="93" spans="3:33" x14ac:dyDescent="0.25">
      <c r="C93" s="2"/>
      <c r="D93" s="2"/>
      <c r="E93" s="2"/>
      <c r="F93" s="2"/>
      <c r="G93" s="2"/>
      <c r="H93" s="2"/>
      <c r="I93" s="2"/>
      <c r="J93" s="2"/>
      <c r="K93" s="2"/>
      <c r="L93" s="2"/>
      <c r="M93" s="2"/>
      <c r="N93" s="2"/>
      <c r="O93" s="2"/>
      <c r="R93" s="267"/>
      <c r="S93" s="2"/>
      <c r="T93" s="2"/>
      <c r="U93" s="2"/>
      <c r="V93" s="2"/>
      <c r="W93" s="2"/>
      <c r="X93" s="2"/>
      <c r="Y93" s="2"/>
      <c r="Z93" s="2"/>
      <c r="AA93" s="2"/>
      <c r="AB93" s="2"/>
      <c r="AC93" s="2"/>
      <c r="AD93" s="2"/>
      <c r="AE93" s="2"/>
      <c r="AF93" s="2"/>
      <c r="AG93" s="2"/>
    </row>
    <row r="94" spans="3:33" x14ac:dyDescent="0.25">
      <c r="C94" s="2"/>
      <c r="D94" s="2"/>
      <c r="E94" s="2"/>
      <c r="F94" s="2"/>
      <c r="G94" s="2"/>
      <c r="H94" s="2"/>
      <c r="I94" s="2"/>
      <c r="J94" s="2"/>
      <c r="K94" s="2"/>
      <c r="L94" s="2"/>
      <c r="M94" s="2"/>
      <c r="N94" s="2"/>
      <c r="O94" s="2"/>
      <c r="R94" s="267"/>
      <c r="S94" s="2"/>
      <c r="T94" s="2"/>
      <c r="U94" s="2"/>
      <c r="V94" s="2"/>
      <c r="W94" s="2"/>
      <c r="X94" s="2"/>
      <c r="Y94" s="2"/>
      <c r="Z94" s="2"/>
      <c r="AA94" s="2"/>
      <c r="AB94" s="2"/>
      <c r="AC94" s="2"/>
      <c r="AD94" s="2"/>
      <c r="AE94" s="2"/>
      <c r="AF94" s="2"/>
      <c r="AG94" s="2"/>
    </row>
    <row r="95" spans="3:33" x14ac:dyDescent="0.25">
      <c r="C95" s="2"/>
      <c r="D95" s="2"/>
      <c r="E95" s="2"/>
      <c r="F95" s="2"/>
      <c r="G95" s="2"/>
      <c r="H95" s="2"/>
      <c r="I95" s="2"/>
      <c r="J95" s="2"/>
      <c r="K95" s="2"/>
      <c r="L95" s="2"/>
      <c r="M95" s="2"/>
      <c r="N95" s="2"/>
      <c r="O95" s="2"/>
      <c r="R95" s="267"/>
      <c r="S95" s="2"/>
      <c r="T95" s="2"/>
      <c r="U95" s="2"/>
      <c r="V95" s="2"/>
      <c r="W95" s="2"/>
      <c r="X95" s="2"/>
      <c r="Y95" s="2"/>
      <c r="Z95" s="2"/>
      <c r="AA95" s="2"/>
      <c r="AB95" s="2"/>
      <c r="AC95" s="2"/>
      <c r="AD95" s="2"/>
      <c r="AE95" s="2"/>
      <c r="AF95" s="2"/>
      <c r="AG95" s="2"/>
    </row>
    <row r="96" spans="3:33" x14ac:dyDescent="0.25">
      <c r="C96" s="2"/>
      <c r="D96" s="2"/>
      <c r="E96" s="2"/>
      <c r="F96" s="2"/>
      <c r="G96" s="2"/>
      <c r="H96" s="2"/>
      <c r="I96" s="2"/>
      <c r="J96" s="2"/>
      <c r="K96" s="2"/>
      <c r="L96" s="2"/>
      <c r="M96" s="2"/>
      <c r="N96" s="2"/>
      <c r="O96" s="2"/>
      <c r="R96" s="267"/>
      <c r="S96" s="2"/>
      <c r="T96" s="2"/>
      <c r="U96" s="2"/>
      <c r="V96" s="2"/>
      <c r="W96" s="2"/>
      <c r="X96" s="2"/>
      <c r="Y96" s="2"/>
      <c r="Z96" s="2"/>
      <c r="AA96" s="2"/>
      <c r="AB96" s="2"/>
      <c r="AC96" s="2"/>
      <c r="AD96" s="2"/>
      <c r="AE96" s="2"/>
      <c r="AF96" s="2"/>
      <c r="AG96" s="2"/>
    </row>
    <row r="97" spans="3:33" x14ac:dyDescent="0.25">
      <c r="C97" s="2"/>
      <c r="D97" s="2"/>
      <c r="E97" s="2"/>
      <c r="F97" s="2"/>
      <c r="G97" s="2"/>
      <c r="H97" s="2"/>
      <c r="I97" s="2"/>
      <c r="J97" s="2"/>
      <c r="K97" s="2"/>
      <c r="L97" s="2"/>
      <c r="M97" s="2"/>
      <c r="N97" s="2"/>
      <c r="O97" s="2"/>
      <c r="R97" s="267"/>
      <c r="S97" s="2"/>
      <c r="T97" s="2"/>
      <c r="U97" s="2"/>
      <c r="V97" s="2"/>
      <c r="W97" s="2"/>
      <c r="X97" s="2"/>
      <c r="Y97" s="2"/>
      <c r="Z97" s="2"/>
      <c r="AA97" s="2"/>
      <c r="AB97" s="2"/>
      <c r="AC97" s="2"/>
      <c r="AD97" s="2"/>
      <c r="AE97" s="2"/>
      <c r="AF97" s="2"/>
      <c r="AG97" s="2"/>
    </row>
    <row r="98" spans="3:33" x14ac:dyDescent="0.25">
      <c r="C98" s="2"/>
      <c r="D98" s="2"/>
      <c r="E98" s="2"/>
      <c r="F98" s="2"/>
      <c r="G98" s="2"/>
      <c r="H98" s="2"/>
      <c r="I98" s="2"/>
      <c r="J98" s="2"/>
      <c r="K98" s="2"/>
      <c r="L98" s="2"/>
      <c r="M98" s="2"/>
      <c r="N98" s="2"/>
      <c r="O98" s="2"/>
      <c r="R98" s="267"/>
      <c r="S98" s="2"/>
      <c r="T98" s="2"/>
      <c r="U98" s="2"/>
      <c r="V98" s="2"/>
      <c r="W98" s="2"/>
      <c r="X98" s="2"/>
      <c r="Y98" s="2"/>
      <c r="Z98" s="2"/>
      <c r="AA98" s="2"/>
      <c r="AB98" s="2"/>
      <c r="AC98" s="2"/>
      <c r="AD98" s="2"/>
      <c r="AE98" s="2"/>
      <c r="AF98" s="2"/>
      <c r="AG98" s="2"/>
    </row>
    <row r="99" spans="3:33" x14ac:dyDescent="0.25">
      <c r="C99" s="2"/>
      <c r="D99" s="2"/>
      <c r="E99" s="2"/>
      <c r="F99" s="2"/>
      <c r="G99" s="2"/>
      <c r="H99" s="2"/>
      <c r="I99" s="2"/>
      <c r="J99" s="2"/>
      <c r="K99" s="2"/>
      <c r="L99" s="2"/>
      <c r="M99" s="2"/>
      <c r="N99" s="2"/>
      <c r="O99" s="2"/>
      <c r="R99" s="267"/>
      <c r="S99" s="2"/>
      <c r="T99" s="2"/>
      <c r="U99" s="2"/>
      <c r="V99" s="2"/>
      <c r="W99" s="2"/>
      <c r="X99" s="2"/>
      <c r="Y99" s="2"/>
      <c r="Z99" s="2"/>
      <c r="AA99" s="2"/>
      <c r="AB99" s="2"/>
      <c r="AC99" s="2"/>
      <c r="AD99" s="2"/>
      <c r="AE99" s="2"/>
      <c r="AF99" s="2"/>
      <c r="AG99" s="2"/>
    </row>
    <row r="100" spans="3:33" x14ac:dyDescent="0.25">
      <c r="C100" s="2"/>
      <c r="D100" s="2"/>
      <c r="E100" s="2"/>
      <c r="F100" s="2"/>
      <c r="G100" s="2"/>
      <c r="H100" s="2"/>
      <c r="I100" s="2"/>
      <c r="J100" s="2"/>
      <c r="K100" s="2"/>
      <c r="L100" s="2"/>
      <c r="M100" s="2"/>
      <c r="N100" s="2"/>
      <c r="O100" s="2"/>
      <c r="R100" s="267"/>
      <c r="S100" s="2"/>
      <c r="T100" s="2"/>
      <c r="U100" s="2"/>
      <c r="V100" s="2"/>
      <c r="W100" s="2"/>
      <c r="X100" s="2"/>
      <c r="Y100" s="2"/>
      <c r="Z100" s="2"/>
      <c r="AA100" s="2"/>
      <c r="AB100" s="2"/>
      <c r="AC100" s="2"/>
      <c r="AD100" s="2"/>
      <c r="AE100" s="2"/>
      <c r="AF100" s="2"/>
      <c r="AG100" s="2"/>
    </row>
    <row r="101" spans="3:33" x14ac:dyDescent="0.25">
      <c r="C101" s="2"/>
      <c r="D101" s="2"/>
      <c r="E101" s="2"/>
      <c r="F101" s="2"/>
      <c r="G101" s="2"/>
      <c r="H101" s="2"/>
      <c r="I101" s="2"/>
      <c r="J101" s="2"/>
      <c r="K101" s="2"/>
      <c r="L101" s="2"/>
      <c r="M101" s="2"/>
      <c r="N101" s="2"/>
      <c r="O101" s="2"/>
      <c r="R101" s="267"/>
      <c r="S101" s="2"/>
      <c r="T101" s="2"/>
      <c r="U101" s="2"/>
      <c r="V101" s="2"/>
      <c r="W101" s="2"/>
      <c r="X101" s="2"/>
      <c r="Y101" s="2"/>
      <c r="Z101" s="2"/>
      <c r="AA101" s="2"/>
      <c r="AB101" s="2"/>
      <c r="AC101" s="2"/>
      <c r="AD101" s="2"/>
      <c r="AE101" s="2"/>
      <c r="AF101" s="2"/>
      <c r="AG101" s="2"/>
    </row>
    <row r="102" spans="3:33" x14ac:dyDescent="0.25">
      <c r="C102" s="2"/>
      <c r="D102" s="2"/>
      <c r="E102" s="2"/>
      <c r="F102" s="2"/>
      <c r="G102" s="2"/>
      <c r="H102" s="2"/>
      <c r="I102" s="2"/>
      <c r="J102" s="2"/>
      <c r="K102" s="2"/>
      <c r="L102" s="2"/>
      <c r="M102" s="2"/>
      <c r="N102" s="2"/>
      <c r="O102" s="2"/>
      <c r="R102" s="267"/>
      <c r="S102" s="2"/>
      <c r="T102" s="2"/>
      <c r="U102" s="2"/>
      <c r="V102" s="2"/>
      <c r="W102" s="2"/>
      <c r="X102" s="2"/>
      <c r="Y102" s="2"/>
      <c r="Z102" s="2"/>
      <c r="AA102" s="2"/>
      <c r="AB102" s="2"/>
      <c r="AC102" s="2"/>
      <c r="AD102" s="2"/>
      <c r="AE102" s="2"/>
      <c r="AF102" s="2"/>
      <c r="AG102" s="2"/>
    </row>
    <row r="103" spans="3:33" x14ac:dyDescent="0.25">
      <c r="C103" s="2"/>
      <c r="D103" s="2"/>
      <c r="E103" s="2"/>
      <c r="F103" s="2"/>
      <c r="G103" s="2"/>
      <c r="H103" s="2"/>
      <c r="I103" s="2"/>
      <c r="J103" s="2"/>
      <c r="K103" s="2"/>
      <c r="L103" s="2"/>
      <c r="M103" s="2"/>
      <c r="N103" s="2"/>
      <c r="O103" s="2"/>
      <c r="R103" s="267"/>
      <c r="S103" s="2"/>
      <c r="T103" s="2"/>
      <c r="U103" s="2"/>
      <c r="V103" s="2"/>
      <c r="W103" s="2"/>
      <c r="X103" s="2"/>
      <c r="Y103" s="2"/>
      <c r="Z103" s="2"/>
      <c r="AA103" s="2"/>
      <c r="AB103" s="2"/>
      <c r="AC103" s="2"/>
      <c r="AD103" s="2"/>
      <c r="AE103" s="2"/>
      <c r="AF103" s="2"/>
      <c r="AG103" s="2"/>
    </row>
    <row r="104" spans="3:33" x14ac:dyDescent="0.25">
      <c r="C104" s="2"/>
      <c r="D104" s="2"/>
      <c r="E104" s="2"/>
      <c r="F104" s="2"/>
      <c r="G104" s="2"/>
      <c r="H104" s="2"/>
      <c r="I104" s="2"/>
      <c r="J104" s="2"/>
      <c r="K104" s="2"/>
      <c r="L104" s="2"/>
      <c r="M104" s="2"/>
      <c r="N104" s="2"/>
      <c r="O104" s="2"/>
      <c r="R104" s="267"/>
      <c r="S104" s="2"/>
      <c r="T104" s="2"/>
      <c r="U104" s="2"/>
      <c r="V104" s="2"/>
      <c r="W104" s="2"/>
      <c r="X104" s="2"/>
      <c r="Y104" s="2"/>
      <c r="Z104" s="2"/>
      <c r="AA104" s="2"/>
      <c r="AB104" s="2"/>
      <c r="AC104" s="2"/>
      <c r="AD104" s="2"/>
      <c r="AE104" s="2"/>
      <c r="AF104" s="2"/>
      <c r="AG104" s="2"/>
    </row>
    <row r="105" spans="3:33" x14ac:dyDescent="0.25">
      <c r="C105" s="2"/>
      <c r="D105" s="2"/>
      <c r="E105" s="2"/>
      <c r="F105" s="2"/>
      <c r="G105" s="2"/>
      <c r="H105" s="2"/>
      <c r="I105" s="2"/>
      <c r="J105" s="2"/>
      <c r="K105" s="2"/>
      <c r="L105" s="2"/>
      <c r="M105" s="2"/>
      <c r="N105" s="2"/>
      <c r="O105" s="2"/>
      <c r="R105" s="267"/>
      <c r="S105" s="2"/>
      <c r="T105" s="2"/>
      <c r="U105" s="2"/>
      <c r="V105" s="2"/>
      <c r="W105" s="2"/>
      <c r="X105" s="2"/>
      <c r="Y105" s="2"/>
      <c r="Z105" s="2"/>
      <c r="AA105" s="2"/>
      <c r="AB105" s="2"/>
      <c r="AC105" s="2"/>
      <c r="AD105" s="2"/>
      <c r="AE105" s="2"/>
      <c r="AF105" s="2"/>
      <c r="AG105" s="2"/>
    </row>
    <row r="106" spans="3:33" x14ac:dyDescent="0.25">
      <c r="C106" s="2"/>
      <c r="D106" s="2"/>
      <c r="E106" s="2"/>
      <c r="F106" s="2"/>
      <c r="G106" s="2"/>
      <c r="H106" s="2"/>
      <c r="I106" s="2"/>
      <c r="J106" s="2"/>
      <c r="K106" s="2"/>
      <c r="L106" s="2"/>
      <c r="M106" s="2"/>
      <c r="N106" s="2"/>
      <c r="O106" s="2"/>
      <c r="R106" s="267"/>
      <c r="S106" s="2"/>
      <c r="T106" s="2"/>
      <c r="U106" s="2"/>
      <c r="V106" s="2"/>
      <c r="W106" s="2"/>
      <c r="X106" s="2"/>
      <c r="Y106" s="2"/>
      <c r="Z106" s="2"/>
      <c r="AA106" s="2"/>
      <c r="AB106" s="2"/>
      <c r="AC106" s="2"/>
      <c r="AD106" s="2"/>
      <c r="AE106" s="2"/>
      <c r="AF106" s="2"/>
      <c r="AG106" s="2"/>
    </row>
    <row r="107" spans="3:33" x14ac:dyDescent="0.25">
      <c r="C107" s="2"/>
      <c r="D107" s="2"/>
      <c r="E107" s="2"/>
      <c r="F107" s="2"/>
      <c r="G107" s="2"/>
      <c r="H107" s="2"/>
      <c r="I107" s="2"/>
      <c r="J107" s="2"/>
      <c r="K107" s="2"/>
      <c r="L107" s="2"/>
      <c r="M107" s="2"/>
      <c r="N107" s="2"/>
      <c r="O107" s="2"/>
      <c r="R107" s="267"/>
      <c r="S107" s="2"/>
      <c r="T107" s="2"/>
      <c r="U107" s="2"/>
      <c r="V107" s="2"/>
      <c r="W107" s="2"/>
      <c r="X107" s="2"/>
      <c r="Y107" s="2"/>
      <c r="Z107" s="2"/>
      <c r="AA107" s="2"/>
      <c r="AB107" s="2"/>
      <c r="AC107" s="2"/>
      <c r="AD107" s="2"/>
      <c r="AE107" s="2"/>
      <c r="AF107" s="2"/>
      <c r="AG107" s="2"/>
    </row>
    <row r="108" spans="3:33" x14ac:dyDescent="0.25">
      <c r="C108" s="2"/>
      <c r="D108" s="2"/>
      <c r="E108" s="2"/>
      <c r="F108" s="2"/>
      <c r="G108" s="2"/>
      <c r="H108" s="2"/>
      <c r="I108" s="2"/>
      <c r="J108" s="2"/>
      <c r="K108" s="2"/>
      <c r="L108" s="2"/>
      <c r="M108" s="2"/>
      <c r="N108" s="2"/>
      <c r="O108" s="2"/>
      <c r="R108" s="267"/>
      <c r="S108" s="2"/>
      <c r="T108" s="2"/>
      <c r="U108" s="2"/>
      <c r="V108" s="2"/>
      <c r="W108" s="2"/>
      <c r="X108" s="2"/>
      <c r="Y108" s="2"/>
      <c r="Z108" s="2"/>
      <c r="AA108" s="2"/>
      <c r="AB108" s="2"/>
      <c r="AC108" s="2"/>
      <c r="AD108" s="2"/>
      <c r="AE108" s="2"/>
      <c r="AF108" s="2"/>
      <c r="AG108" s="2"/>
    </row>
    <row r="109" spans="3:33" x14ac:dyDescent="0.25">
      <c r="C109" s="235"/>
      <c r="D109" s="235" t="s">
        <v>71</v>
      </c>
      <c r="E109" s="235" t="s">
        <v>75</v>
      </c>
      <c r="F109" s="2"/>
      <c r="G109" s="2"/>
      <c r="H109" s="2"/>
      <c r="I109" s="2"/>
      <c r="J109" s="2"/>
      <c r="K109" s="2"/>
      <c r="L109" s="2"/>
      <c r="M109" s="2"/>
      <c r="N109" s="2"/>
      <c r="O109" s="2"/>
      <c r="R109" s="267"/>
      <c r="S109" s="2"/>
      <c r="T109" s="2"/>
      <c r="U109" s="2"/>
      <c r="V109" s="2"/>
      <c r="W109" s="2"/>
      <c r="X109" s="2"/>
      <c r="Y109" s="2"/>
      <c r="Z109" s="2"/>
      <c r="AA109" s="2"/>
      <c r="AB109" s="2"/>
      <c r="AC109" s="2"/>
      <c r="AD109" s="2"/>
      <c r="AE109" s="2"/>
      <c r="AF109" s="2"/>
      <c r="AG109" s="2"/>
    </row>
    <row r="110" spans="3:33" x14ac:dyDescent="0.25">
      <c r="C110" s="235" t="s">
        <v>119</v>
      </c>
      <c r="D110" s="1144">
        <f>C44</f>
        <v>-17629.507599242395</v>
      </c>
      <c r="E110" s="1358">
        <f>D44</f>
        <v>-24627.788098732199</v>
      </c>
      <c r="F110" s="2"/>
      <c r="G110" s="2"/>
      <c r="H110" s="2"/>
      <c r="I110" s="2"/>
      <c r="J110" s="2"/>
      <c r="K110" s="2"/>
      <c r="L110" s="2"/>
      <c r="M110" s="2"/>
      <c r="N110" s="2"/>
      <c r="O110" s="2"/>
      <c r="R110" s="267"/>
      <c r="S110" s="2"/>
      <c r="T110" s="2"/>
      <c r="U110" s="2"/>
      <c r="V110" s="2"/>
      <c r="W110" s="2"/>
      <c r="X110" s="2"/>
      <c r="Y110" s="2"/>
      <c r="Z110" s="2"/>
      <c r="AA110" s="2"/>
      <c r="AB110" s="2"/>
      <c r="AC110" s="2"/>
      <c r="AD110" s="2"/>
      <c r="AE110" s="2"/>
      <c r="AF110" s="2"/>
      <c r="AG110" s="2"/>
    </row>
    <row r="111" spans="3:33" x14ac:dyDescent="0.25">
      <c r="C111" s="235" t="s">
        <v>120</v>
      </c>
      <c r="D111" s="1144">
        <f>C44</f>
        <v>-17629.507599242395</v>
      </c>
      <c r="E111" s="1358">
        <f>E44</f>
        <v>-22232.482632401734</v>
      </c>
      <c r="F111" s="2"/>
      <c r="G111" s="2"/>
      <c r="H111" s="2"/>
      <c r="I111" s="2"/>
      <c r="J111" s="2"/>
      <c r="K111" s="2"/>
      <c r="L111" s="2"/>
      <c r="M111" s="2"/>
      <c r="N111" s="2"/>
      <c r="O111" s="2"/>
      <c r="R111" s="267"/>
      <c r="S111" s="2"/>
      <c r="T111" s="2"/>
      <c r="U111" s="2"/>
      <c r="V111" s="2"/>
      <c r="W111" s="2"/>
      <c r="X111" s="2"/>
      <c r="Y111" s="2"/>
      <c r="Z111" s="2"/>
      <c r="AA111" s="2"/>
      <c r="AB111" s="2"/>
      <c r="AC111" s="2"/>
      <c r="AD111" s="2"/>
      <c r="AE111" s="2"/>
      <c r="AF111" s="2"/>
      <c r="AG111" s="2"/>
    </row>
    <row r="112" spans="3:33" x14ac:dyDescent="0.25">
      <c r="C112" s="235" t="s">
        <v>64</v>
      </c>
      <c r="D112" s="1144">
        <f>F44</f>
        <v>2515.6991594971951</v>
      </c>
      <c r="E112" s="1358">
        <f>G44</f>
        <v>-2137.367199999997</v>
      </c>
      <c r="F112" s="2"/>
      <c r="G112" s="2"/>
      <c r="H112" s="2"/>
      <c r="I112" s="2"/>
      <c r="J112" s="2"/>
      <c r="K112" s="2"/>
      <c r="L112" s="2"/>
      <c r="M112" s="2"/>
      <c r="N112" s="2"/>
      <c r="O112" s="2"/>
      <c r="R112" s="267"/>
      <c r="S112" s="2"/>
      <c r="T112" s="2"/>
      <c r="U112" s="2"/>
      <c r="V112" s="2"/>
      <c r="W112" s="2"/>
      <c r="X112" s="2"/>
      <c r="Y112" s="2"/>
      <c r="Z112" s="2"/>
      <c r="AA112" s="2"/>
      <c r="AB112" s="2"/>
      <c r="AC112" s="2"/>
      <c r="AD112" s="2"/>
      <c r="AE112" s="2"/>
      <c r="AF112" s="2"/>
      <c r="AG112" s="2"/>
    </row>
    <row r="113" spans="3:33" x14ac:dyDescent="0.25">
      <c r="C113" s="235" t="s">
        <v>121</v>
      </c>
      <c r="D113" s="1144">
        <f>H44</f>
        <v>35409.344178782427</v>
      </c>
      <c r="E113" s="1358">
        <f>I44</f>
        <v>-22851.179608025181</v>
      </c>
      <c r="F113" s="2"/>
      <c r="G113" s="2"/>
      <c r="H113" s="2"/>
      <c r="I113" s="2"/>
      <c r="J113" s="2"/>
      <c r="K113" s="2"/>
      <c r="L113" s="2"/>
      <c r="M113" s="2"/>
      <c r="N113" s="2"/>
      <c r="O113" s="2"/>
      <c r="R113" s="267"/>
      <c r="S113" s="2"/>
      <c r="T113" s="2"/>
      <c r="U113" s="2"/>
      <c r="V113" s="2"/>
      <c r="W113" s="2"/>
      <c r="X113" s="2"/>
      <c r="Y113" s="2"/>
      <c r="Z113" s="2"/>
      <c r="AA113" s="2"/>
      <c r="AB113" s="2"/>
      <c r="AC113" s="2"/>
      <c r="AD113" s="2"/>
      <c r="AE113" s="2"/>
      <c r="AF113" s="2"/>
      <c r="AG113" s="2"/>
    </row>
    <row r="114" spans="3:33" x14ac:dyDescent="0.25">
      <c r="C114" s="235" t="s">
        <v>66</v>
      </c>
      <c r="D114" s="1144">
        <f>J44</f>
        <v>-39217.308749663585</v>
      </c>
      <c r="E114" s="1358">
        <f>K44</f>
        <v>-22084.528107131548</v>
      </c>
      <c r="F114" s="2"/>
      <c r="G114" s="2"/>
      <c r="H114" s="2"/>
      <c r="I114" s="2"/>
      <c r="J114" s="2"/>
      <c r="K114" s="2"/>
      <c r="L114" s="2"/>
      <c r="M114" s="2"/>
      <c r="N114" s="2"/>
      <c r="O114" s="2"/>
      <c r="R114" s="267"/>
      <c r="S114" s="2"/>
      <c r="T114" s="2"/>
      <c r="U114" s="2"/>
      <c r="V114" s="2"/>
      <c r="W114" s="2"/>
      <c r="X114" s="2"/>
      <c r="Y114" s="2"/>
      <c r="Z114" s="2"/>
      <c r="AA114" s="2"/>
      <c r="AB114" s="2"/>
      <c r="AC114" s="2"/>
      <c r="AD114" s="2"/>
      <c r="AE114" s="2"/>
      <c r="AF114" s="2"/>
      <c r="AG114" s="2"/>
    </row>
    <row r="115" spans="3:33" x14ac:dyDescent="0.25">
      <c r="C115" s="235" t="s">
        <v>122</v>
      </c>
      <c r="D115" s="1144">
        <f>L44</f>
        <v>-6993.7256755245908</v>
      </c>
      <c r="E115" s="1358">
        <f>M44</f>
        <v>-3235.85745398992</v>
      </c>
      <c r="F115" s="2"/>
      <c r="G115" s="2"/>
      <c r="H115" s="2"/>
      <c r="I115" s="2"/>
      <c r="J115" s="2"/>
      <c r="K115" s="2"/>
      <c r="L115" s="2"/>
      <c r="M115" s="2"/>
      <c r="N115" s="2"/>
      <c r="O115" s="2"/>
      <c r="R115" s="267"/>
      <c r="S115" s="2"/>
      <c r="T115" s="2"/>
      <c r="U115" s="2"/>
      <c r="V115" s="2"/>
      <c r="W115" s="2"/>
      <c r="X115" s="2"/>
      <c r="Y115" s="2"/>
      <c r="Z115" s="2"/>
      <c r="AA115" s="2"/>
      <c r="AB115" s="2"/>
      <c r="AC115" s="2"/>
      <c r="AD115" s="2"/>
      <c r="AE115" s="2"/>
      <c r="AF115" s="2"/>
      <c r="AG115" s="2"/>
    </row>
    <row r="116" spans="3:33" x14ac:dyDescent="0.25">
      <c r="C116" s="235" t="s">
        <v>68</v>
      </c>
      <c r="D116" s="1144">
        <f>N44</f>
        <v>-880.06644645065535</v>
      </c>
      <c r="E116" s="1358">
        <f>O44</f>
        <v>-29934.450033514906</v>
      </c>
      <c r="F116" s="2"/>
      <c r="G116" s="2"/>
      <c r="H116" s="2"/>
      <c r="I116" s="2"/>
      <c r="J116" s="2"/>
      <c r="K116" s="2"/>
      <c r="L116" s="2"/>
      <c r="M116" s="2"/>
      <c r="N116" s="2"/>
      <c r="O116" s="2"/>
      <c r="R116" s="267"/>
      <c r="S116" s="2"/>
      <c r="T116" s="2"/>
      <c r="U116" s="2"/>
      <c r="V116" s="2"/>
      <c r="W116" s="2"/>
      <c r="X116" s="2"/>
      <c r="Y116" s="2"/>
      <c r="Z116" s="2"/>
      <c r="AA116" s="2"/>
      <c r="AB116" s="2"/>
      <c r="AC116" s="2"/>
      <c r="AD116" s="2"/>
      <c r="AE116" s="2"/>
      <c r="AF116" s="2"/>
      <c r="AG116" s="2"/>
    </row>
    <row r="117" spans="3:33" x14ac:dyDescent="0.25">
      <c r="C117" s="2"/>
      <c r="D117" s="2"/>
      <c r="E117" s="2"/>
      <c r="F117" s="2"/>
      <c r="G117" s="2"/>
      <c r="H117" s="2"/>
      <c r="I117" s="2"/>
      <c r="J117" s="2"/>
      <c r="K117" s="2"/>
      <c r="L117" s="2"/>
      <c r="M117" s="2"/>
      <c r="N117" s="2"/>
      <c r="O117" s="2"/>
      <c r="R117" s="267"/>
      <c r="S117" s="2"/>
      <c r="T117" s="2"/>
      <c r="U117" s="2"/>
      <c r="V117" s="2"/>
      <c r="W117" s="2"/>
      <c r="X117" s="2"/>
      <c r="Y117" s="2"/>
      <c r="Z117" s="2"/>
      <c r="AA117" s="2"/>
      <c r="AB117" s="2"/>
      <c r="AC117" s="2"/>
      <c r="AD117" s="2"/>
      <c r="AE117" s="2"/>
      <c r="AF117" s="2"/>
      <c r="AG117" s="2"/>
    </row>
    <row r="118" spans="3:33" x14ac:dyDescent="0.25">
      <c r="C118" s="2"/>
      <c r="D118" s="2"/>
      <c r="E118" s="2"/>
      <c r="F118" s="2"/>
      <c r="G118" s="2"/>
      <c r="H118" s="2"/>
      <c r="I118" s="2"/>
      <c r="J118" s="2"/>
      <c r="K118" s="2"/>
      <c r="L118" s="2"/>
      <c r="M118" s="2"/>
      <c r="N118" s="2"/>
      <c r="O118" s="2"/>
      <c r="R118" s="267"/>
      <c r="S118" s="2"/>
      <c r="T118" s="2"/>
      <c r="U118" s="2"/>
      <c r="V118" s="2"/>
      <c r="W118" s="2"/>
      <c r="X118" s="2"/>
      <c r="Y118" s="2"/>
      <c r="Z118" s="2"/>
      <c r="AA118" s="2"/>
      <c r="AB118" s="2"/>
      <c r="AC118" s="2"/>
      <c r="AD118" s="2"/>
      <c r="AE118" s="2"/>
      <c r="AF118" s="2"/>
      <c r="AG118" s="2"/>
    </row>
    <row r="119" spans="3:33" x14ac:dyDescent="0.25">
      <c r="C119" s="2"/>
      <c r="D119" s="2"/>
      <c r="E119" s="2"/>
      <c r="F119" s="2"/>
      <c r="G119" s="2"/>
      <c r="H119" s="2"/>
      <c r="I119" s="2"/>
      <c r="J119" s="2"/>
      <c r="K119" s="2"/>
      <c r="L119" s="2"/>
      <c r="M119" s="2"/>
      <c r="N119" s="2"/>
      <c r="O119" s="2"/>
      <c r="R119" s="267"/>
      <c r="S119" s="2"/>
      <c r="T119" s="2"/>
      <c r="U119" s="2"/>
      <c r="V119" s="2"/>
      <c r="W119" s="2"/>
      <c r="X119" s="2"/>
      <c r="Y119" s="2"/>
      <c r="Z119" s="2"/>
      <c r="AA119" s="2"/>
      <c r="AB119" s="2"/>
      <c r="AC119" s="2"/>
      <c r="AD119" s="2"/>
      <c r="AE119" s="2"/>
      <c r="AF119" s="2"/>
      <c r="AG119" s="2"/>
    </row>
    <row r="120" spans="3:33" x14ac:dyDescent="0.25">
      <c r="C120" s="2"/>
      <c r="D120" s="2"/>
      <c r="E120" s="2"/>
      <c r="F120" s="2"/>
      <c r="G120" s="2"/>
      <c r="H120" s="2"/>
      <c r="I120" s="2"/>
      <c r="J120" s="2"/>
      <c r="K120" s="2"/>
      <c r="L120" s="2"/>
      <c r="M120" s="2"/>
      <c r="N120" s="2"/>
      <c r="O120" s="2"/>
      <c r="R120" s="267"/>
      <c r="S120" s="2"/>
      <c r="T120" s="2"/>
      <c r="U120" s="2"/>
      <c r="V120" s="2"/>
      <c r="W120" s="2"/>
      <c r="X120" s="2"/>
      <c r="Y120" s="2"/>
      <c r="Z120" s="2"/>
      <c r="AA120" s="2"/>
      <c r="AB120" s="2"/>
      <c r="AC120" s="2"/>
      <c r="AD120" s="2"/>
      <c r="AE120" s="2"/>
      <c r="AF120" s="2"/>
      <c r="AG120" s="2"/>
    </row>
    <row r="121" spans="3:33" x14ac:dyDescent="0.25">
      <c r="C121" s="2"/>
      <c r="D121" s="2"/>
      <c r="E121" s="2"/>
      <c r="F121" s="2"/>
      <c r="G121" s="2"/>
      <c r="H121" s="2"/>
      <c r="I121" s="2"/>
      <c r="J121" s="2"/>
      <c r="K121" s="2"/>
      <c r="L121" s="2"/>
      <c r="M121" s="2"/>
      <c r="N121" s="2"/>
      <c r="O121" s="2"/>
      <c r="R121" s="267"/>
      <c r="S121" s="2"/>
      <c r="T121" s="2"/>
      <c r="U121" s="2"/>
      <c r="V121" s="2"/>
      <c r="W121" s="2"/>
      <c r="X121" s="2"/>
      <c r="Y121" s="2"/>
      <c r="Z121" s="2"/>
      <c r="AA121" s="2"/>
      <c r="AB121" s="2"/>
      <c r="AC121" s="2"/>
      <c r="AD121" s="2"/>
      <c r="AE121" s="2"/>
      <c r="AF121" s="2"/>
      <c r="AG121" s="2"/>
    </row>
    <row r="122" spans="3:33" x14ac:dyDescent="0.25">
      <c r="C122" s="2"/>
      <c r="D122" s="2"/>
      <c r="E122" s="2"/>
      <c r="F122" s="2"/>
      <c r="G122" s="2"/>
      <c r="H122" s="2"/>
      <c r="I122" s="2"/>
      <c r="J122" s="2"/>
      <c r="K122" s="2"/>
      <c r="L122" s="2"/>
      <c r="M122" s="2"/>
      <c r="N122" s="2"/>
      <c r="O122" s="2"/>
      <c r="R122" s="267"/>
      <c r="S122" s="2"/>
      <c r="T122" s="2"/>
      <c r="U122" s="2"/>
      <c r="V122" s="2"/>
      <c r="W122" s="2"/>
      <c r="X122" s="2"/>
      <c r="Y122" s="2"/>
      <c r="Z122" s="2"/>
      <c r="AA122" s="2"/>
      <c r="AB122" s="2"/>
      <c r="AC122" s="2"/>
      <c r="AD122" s="2"/>
      <c r="AE122" s="2"/>
      <c r="AF122" s="2"/>
      <c r="AG122" s="2"/>
    </row>
    <row r="123" spans="3:33" x14ac:dyDescent="0.25">
      <c r="C123" s="2"/>
      <c r="D123" s="2"/>
      <c r="E123" s="2"/>
      <c r="F123" s="2"/>
      <c r="G123" s="2"/>
      <c r="H123" s="2"/>
      <c r="I123" s="2"/>
      <c r="J123" s="2"/>
      <c r="K123" s="2"/>
      <c r="L123" s="2"/>
      <c r="M123" s="2"/>
      <c r="N123" s="2"/>
      <c r="O123" s="2"/>
      <c r="R123" s="267"/>
      <c r="S123" s="2"/>
      <c r="T123" s="2"/>
      <c r="U123" s="2"/>
      <c r="V123" s="2"/>
      <c r="W123" s="2"/>
      <c r="X123" s="2"/>
      <c r="Y123" s="2"/>
      <c r="Z123" s="2"/>
      <c r="AA123" s="2"/>
      <c r="AB123" s="2"/>
      <c r="AC123" s="2"/>
      <c r="AD123" s="2"/>
      <c r="AE123" s="2"/>
      <c r="AF123" s="2"/>
      <c r="AG123" s="2"/>
    </row>
    <row r="124" spans="3:33" x14ac:dyDescent="0.25">
      <c r="C124" s="2"/>
      <c r="D124" s="2"/>
      <c r="E124" s="2"/>
      <c r="F124" s="2"/>
      <c r="G124" s="2"/>
      <c r="H124" s="2"/>
      <c r="I124" s="2"/>
      <c r="J124" s="2"/>
      <c r="K124" s="2"/>
      <c r="L124" s="2"/>
      <c r="M124" s="2"/>
      <c r="N124" s="2"/>
      <c r="O124" s="2"/>
      <c r="R124" s="267"/>
      <c r="S124" s="2"/>
      <c r="T124" s="2"/>
      <c r="U124" s="2"/>
      <c r="V124" s="2"/>
      <c r="W124" s="2"/>
      <c r="X124" s="2"/>
      <c r="Y124" s="2"/>
      <c r="Z124" s="2"/>
      <c r="AA124" s="2"/>
      <c r="AB124" s="2"/>
      <c r="AC124" s="2"/>
      <c r="AD124" s="2"/>
      <c r="AE124" s="2"/>
      <c r="AF124" s="2"/>
      <c r="AG124" s="2"/>
    </row>
    <row r="125" spans="3:33" x14ac:dyDescent="0.25">
      <c r="C125" s="2"/>
      <c r="D125" s="2"/>
      <c r="E125" s="2"/>
      <c r="F125" s="2"/>
      <c r="G125" s="2"/>
      <c r="H125" s="2"/>
      <c r="I125" s="2"/>
      <c r="J125" s="2"/>
      <c r="K125" s="2"/>
      <c r="L125" s="2"/>
      <c r="M125" s="2"/>
      <c r="N125" s="2"/>
      <c r="O125" s="2"/>
      <c r="R125" s="267"/>
      <c r="S125" s="2"/>
      <c r="T125" s="2"/>
      <c r="U125" s="2"/>
      <c r="V125" s="2"/>
      <c r="W125" s="2"/>
      <c r="X125" s="2"/>
      <c r="Y125" s="2"/>
      <c r="Z125" s="2"/>
      <c r="AA125" s="2"/>
      <c r="AB125" s="2"/>
      <c r="AC125" s="2"/>
      <c r="AD125" s="2"/>
      <c r="AE125" s="2"/>
      <c r="AF125" s="2"/>
      <c r="AG125" s="2"/>
    </row>
    <row r="126" spans="3:33" x14ac:dyDescent="0.25">
      <c r="C126" s="2"/>
      <c r="D126" s="2"/>
      <c r="E126" s="2"/>
      <c r="F126" s="2"/>
      <c r="G126" s="2"/>
      <c r="H126" s="2"/>
      <c r="I126" s="2"/>
      <c r="J126" s="2"/>
      <c r="K126" s="2"/>
      <c r="L126" s="2"/>
      <c r="M126" s="2"/>
      <c r="N126" s="2"/>
      <c r="O126" s="2"/>
      <c r="R126" s="267"/>
      <c r="S126" s="2"/>
      <c r="T126" s="2"/>
      <c r="U126" s="2"/>
      <c r="V126" s="2"/>
      <c r="W126" s="2"/>
      <c r="X126" s="2"/>
      <c r="Y126" s="2"/>
      <c r="Z126" s="2"/>
      <c r="AA126" s="2"/>
      <c r="AB126" s="2"/>
      <c r="AC126" s="2"/>
      <c r="AD126" s="2"/>
      <c r="AE126" s="2"/>
      <c r="AF126" s="2"/>
      <c r="AG126" s="2"/>
    </row>
    <row r="127" spans="3:33" x14ac:dyDescent="0.25">
      <c r="C127" s="2"/>
      <c r="D127" s="2"/>
      <c r="E127" s="2"/>
      <c r="F127" s="2"/>
      <c r="G127" s="2"/>
      <c r="H127" s="2"/>
      <c r="I127" s="2"/>
      <c r="J127" s="2"/>
      <c r="K127" s="2"/>
      <c r="L127" s="2"/>
      <c r="M127" s="2"/>
      <c r="N127" s="2"/>
      <c r="O127" s="2"/>
      <c r="R127" s="267"/>
      <c r="S127" s="2"/>
      <c r="T127" s="2"/>
      <c r="U127" s="2"/>
      <c r="V127" s="2"/>
      <c r="W127" s="2"/>
      <c r="X127" s="2"/>
      <c r="Y127" s="2"/>
      <c r="Z127" s="2"/>
      <c r="AA127" s="2"/>
      <c r="AB127" s="2"/>
      <c r="AC127" s="2"/>
      <c r="AD127" s="2"/>
      <c r="AE127" s="2"/>
      <c r="AF127" s="2"/>
      <c r="AG127" s="2"/>
    </row>
    <row r="128" spans="3:33" x14ac:dyDescent="0.25">
      <c r="C128" s="2"/>
      <c r="D128" s="2"/>
      <c r="E128" s="2"/>
      <c r="F128" s="2"/>
      <c r="G128" s="2"/>
      <c r="H128" s="2"/>
      <c r="I128" s="2"/>
      <c r="J128" s="2"/>
      <c r="K128" s="2"/>
      <c r="L128" s="2"/>
      <c r="M128" s="2"/>
      <c r="N128" s="2"/>
      <c r="O128" s="2"/>
      <c r="R128" s="267"/>
      <c r="S128" s="2"/>
      <c r="T128" s="2"/>
      <c r="U128" s="2"/>
      <c r="V128" s="2"/>
      <c r="W128" s="2"/>
      <c r="X128" s="2"/>
      <c r="Y128" s="2"/>
      <c r="Z128" s="2"/>
      <c r="AA128" s="2"/>
      <c r="AB128" s="2"/>
      <c r="AC128" s="2"/>
      <c r="AD128" s="2"/>
      <c r="AE128" s="2"/>
      <c r="AF128" s="2"/>
      <c r="AG128" s="2"/>
    </row>
    <row r="129" spans="3:33" x14ac:dyDescent="0.25">
      <c r="C129" s="2"/>
      <c r="D129" s="2"/>
      <c r="E129" s="2"/>
      <c r="F129" s="2"/>
      <c r="G129" s="2"/>
      <c r="H129" s="2"/>
      <c r="I129" s="2"/>
      <c r="J129" s="2"/>
      <c r="K129" s="2"/>
      <c r="L129" s="2"/>
      <c r="M129" s="2"/>
      <c r="N129" s="2"/>
      <c r="O129" s="2"/>
      <c r="R129" s="267"/>
      <c r="S129" s="2"/>
      <c r="T129" s="2"/>
      <c r="U129" s="2"/>
      <c r="V129" s="2"/>
      <c r="W129" s="2"/>
      <c r="X129" s="2"/>
      <c r="Y129" s="2"/>
      <c r="Z129" s="2"/>
      <c r="AA129" s="2"/>
      <c r="AB129" s="2"/>
      <c r="AC129" s="2"/>
      <c r="AD129" s="2"/>
      <c r="AE129" s="2"/>
      <c r="AF129" s="2"/>
      <c r="AG129" s="2"/>
    </row>
    <row r="130" spans="3:33" x14ac:dyDescent="0.25">
      <c r="C130" s="2"/>
      <c r="D130" s="2"/>
      <c r="E130" s="2"/>
      <c r="F130" s="2"/>
      <c r="G130" s="2"/>
      <c r="H130" s="2"/>
      <c r="I130" s="2"/>
      <c r="J130" s="2"/>
      <c r="K130" s="2"/>
      <c r="L130" s="2"/>
      <c r="M130" s="2"/>
      <c r="N130" s="2"/>
      <c r="O130" s="2"/>
      <c r="R130" s="267"/>
      <c r="S130" s="2"/>
      <c r="T130" s="2"/>
      <c r="U130" s="2"/>
      <c r="V130" s="2"/>
      <c r="W130" s="2"/>
      <c r="X130" s="2"/>
      <c r="Y130" s="2"/>
      <c r="Z130" s="2"/>
      <c r="AA130" s="2"/>
      <c r="AB130" s="2"/>
      <c r="AC130" s="2"/>
      <c r="AD130" s="2"/>
      <c r="AE130" s="2"/>
      <c r="AF130" s="2"/>
      <c r="AG130" s="2"/>
    </row>
    <row r="131" spans="3:33" x14ac:dyDescent="0.25">
      <c r="R131" s="267"/>
      <c r="S131" s="2"/>
      <c r="T131" s="2"/>
      <c r="U131" s="2"/>
      <c r="V131" s="2"/>
      <c r="W131" s="2"/>
      <c r="X131" s="2"/>
      <c r="Y131" s="2"/>
      <c r="Z131" s="2"/>
      <c r="AA131" s="2"/>
      <c r="AB131" s="2"/>
      <c r="AC131" s="2"/>
      <c r="AD131" s="2"/>
      <c r="AE131" s="2"/>
      <c r="AF131" s="2"/>
      <c r="AG131" s="2"/>
    </row>
    <row r="132" spans="3:33" x14ac:dyDescent="0.25">
      <c r="R132" s="267"/>
      <c r="S132" s="2"/>
      <c r="T132" s="2"/>
      <c r="U132" s="2"/>
      <c r="V132" s="2"/>
      <c r="W132" s="2"/>
      <c r="X132" s="2"/>
      <c r="Y132" s="2"/>
      <c r="Z132" s="2"/>
      <c r="AA132" s="2"/>
      <c r="AB132" s="2"/>
      <c r="AC132" s="2"/>
      <c r="AD132" s="2"/>
      <c r="AE132" s="2"/>
      <c r="AF132" s="2"/>
      <c r="AG132" s="2"/>
    </row>
    <row r="133" spans="3:33" x14ac:dyDescent="0.25">
      <c r="R133" s="267"/>
      <c r="S133" s="2"/>
      <c r="T133" s="2"/>
      <c r="U133" s="2"/>
      <c r="V133" s="2"/>
      <c r="W133" s="2"/>
      <c r="X133" s="2"/>
      <c r="Y133" s="2"/>
      <c r="Z133" s="2"/>
      <c r="AA133" s="2"/>
      <c r="AB133" s="2"/>
      <c r="AC133" s="2"/>
      <c r="AD133" s="2"/>
      <c r="AE133" s="2"/>
      <c r="AF133" s="2"/>
      <c r="AG133" s="2"/>
    </row>
    <row r="134" spans="3:33" x14ac:dyDescent="0.25">
      <c r="R134" s="267"/>
      <c r="S134" s="2"/>
      <c r="T134" s="2"/>
      <c r="U134" s="2"/>
      <c r="V134" s="2"/>
      <c r="W134" s="2"/>
      <c r="X134" s="2"/>
      <c r="Y134" s="2"/>
      <c r="Z134" s="2"/>
      <c r="AA134" s="2"/>
      <c r="AB134" s="2"/>
      <c r="AC134" s="2"/>
      <c r="AD134" s="2"/>
      <c r="AE134" s="2"/>
      <c r="AF134" s="2"/>
      <c r="AG134" s="2"/>
    </row>
  </sheetData>
  <mergeCells count="14">
    <mergeCell ref="E2:H2"/>
    <mergeCell ref="E3:H3"/>
    <mergeCell ref="E4:H4"/>
    <mergeCell ref="E6:H6"/>
    <mergeCell ref="E5:H5"/>
    <mergeCell ref="E7:H7"/>
    <mergeCell ref="N10:O10"/>
    <mergeCell ref="R14:X19"/>
    <mergeCell ref="C10:E10"/>
    <mergeCell ref="F10:G10"/>
    <mergeCell ref="H10:I10"/>
    <mergeCell ref="J10:K10"/>
    <mergeCell ref="L10:M10"/>
    <mergeCell ref="P14:P19"/>
  </mergeCells>
  <conditionalFormatting sqref="C44:P44">
    <cfRule type="cellIs" dxfId="28" priority="2" operator="lessThan">
      <formula>0</formula>
    </cfRule>
  </conditionalFormatting>
  <hyperlinks>
    <hyperlink ref="C10:E10" location="'Results - cereals'!A1" display="Cereals" xr:uid="{252EEDA0-3ACE-438B-BB4B-4653AF0D9355}"/>
    <hyperlink ref="F10:G10" location="'Results - horticulture'!A1" display="Horticulture" xr:uid="{70C954BB-B515-458C-9896-D45C5EEAF98A}"/>
    <hyperlink ref="H10:I10" location="'Results - lowland dairy'!A1" display="Lowland dairy" xr:uid="{7947BF50-69FF-46E1-BD66-75C55CDF58FE}"/>
    <hyperlink ref="J10:K10" location="'Results - lowland grazing'!A1" display="Lowland grazing" xr:uid="{0745EE33-4746-4687-8033-D4AA827FD932}"/>
    <hyperlink ref="L10:M10" location="'Results - LFA grazing'!A1" display="LFA grazing" xr:uid="{67F0F565-AC08-4DE4-9057-E62171A2E909}"/>
    <hyperlink ref="N10:O10" location="'Results - mixed'!A1" display="Mixed" xr:uid="{6DC7C23A-188B-4DB2-AF05-7A5328003F97}"/>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49D46F2-CF20-4C3E-9E75-95866B0299B3}">
          <x14:formula1>
            <xm:f>Lists!$D$3:$D$5</xm:f>
          </x14:formula1>
          <xm:sqref>C4</xm:sqref>
        </x14:dataValidation>
        <x14:dataValidation type="list" allowBlank="1" showInputMessage="1" showErrorMessage="1" xr:uid="{F9E9CCB2-35B5-48CB-992B-996FA9496DDD}">
          <x14:formula1>
            <xm:f>Lists!$F$3:$F$6</xm:f>
          </x14:formula1>
          <xm:sqref>C5</xm:sqref>
        </x14:dataValidation>
        <x14:dataValidation type="list" allowBlank="1" showInputMessage="1" showErrorMessage="1" xr:uid="{0D1B5A01-F82D-4941-9478-D6896E5BD73F}">
          <x14:formula1>
            <xm:f>Lists!$H$3:$H$6</xm:f>
          </x14:formula1>
          <xm:sqref>C6</xm:sqref>
        </x14:dataValidation>
        <x14:dataValidation type="list" allowBlank="1" showInputMessage="1" showErrorMessage="1" xr:uid="{E0277D8A-AE1B-4334-884F-EB1F2752EEAE}">
          <x14:formula1>
            <xm:f>Lists!$L$3:$L$103</xm:f>
          </x14:formula1>
          <xm:sqref>D7</xm:sqref>
        </x14:dataValidation>
        <x14:dataValidation type="list" allowBlank="1" showInputMessage="1" showErrorMessage="1" xr:uid="{B3297D53-8E56-4AEC-9985-2C6EBB888BB5}">
          <x14:formula1>
            <xm:f>Lists!$J$3:$J$5</xm:f>
          </x14:formula1>
          <xm:sqref>C7</xm:sqref>
        </x14:dataValidation>
        <x14:dataValidation type="list" allowBlank="1" showInputMessage="1" showErrorMessage="1" xr:uid="{9959AE4D-8920-4F3A-B02D-7E1524844895}">
          <x14:formula1>
            <xm:f>Lists!$B$3:$B$6</xm:f>
          </x14:formula1>
          <xm:sqref>C3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ED0D-358D-4A1D-B619-95353B7EF679}">
  <dimension ref="A1:AX68"/>
  <sheetViews>
    <sheetView showGridLines="0" showRowColHeaders="0" workbookViewId="0"/>
  </sheetViews>
  <sheetFormatPr defaultColWidth="8.81640625" defaultRowHeight="14.5" x14ac:dyDescent="0.35"/>
  <cols>
    <col min="1" max="1" width="5.7265625" customWidth="1"/>
    <col min="2" max="2" width="20.7265625" customWidth="1"/>
    <col min="3" max="3" width="29.7265625" customWidth="1"/>
    <col min="4" max="4" width="5.7265625" customWidth="1"/>
    <col min="5" max="13" width="20.7265625" customWidth="1"/>
    <col min="14" max="14" width="10.7265625" customWidth="1"/>
    <col min="15" max="15" width="27" style="2" customWidth="1"/>
    <col min="16" max="17" width="20.7265625" style="2" customWidth="1"/>
    <col min="18" max="18" width="24.1796875" style="2" customWidth="1"/>
    <col min="19" max="19" width="20.7265625" style="2" customWidth="1"/>
    <col min="20" max="20" width="30.7265625" style="2" customWidth="1"/>
    <col min="21" max="21" width="7.1796875" customWidth="1"/>
    <col min="22" max="22" width="22.1796875" customWidth="1"/>
    <col min="23" max="23" width="20.1796875" customWidth="1"/>
    <col min="24" max="24" width="17.81640625" customWidth="1"/>
    <col min="25" max="25" width="24.1796875" customWidth="1"/>
    <col min="26" max="26" width="34.81640625" customWidth="1"/>
    <col min="27" max="27" width="16.81640625" customWidth="1"/>
    <col min="28" max="28" width="35.1796875" customWidth="1"/>
    <col min="29" max="29" width="36.81640625" customWidth="1"/>
    <col min="30" max="30" width="17.81640625" customWidth="1"/>
    <col min="31" max="31" width="37.1796875" customWidth="1"/>
    <col min="32" max="32" width="35.453125" customWidth="1"/>
    <col min="33" max="33" width="17.81640625" customWidth="1"/>
    <col min="34" max="34" width="33.81640625" customWidth="1"/>
    <col min="35" max="35" width="33.1796875" customWidth="1"/>
  </cols>
  <sheetData>
    <row r="1" spans="2:20" ht="30" customHeight="1" thickBot="1" x14ac:dyDescent="0.4"/>
    <row r="2" spans="2:20" ht="30" customHeight="1" x14ac:dyDescent="0.35">
      <c r="B2" s="1458" t="s">
        <v>123</v>
      </c>
      <c r="C2" s="1459"/>
      <c r="O2" s="1451" t="s">
        <v>124</v>
      </c>
      <c r="P2" s="1452"/>
      <c r="Q2" s="1452"/>
      <c r="R2" s="1452"/>
      <c r="S2" s="1452"/>
      <c r="T2" s="1453"/>
    </row>
    <row r="3" spans="2:20" ht="30" customHeight="1" x14ac:dyDescent="0.35">
      <c r="B3" s="1240" t="s">
        <v>49</v>
      </c>
      <c r="C3" s="1241" t="s">
        <v>125</v>
      </c>
      <c r="O3" s="1456" t="s">
        <v>126</v>
      </c>
      <c r="P3" s="1454" t="s">
        <v>71</v>
      </c>
      <c r="Q3" s="1460" t="s">
        <v>72</v>
      </c>
      <c r="R3" s="1460"/>
      <c r="S3" s="1460" t="s">
        <v>73</v>
      </c>
      <c r="T3" s="1461"/>
    </row>
    <row r="4" spans="2:20" ht="30" customHeight="1" x14ac:dyDescent="0.35">
      <c r="B4" s="1242" t="s">
        <v>127</v>
      </c>
      <c r="C4" s="1238" t="str">
        <f>Dashboard!C3</f>
        <v>Current payment rate</v>
      </c>
      <c r="O4" s="1457"/>
      <c r="P4" s="1455"/>
      <c r="Q4" s="1397"/>
      <c r="R4" s="1397" t="s">
        <v>128</v>
      </c>
      <c r="S4" s="1397"/>
      <c r="T4" s="1398" t="s">
        <v>128</v>
      </c>
    </row>
    <row r="5" spans="2:20" ht="30" customHeight="1" x14ac:dyDescent="0.35">
      <c r="B5" s="1242" t="s">
        <v>55</v>
      </c>
      <c r="C5" s="1238" t="str">
        <f>Dashboard!C4</f>
        <v>Conventional pricing</v>
      </c>
      <c r="O5" s="203" t="s">
        <v>129</v>
      </c>
      <c r="P5" s="648">
        <f>SUM(Dashboard!C34:C36)</f>
        <v>209547.79620811579</v>
      </c>
      <c r="Q5" s="648">
        <f>SUM(Dashboard!D34:D36)</f>
        <v>105868.34919657139</v>
      </c>
      <c r="R5" s="648">
        <f>Q5-$P$5</f>
        <v>-103679.4470115444</v>
      </c>
      <c r="S5" s="648">
        <f>SUM(Dashboard!E34:E36)</f>
        <v>129636.20730252739</v>
      </c>
      <c r="T5" s="655">
        <f>S5-$P$5</f>
        <v>-79911.588905588404</v>
      </c>
    </row>
    <row r="6" spans="2:20" ht="30" customHeight="1" x14ac:dyDescent="0.35">
      <c r="B6" s="1242" t="s">
        <v>57</v>
      </c>
      <c r="C6" s="1238" t="str">
        <f>Dashboard!C5</f>
        <v>10% below conventional fixed costs</v>
      </c>
      <c r="O6" s="203" t="s">
        <v>130</v>
      </c>
      <c r="P6" s="648">
        <f>SUM(Dashboard!C27:C32)</f>
        <v>105027.30380735818</v>
      </c>
      <c r="Q6" s="648">
        <f>SUM(Dashboard!D27:D32)</f>
        <v>20561.137295303572</v>
      </c>
      <c r="R6" s="648">
        <f>Q6-$P$6</f>
        <v>-84466.166512054609</v>
      </c>
      <c r="S6" s="648">
        <f>SUM(Dashboard!E27:E32)</f>
        <v>41933.689934929105</v>
      </c>
      <c r="T6" s="655">
        <f>S6-$P$6</f>
        <v>-63093.613872429079</v>
      </c>
    </row>
    <row r="7" spans="2:20" ht="30" customHeight="1" x14ac:dyDescent="0.35">
      <c r="B7" s="1242" t="s">
        <v>59</v>
      </c>
      <c r="C7" s="1239" t="str">
        <f>Dashboard!C6</f>
        <v>+100%</v>
      </c>
      <c r="O7" s="203" t="s">
        <v>131</v>
      </c>
      <c r="P7" s="648">
        <f>Dashboard!C42</f>
        <v>122150</v>
      </c>
      <c r="Q7" s="648">
        <f>Dashboard!D42</f>
        <v>109935.00000000001</v>
      </c>
      <c r="R7" s="648">
        <f>Q7-$P$7</f>
        <v>-12214.999999999985</v>
      </c>
      <c r="S7" s="648">
        <f>Dashboard!E42</f>
        <v>109935.00000000001</v>
      </c>
      <c r="T7" s="655">
        <f>S7-$P$7</f>
        <v>-12214.999999999985</v>
      </c>
    </row>
    <row r="8" spans="2:20" ht="30" customHeight="1" thickBot="1" x14ac:dyDescent="0.4">
      <c r="B8" s="1242" t="s">
        <v>61</v>
      </c>
      <c r="C8" s="1239" t="str">
        <f>Dashboard!C7</f>
        <v>No payment</v>
      </c>
      <c r="O8" s="1375" t="s">
        <v>132</v>
      </c>
      <c r="P8" s="1376">
        <f>Dashboard!C44</f>
        <v>-17629.507599242395</v>
      </c>
      <c r="Q8" s="1376">
        <f>Dashboard!D44</f>
        <v>-24627.788098732199</v>
      </c>
      <c r="R8" s="1376">
        <f>Q8-$P$8</f>
        <v>-6998.2804994898033</v>
      </c>
      <c r="S8" s="1376">
        <f>Dashboard!E44</f>
        <v>-22232.482632401734</v>
      </c>
      <c r="T8" s="1377">
        <f>S8-$P$8</f>
        <v>-4602.9750331593386</v>
      </c>
    </row>
    <row r="9" spans="2:20" ht="30" customHeight="1" x14ac:dyDescent="0.35">
      <c r="O9" s="239"/>
      <c r="P9" s="239"/>
      <c r="Q9" s="239"/>
      <c r="R9" s="239"/>
      <c r="S9" s="239"/>
      <c r="T9" s="239"/>
    </row>
    <row r="10" spans="2:20" ht="30" customHeight="1" thickBot="1" x14ac:dyDescent="0.4">
      <c r="O10" s="239"/>
      <c r="P10" s="239"/>
      <c r="Q10" s="239"/>
      <c r="R10" s="239"/>
      <c r="S10" s="239"/>
      <c r="T10" s="239"/>
    </row>
    <row r="11" spans="2:20" ht="30" customHeight="1" x14ac:dyDescent="0.35">
      <c r="O11" s="1451" t="s">
        <v>133</v>
      </c>
      <c r="P11" s="1452"/>
      <c r="Q11" s="1452"/>
      <c r="R11" s="1453"/>
      <c r="S11" s="239"/>
      <c r="T11" s="239"/>
    </row>
    <row r="12" spans="2:20" ht="30" customHeight="1" x14ac:dyDescent="0.35">
      <c r="O12" s="1396" t="s">
        <v>126</v>
      </c>
      <c r="P12" s="1397" t="s">
        <v>71</v>
      </c>
      <c r="Q12" s="1397" t="s">
        <v>72</v>
      </c>
      <c r="R12" s="1398" t="s">
        <v>73</v>
      </c>
      <c r="S12" s="239"/>
      <c r="T12" s="239"/>
    </row>
    <row r="13" spans="2:20" ht="30" customHeight="1" x14ac:dyDescent="0.35">
      <c r="O13" s="203" t="s">
        <v>134</v>
      </c>
      <c r="P13" s="648">
        <f t="shared" ref="P13:Q16" si="0">P5/175</f>
        <v>1197.4159783320902</v>
      </c>
      <c r="Q13" s="648">
        <f t="shared" si="0"/>
        <v>604.96199540897942</v>
      </c>
      <c r="R13" s="655">
        <f>S5/175</f>
        <v>740.77832744301361</v>
      </c>
      <c r="S13" s="239"/>
      <c r="T13" s="239"/>
    </row>
    <row r="14" spans="2:20" ht="30" customHeight="1" x14ac:dyDescent="0.35">
      <c r="O14" s="203" t="s">
        <v>135</v>
      </c>
      <c r="P14" s="648">
        <f t="shared" si="0"/>
        <v>600.15602175633251</v>
      </c>
      <c r="Q14" s="648">
        <f t="shared" si="0"/>
        <v>117.49221311602041</v>
      </c>
      <c r="R14" s="655">
        <f>S6/175</f>
        <v>239.62108534245203</v>
      </c>
      <c r="S14" s="239"/>
      <c r="T14" s="239"/>
    </row>
    <row r="15" spans="2:20" ht="30" customHeight="1" x14ac:dyDescent="0.35">
      <c r="O15" s="203" t="s">
        <v>136</v>
      </c>
      <c r="P15" s="648">
        <f t="shared" si="0"/>
        <v>698</v>
      </c>
      <c r="Q15" s="648">
        <f t="shared" si="0"/>
        <v>628.20000000000005</v>
      </c>
      <c r="R15" s="655">
        <f>S7/175</f>
        <v>628.20000000000005</v>
      </c>
      <c r="S15" s="239"/>
      <c r="T15" s="239"/>
    </row>
    <row r="16" spans="2:20" ht="30" customHeight="1" thickBot="1" x14ac:dyDescent="0.4">
      <c r="O16" s="1375" t="s">
        <v>137</v>
      </c>
      <c r="P16" s="1376">
        <f t="shared" si="0"/>
        <v>-100.74004342424226</v>
      </c>
      <c r="Q16" s="1376">
        <f t="shared" si="0"/>
        <v>-140.73021770704113</v>
      </c>
      <c r="R16" s="1377">
        <f>S8/175</f>
        <v>-127.04275789943848</v>
      </c>
      <c r="S16" s="239"/>
      <c r="T16" s="239"/>
    </row>
    <row r="17" spans="14:22" ht="30" customHeight="1" x14ac:dyDescent="0.35">
      <c r="O17" s="239"/>
      <c r="P17" s="239"/>
      <c r="Q17" s="239"/>
      <c r="R17" s="239"/>
      <c r="S17" s="239"/>
      <c r="T17" s="239"/>
    </row>
    <row r="18" spans="14:22" ht="30" customHeight="1" thickBot="1" x14ac:dyDescent="0.4">
      <c r="O18" s="239"/>
      <c r="P18" s="239"/>
      <c r="Q18" s="239"/>
      <c r="R18" s="239"/>
      <c r="S18" s="239"/>
      <c r="T18" s="239"/>
    </row>
    <row r="19" spans="14:22" ht="30" customHeight="1" x14ac:dyDescent="0.35">
      <c r="O19" s="1451" t="s">
        <v>138</v>
      </c>
      <c r="P19" s="1452"/>
      <c r="Q19" s="1452" t="s">
        <v>139</v>
      </c>
      <c r="R19" s="1453"/>
      <c r="S19" s="239"/>
      <c r="T19" s="239"/>
    </row>
    <row r="20" spans="14:22" ht="30" customHeight="1" x14ac:dyDescent="0.35">
      <c r="O20" s="1396" t="s">
        <v>140</v>
      </c>
      <c r="P20" s="1397" t="s">
        <v>141</v>
      </c>
      <c r="Q20" s="1397" t="s">
        <v>140</v>
      </c>
      <c r="R20" s="1398" t="s">
        <v>141</v>
      </c>
      <c r="S20" s="239"/>
      <c r="T20" s="239"/>
    </row>
    <row r="21" spans="14:22" ht="30" customHeight="1" x14ac:dyDescent="0.35">
      <c r="O21" s="935" t="s">
        <v>142</v>
      </c>
      <c r="P21" s="1374">
        <v>52</v>
      </c>
      <c r="Q21" s="648" t="s">
        <v>143</v>
      </c>
      <c r="R21" s="1380">
        <v>79</v>
      </c>
      <c r="S21" s="239"/>
      <c r="T21" s="239"/>
    </row>
    <row r="22" spans="14:22" ht="30" customHeight="1" x14ac:dyDescent="0.35">
      <c r="O22" s="935" t="s">
        <v>144</v>
      </c>
      <c r="P22" s="1374">
        <v>52</v>
      </c>
      <c r="Q22" s="648" t="s">
        <v>144</v>
      </c>
      <c r="R22" s="1380">
        <v>52</v>
      </c>
      <c r="S22" s="239"/>
      <c r="T22" s="239"/>
    </row>
    <row r="23" spans="14:22" ht="30" customHeight="1" x14ac:dyDescent="0.35">
      <c r="O23" s="935" t="s">
        <v>145</v>
      </c>
      <c r="P23" s="1374">
        <v>26</v>
      </c>
      <c r="Q23" s="648" t="s">
        <v>145</v>
      </c>
      <c r="R23" s="1380">
        <v>26</v>
      </c>
      <c r="S23" s="239"/>
      <c r="T23" s="239"/>
    </row>
    <row r="24" spans="14:22" ht="30" customHeight="1" x14ac:dyDescent="0.35">
      <c r="O24" s="935" t="s">
        <v>146</v>
      </c>
      <c r="P24" s="1374">
        <v>26</v>
      </c>
      <c r="Q24" s="648" t="s">
        <v>147</v>
      </c>
      <c r="R24" s="1380">
        <v>18</v>
      </c>
      <c r="S24" s="239"/>
      <c r="T24" s="239"/>
    </row>
    <row r="25" spans="14:22" ht="30" customHeight="1" thickBot="1" x14ac:dyDescent="0.4">
      <c r="O25" s="932" t="s">
        <v>147</v>
      </c>
      <c r="P25" s="1381">
        <v>18</v>
      </c>
      <c r="Q25" s="1379"/>
      <c r="R25" s="1382"/>
      <c r="S25" s="239"/>
      <c r="T25" s="239"/>
    </row>
    <row r="26" spans="14:22" ht="30" customHeight="1" x14ac:dyDescent="0.35">
      <c r="O26" s="235"/>
      <c r="P26" s="235"/>
      <c r="Q26" s="235"/>
      <c r="R26" s="235"/>
      <c r="S26" s="235"/>
      <c r="T26" s="235"/>
      <c r="V26" s="1348"/>
    </row>
    <row r="27" spans="14:22" ht="30" customHeight="1" x14ac:dyDescent="0.35">
      <c r="O27" s="235"/>
      <c r="P27" s="235"/>
      <c r="Q27" s="235"/>
      <c r="R27" s="235"/>
      <c r="S27" s="235"/>
      <c r="T27" s="235"/>
      <c r="V27" s="1349"/>
    </row>
    <row r="28" spans="14:22" ht="30" customHeight="1" x14ac:dyDescent="0.35">
      <c r="O28" s="235"/>
      <c r="P28" s="235"/>
      <c r="Q28" s="235"/>
      <c r="R28" s="235"/>
      <c r="S28" s="235"/>
      <c r="T28" s="235"/>
    </row>
    <row r="29" spans="14:22" x14ac:dyDescent="0.35">
      <c r="O29" s="235"/>
      <c r="P29" s="235"/>
      <c r="Q29" s="235"/>
      <c r="R29" s="235"/>
      <c r="S29" s="235"/>
      <c r="T29" s="235"/>
    </row>
    <row r="30" spans="14:22" x14ac:dyDescent="0.35">
      <c r="O30" s="235"/>
      <c r="P30" s="235"/>
      <c r="Q30" s="235"/>
      <c r="R30" s="235"/>
      <c r="S30" s="235"/>
      <c r="T30" s="235"/>
    </row>
    <row r="31" spans="14:22" ht="16" x14ac:dyDescent="0.45">
      <c r="N31" s="1361"/>
      <c r="O31" s="235"/>
      <c r="P31" s="235"/>
      <c r="Q31" s="235"/>
      <c r="R31" s="235"/>
      <c r="S31" s="235"/>
      <c r="T31" s="235"/>
    </row>
    <row r="32" spans="14:22" x14ac:dyDescent="0.35">
      <c r="O32" s="235"/>
      <c r="P32" s="235"/>
      <c r="Q32" s="235"/>
      <c r="R32" s="235"/>
      <c r="S32" s="235"/>
      <c r="T32" s="235"/>
    </row>
    <row r="33" spans="1:50" x14ac:dyDescent="0.35">
      <c r="O33" s="235"/>
      <c r="P33" s="235"/>
      <c r="Q33" s="235"/>
      <c r="R33" s="235"/>
      <c r="S33" s="235"/>
      <c r="T33" s="235"/>
    </row>
    <row r="34" spans="1:50" ht="19.75" customHeight="1" x14ac:dyDescent="0.35"/>
    <row r="40" spans="1:50" x14ac:dyDescent="0.35">
      <c r="O40" s="235"/>
      <c r="P40" s="235"/>
      <c r="Q40" s="235"/>
      <c r="R40" s="235"/>
      <c r="S40" s="235"/>
      <c r="T40" s="235"/>
    </row>
    <row r="41" spans="1:50" x14ac:dyDescent="0.35">
      <c r="O41" s="235"/>
      <c r="P41" s="235"/>
      <c r="Q41" s="235"/>
      <c r="R41" s="235"/>
      <c r="S41" s="235"/>
      <c r="T41" s="235"/>
    </row>
    <row r="42" spans="1:50" s="2" customFormat="1" x14ac:dyDescent="0.35">
      <c r="A42"/>
      <c r="B42"/>
      <c r="C42"/>
      <c r="D42"/>
      <c r="E42"/>
      <c r="F42"/>
      <c r="G42"/>
      <c r="H42"/>
      <c r="I42"/>
      <c r="J42"/>
      <c r="K42"/>
      <c r="L42"/>
      <c r="M42"/>
      <c r="N42"/>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row>
    <row r="43" spans="1:50" s="2" customFormat="1" x14ac:dyDescent="0.35">
      <c r="A43"/>
      <c r="B43"/>
      <c r="C43"/>
      <c r="D43"/>
      <c r="E43"/>
      <c r="F43"/>
      <c r="G43"/>
      <c r="H43"/>
      <c r="I43"/>
      <c r="J43"/>
      <c r="K43"/>
      <c r="L43"/>
      <c r="M43"/>
      <c r="N43"/>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row>
    <row r="44" spans="1:50" s="2" customFormat="1" x14ac:dyDescent="0.35">
      <c r="A44"/>
      <c r="B44"/>
      <c r="C44"/>
      <c r="D44"/>
      <c r="E44"/>
      <c r="F44"/>
      <c r="G44"/>
      <c r="H44"/>
      <c r="I44"/>
      <c r="J44"/>
      <c r="K44"/>
      <c r="L44"/>
      <c r="M44"/>
      <c r="N44"/>
      <c r="AJ44" s="235"/>
      <c r="AK44" s="235"/>
      <c r="AL44" s="235"/>
      <c r="AM44" s="235"/>
      <c r="AN44" s="235"/>
      <c r="AO44" s="235"/>
      <c r="AP44" s="235"/>
      <c r="AQ44" s="235"/>
      <c r="AR44" s="235"/>
      <c r="AS44" s="235"/>
      <c r="AT44" s="235"/>
      <c r="AU44" s="235"/>
      <c r="AV44" s="235"/>
      <c r="AW44" s="235"/>
      <c r="AX44" s="235"/>
    </row>
    <row r="45" spans="1:50" s="2" customFormat="1" x14ac:dyDescent="0.35">
      <c r="A45"/>
      <c r="B45"/>
      <c r="C45"/>
      <c r="D45"/>
      <c r="E45"/>
      <c r="F45"/>
      <c r="G45"/>
      <c r="H45"/>
      <c r="I45"/>
      <c r="J45"/>
      <c r="K45"/>
      <c r="L45"/>
      <c r="M45"/>
      <c r="N45"/>
      <c r="AJ45" s="235"/>
      <c r="AK45" s="235"/>
      <c r="AL45" s="235"/>
      <c r="AM45" s="235"/>
      <c r="AN45" s="235"/>
      <c r="AO45" s="235"/>
      <c r="AP45" s="235"/>
      <c r="AQ45" s="235"/>
      <c r="AR45" s="235"/>
      <c r="AS45" s="235"/>
      <c r="AT45" s="235"/>
      <c r="AU45" s="235"/>
      <c r="AV45" s="235"/>
      <c r="AW45" s="235"/>
      <c r="AX45" s="235"/>
    </row>
    <row r="46" spans="1:50" s="2" customFormat="1" x14ac:dyDescent="0.35">
      <c r="A46"/>
      <c r="B46"/>
      <c r="C46"/>
      <c r="D46"/>
      <c r="E46"/>
      <c r="F46"/>
      <c r="G46"/>
      <c r="H46"/>
      <c r="I46"/>
      <c r="J46"/>
      <c r="K46"/>
      <c r="L46"/>
      <c r="M46"/>
      <c r="N46"/>
    </row>
    <row r="47" spans="1:50" s="2" customFormat="1" x14ac:dyDescent="0.35">
      <c r="A47"/>
      <c r="B47"/>
      <c r="C47"/>
      <c r="D47"/>
      <c r="E47"/>
      <c r="F47"/>
      <c r="G47"/>
      <c r="H47"/>
      <c r="I47"/>
      <c r="J47"/>
      <c r="K47"/>
      <c r="L47"/>
      <c r="M47"/>
      <c r="N47"/>
    </row>
    <row r="48" spans="1:50" s="2" customFormat="1" x14ac:dyDescent="0.35">
      <c r="A48"/>
      <c r="B48"/>
      <c r="C48"/>
      <c r="D48"/>
      <c r="E48"/>
      <c r="F48"/>
      <c r="G48"/>
      <c r="H48"/>
      <c r="I48"/>
      <c r="J48"/>
      <c r="K48"/>
      <c r="L48"/>
      <c r="M48"/>
      <c r="N48"/>
    </row>
    <row r="49" spans="1:14" s="2" customFormat="1" x14ac:dyDescent="0.35">
      <c r="A49"/>
      <c r="B49"/>
      <c r="C49"/>
      <c r="D49"/>
      <c r="E49"/>
      <c r="F49"/>
      <c r="G49"/>
      <c r="H49"/>
      <c r="I49"/>
      <c r="J49"/>
      <c r="K49"/>
      <c r="L49"/>
      <c r="M49"/>
      <c r="N49"/>
    </row>
    <row r="50" spans="1:14" s="2" customFormat="1" x14ac:dyDescent="0.35">
      <c r="A50"/>
      <c r="B50"/>
      <c r="C50"/>
      <c r="D50"/>
      <c r="E50"/>
      <c r="F50"/>
      <c r="G50"/>
      <c r="H50"/>
      <c r="I50"/>
      <c r="J50"/>
      <c r="K50"/>
      <c r="L50"/>
      <c r="M50"/>
      <c r="N50"/>
    </row>
    <row r="51" spans="1:14" s="2" customFormat="1" x14ac:dyDescent="0.35">
      <c r="A51"/>
      <c r="B51"/>
      <c r="C51"/>
      <c r="D51"/>
      <c r="E51"/>
      <c r="F51"/>
      <c r="G51"/>
      <c r="H51"/>
      <c r="I51"/>
      <c r="J51"/>
      <c r="K51"/>
      <c r="L51"/>
      <c r="M51"/>
      <c r="N51"/>
    </row>
    <row r="52" spans="1:14" s="2" customFormat="1" x14ac:dyDescent="0.35">
      <c r="A52"/>
      <c r="B52"/>
      <c r="C52"/>
      <c r="D52"/>
      <c r="E52"/>
      <c r="F52"/>
      <c r="G52"/>
      <c r="H52"/>
      <c r="I52"/>
      <c r="J52"/>
      <c r="K52"/>
      <c r="L52"/>
      <c r="M52"/>
      <c r="N52"/>
    </row>
    <row r="53" spans="1:14" s="2" customFormat="1" x14ac:dyDescent="0.35">
      <c r="A53"/>
      <c r="B53"/>
      <c r="C53"/>
      <c r="D53"/>
      <c r="E53"/>
      <c r="F53"/>
      <c r="G53"/>
      <c r="H53"/>
      <c r="I53"/>
      <c r="J53"/>
      <c r="K53"/>
      <c r="L53"/>
      <c r="M53"/>
      <c r="N53"/>
    </row>
    <row r="54" spans="1:14" s="2" customFormat="1" x14ac:dyDescent="0.35">
      <c r="A54"/>
      <c r="B54"/>
      <c r="C54"/>
      <c r="D54"/>
      <c r="E54"/>
      <c r="F54"/>
      <c r="G54"/>
      <c r="H54"/>
      <c r="I54"/>
      <c r="J54"/>
      <c r="K54"/>
      <c r="L54"/>
      <c r="M54"/>
      <c r="N54"/>
    </row>
    <row r="55" spans="1:14" s="2" customFormat="1" ht="40.5" customHeight="1" x14ac:dyDescent="0.35">
      <c r="A55"/>
      <c r="B55"/>
      <c r="C55"/>
      <c r="D55"/>
      <c r="E55"/>
      <c r="F55"/>
      <c r="G55"/>
      <c r="H55"/>
      <c r="I55"/>
      <c r="J55"/>
      <c r="K55"/>
      <c r="L55"/>
      <c r="M55"/>
      <c r="N55"/>
    </row>
    <row r="56" spans="1:14" s="2" customFormat="1" x14ac:dyDescent="0.35">
      <c r="A56"/>
      <c r="B56"/>
      <c r="C56"/>
      <c r="D56"/>
      <c r="E56"/>
      <c r="F56"/>
      <c r="G56"/>
      <c r="H56"/>
      <c r="I56"/>
      <c r="J56"/>
      <c r="K56"/>
      <c r="L56"/>
      <c r="M56"/>
      <c r="N56"/>
    </row>
    <row r="57" spans="1:14" s="2" customFormat="1" x14ac:dyDescent="0.35">
      <c r="A57"/>
      <c r="B57"/>
      <c r="C57"/>
      <c r="D57"/>
      <c r="E57"/>
      <c r="F57"/>
      <c r="G57"/>
      <c r="H57"/>
      <c r="I57"/>
      <c r="J57"/>
      <c r="K57"/>
      <c r="L57"/>
      <c r="M57"/>
      <c r="N57"/>
    </row>
    <row r="58" spans="1:14" s="2" customFormat="1" x14ac:dyDescent="0.35">
      <c r="A58"/>
      <c r="B58"/>
      <c r="C58"/>
      <c r="D58"/>
      <c r="E58"/>
      <c r="F58"/>
      <c r="G58"/>
      <c r="H58"/>
      <c r="I58"/>
      <c r="J58"/>
      <c r="K58"/>
      <c r="L58"/>
      <c r="M58"/>
      <c r="N58"/>
    </row>
    <row r="59" spans="1:14" s="2" customFormat="1" x14ac:dyDescent="0.35">
      <c r="A59"/>
      <c r="B59"/>
      <c r="C59"/>
      <c r="D59"/>
      <c r="E59"/>
      <c r="F59"/>
      <c r="G59"/>
      <c r="H59"/>
      <c r="I59"/>
      <c r="J59"/>
      <c r="K59"/>
      <c r="L59"/>
      <c r="M59"/>
      <c r="N59"/>
    </row>
    <row r="60" spans="1:14" s="2" customFormat="1" x14ac:dyDescent="0.35">
      <c r="A60"/>
      <c r="B60"/>
      <c r="C60"/>
      <c r="D60"/>
      <c r="E60"/>
      <c r="F60"/>
      <c r="G60"/>
      <c r="H60"/>
      <c r="I60"/>
      <c r="J60"/>
      <c r="K60"/>
      <c r="L60"/>
      <c r="M60"/>
      <c r="N60"/>
    </row>
    <row r="61" spans="1:14" s="2" customFormat="1" x14ac:dyDescent="0.35">
      <c r="A61"/>
      <c r="B61"/>
      <c r="C61"/>
      <c r="D61"/>
      <c r="E61"/>
      <c r="F61"/>
      <c r="G61"/>
      <c r="H61"/>
      <c r="I61"/>
      <c r="J61"/>
      <c r="K61"/>
      <c r="L61"/>
      <c r="M61"/>
      <c r="N61"/>
    </row>
    <row r="62" spans="1:14" s="2" customFormat="1" x14ac:dyDescent="0.35">
      <c r="A62"/>
      <c r="B62"/>
      <c r="C62"/>
      <c r="D62"/>
      <c r="E62"/>
      <c r="F62"/>
      <c r="G62"/>
      <c r="H62"/>
      <c r="I62"/>
      <c r="J62"/>
      <c r="K62"/>
      <c r="L62"/>
      <c r="M62"/>
      <c r="N62"/>
    </row>
    <row r="63" spans="1:14" s="2" customFormat="1" x14ac:dyDescent="0.35">
      <c r="A63"/>
      <c r="B63"/>
      <c r="C63"/>
      <c r="D63"/>
      <c r="E63"/>
      <c r="F63"/>
      <c r="G63"/>
      <c r="H63"/>
      <c r="I63"/>
      <c r="J63"/>
      <c r="K63"/>
      <c r="L63"/>
      <c r="M63"/>
      <c r="N63"/>
    </row>
    <row r="64" spans="1:14" s="2" customFormat="1" x14ac:dyDescent="0.35">
      <c r="A64"/>
      <c r="B64"/>
      <c r="C64"/>
      <c r="D64"/>
      <c r="E64"/>
      <c r="F64"/>
      <c r="G64"/>
      <c r="H64"/>
      <c r="I64"/>
      <c r="J64"/>
      <c r="K64"/>
      <c r="L64"/>
      <c r="M64"/>
      <c r="N64"/>
    </row>
    <row r="65" spans="1:14" s="2" customFormat="1" x14ac:dyDescent="0.35">
      <c r="A65"/>
      <c r="B65"/>
      <c r="C65"/>
      <c r="D65"/>
      <c r="E65"/>
      <c r="F65"/>
      <c r="G65"/>
      <c r="H65"/>
      <c r="I65"/>
      <c r="J65"/>
      <c r="K65"/>
      <c r="L65"/>
      <c r="M65"/>
      <c r="N65"/>
    </row>
    <row r="66" spans="1:14" s="2" customFormat="1" x14ac:dyDescent="0.35">
      <c r="A66"/>
      <c r="B66"/>
      <c r="C66"/>
      <c r="D66"/>
      <c r="E66"/>
      <c r="F66"/>
      <c r="G66"/>
      <c r="H66"/>
      <c r="I66"/>
      <c r="J66"/>
      <c r="K66"/>
      <c r="L66"/>
      <c r="M66"/>
      <c r="N66"/>
    </row>
    <row r="67" spans="1:14" s="2" customFormat="1" x14ac:dyDescent="0.35">
      <c r="A67"/>
      <c r="B67"/>
      <c r="C67"/>
      <c r="D67"/>
      <c r="E67"/>
      <c r="F67"/>
      <c r="G67"/>
      <c r="H67"/>
      <c r="I67"/>
      <c r="J67"/>
      <c r="K67"/>
      <c r="L67"/>
      <c r="M67"/>
      <c r="N67"/>
    </row>
    <row r="68" spans="1:14" s="2" customFormat="1" x14ac:dyDescent="0.35">
      <c r="A68"/>
      <c r="B68"/>
      <c r="C68"/>
      <c r="D68"/>
      <c r="E68"/>
      <c r="F68"/>
      <c r="G68"/>
      <c r="H68"/>
      <c r="I68"/>
      <c r="J68"/>
      <c r="K68"/>
      <c r="L68"/>
      <c r="M68"/>
      <c r="N68"/>
    </row>
  </sheetData>
  <sheetProtection algorithmName="SHA-512" hashValue="TQtZH+ZubwKwgilPk6TO83Te93iAaamVvD+bkfiyTSW35yjucCRD7fSGF+u8hdufMDDIezqWA1uW8LgeFS0rfw==" saltValue="9M75jYT3IxEgYLl/MXZETg==" spinCount="100000" sheet="1" objects="1" scenarios="1"/>
  <mergeCells count="9">
    <mergeCell ref="O19:P19"/>
    <mergeCell ref="Q19:R19"/>
    <mergeCell ref="P3:P4"/>
    <mergeCell ref="O3:O4"/>
    <mergeCell ref="B2:C2"/>
    <mergeCell ref="O11:R11"/>
    <mergeCell ref="O2:T2"/>
    <mergeCell ref="Q3:R3"/>
    <mergeCell ref="S3:T3"/>
  </mergeCells>
  <conditionalFormatting sqref="R5 R8">
    <cfRule type="cellIs" dxfId="27" priority="15" operator="lessThan">
      <formula>0</formula>
    </cfRule>
    <cfRule type="cellIs" dxfId="26" priority="16" operator="greaterThan">
      <formula>0</formula>
    </cfRule>
  </conditionalFormatting>
  <conditionalFormatting sqref="R6:R7">
    <cfRule type="cellIs" dxfId="25" priority="13" operator="lessThan">
      <formula>0</formula>
    </cfRule>
    <cfRule type="cellIs" dxfId="24" priority="14" operator="greaterThan">
      <formula>0</formula>
    </cfRule>
  </conditionalFormatting>
  <conditionalFormatting sqref="T5 T8">
    <cfRule type="cellIs" dxfId="23" priority="3" operator="lessThan">
      <formula>0</formula>
    </cfRule>
    <cfRule type="cellIs" dxfId="22" priority="4" operator="greaterThan">
      <formula>0</formula>
    </cfRule>
  </conditionalFormatting>
  <conditionalFormatting sqref="T6:T7">
    <cfRule type="cellIs" dxfId="21" priority="1" operator="lessThan">
      <formula>0</formula>
    </cfRule>
    <cfRule type="cellIs" dxfId="20" priority="2" operator="greater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894DA-73EF-4431-BA9F-FBC7B01B0CC5}">
  <dimension ref="B1:R46"/>
  <sheetViews>
    <sheetView showGridLines="0" showRowColHeaders="0" workbookViewId="0">
      <selection activeCell="C11" sqref="C11"/>
    </sheetView>
  </sheetViews>
  <sheetFormatPr defaultColWidth="8.81640625" defaultRowHeight="14.5" x14ac:dyDescent="0.35"/>
  <cols>
    <col min="1" max="1" width="5.7265625" customWidth="1"/>
    <col min="2" max="2" width="20.7265625" customWidth="1"/>
    <col min="3" max="3" width="29.7265625" customWidth="1"/>
    <col min="4" max="4" width="5.7265625" customWidth="1"/>
    <col min="5" max="5" width="20.7265625" customWidth="1"/>
    <col min="6" max="9" width="20.7265625" style="2" customWidth="1"/>
    <col min="10" max="13" width="20.7265625" customWidth="1"/>
    <col min="14" max="14" width="10.7265625" customWidth="1"/>
    <col min="15" max="17" width="20.7265625" customWidth="1"/>
    <col min="18" max="18" width="30.7265625" customWidth="1"/>
    <col min="19" max="20" width="20.7265625" customWidth="1"/>
  </cols>
  <sheetData>
    <row r="1" spans="2:18" ht="30" customHeight="1" thickBot="1" x14ac:dyDescent="0.4">
      <c r="F1" s="235"/>
      <c r="G1" s="235"/>
      <c r="H1" s="235"/>
      <c r="I1" s="235"/>
    </row>
    <row r="2" spans="2:18" ht="30" customHeight="1" x14ac:dyDescent="0.35">
      <c r="B2" s="1458" t="s">
        <v>123</v>
      </c>
      <c r="C2" s="1459"/>
      <c r="O2" s="1464" t="s">
        <v>148</v>
      </c>
      <c r="P2" s="1465"/>
      <c r="Q2" s="1465"/>
      <c r="R2" s="1466"/>
    </row>
    <row r="3" spans="2:18" ht="30" customHeight="1" x14ac:dyDescent="0.35">
      <c r="B3" s="1240" t="s">
        <v>49</v>
      </c>
      <c r="C3" s="1241" t="s">
        <v>125</v>
      </c>
      <c r="O3" s="1456" t="s">
        <v>126</v>
      </c>
      <c r="P3" s="1460" t="s">
        <v>71</v>
      </c>
      <c r="Q3" s="1460" t="s">
        <v>75</v>
      </c>
      <c r="R3" s="1461"/>
    </row>
    <row r="4" spans="2:18" ht="30" customHeight="1" x14ac:dyDescent="0.35">
      <c r="B4" s="1242" t="s">
        <v>127</v>
      </c>
      <c r="C4" s="1238" t="str">
        <f>Dashboard!C3</f>
        <v>Current payment rate</v>
      </c>
      <c r="O4" s="1457"/>
      <c r="P4" s="1460"/>
      <c r="Q4" s="1397"/>
      <c r="R4" s="1398" t="s">
        <v>128</v>
      </c>
    </row>
    <row r="5" spans="2:18" ht="30" customHeight="1" x14ac:dyDescent="0.35">
      <c r="B5" s="1242" t="s">
        <v>55</v>
      </c>
      <c r="C5" s="1238" t="str">
        <f>Dashboard!C4</f>
        <v>Conventional pricing</v>
      </c>
      <c r="O5" s="1362" t="s">
        <v>129</v>
      </c>
      <c r="P5" s="1271">
        <f>SUM(Dashboard!F34:F36)</f>
        <v>48451.782170199105</v>
      </c>
      <c r="Q5" s="1271">
        <f>SUM(Dashboard!G34:G36)</f>
        <v>62530.731299999999</v>
      </c>
      <c r="R5" s="1363">
        <f>Q5-$P$5</f>
        <v>14078.949129800894</v>
      </c>
    </row>
    <row r="6" spans="2:18" ht="30" customHeight="1" x14ac:dyDescent="0.35">
      <c r="B6" s="1242" t="s">
        <v>57</v>
      </c>
      <c r="C6" s="1238" t="str">
        <f>Dashboard!C5</f>
        <v>10% below conventional fixed costs</v>
      </c>
      <c r="O6" s="1362" t="s">
        <v>130</v>
      </c>
      <c r="P6" s="1271">
        <f>SUM(Dashboard!F27:F32)</f>
        <v>27788.08301070191</v>
      </c>
      <c r="Q6" s="1271">
        <f>SUM(Dashboard!G27:G32)</f>
        <v>48334.898499999996</v>
      </c>
      <c r="R6" s="1363">
        <f>Q6-$P$6</f>
        <v>20546.815489298086</v>
      </c>
    </row>
    <row r="7" spans="2:18" ht="30" customHeight="1" x14ac:dyDescent="0.35">
      <c r="B7" s="1242" t="s">
        <v>59</v>
      </c>
      <c r="C7" s="1239" t="str">
        <f>Dashboard!C6</f>
        <v>+100%</v>
      </c>
      <c r="O7" s="1362" t="s">
        <v>131</v>
      </c>
      <c r="P7" s="1271">
        <f>Dashboard!F42</f>
        <v>18148</v>
      </c>
      <c r="Q7" s="1271">
        <f>Dashboard!G42</f>
        <v>16333.2</v>
      </c>
      <c r="R7" s="1363">
        <f>Q7-$P$7</f>
        <v>-1814.7999999999993</v>
      </c>
    </row>
    <row r="8" spans="2:18" ht="30" customHeight="1" thickBot="1" x14ac:dyDescent="0.4">
      <c r="B8" s="1242" t="s">
        <v>61</v>
      </c>
      <c r="C8" s="1239" t="str">
        <f>Dashboard!C7</f>
        <v>No payment</v>
      </c>
      <c r="O8" s="1370" t="s">
        <v>132</v>
      </c>
      <c r="P8" s="1371">
        <f>Dashboard!F44</f>
        <v>2515.6991594971951</v>
      </c>
      <c r="Q8" s="1371">
        <f>Dashboard!G44</f>
        <v>-2137.367199999997</v>
      </c>
      <c r="R8" s="1364">
        <f>Q8-$P$8</f>
        <v>-4653.066359497192</v>
      </c>
    </row>
    <row r="9" spans="2:18" ht="30" customHeight="1" x14ac:dyDescent="0.35">
      <c r="F9" s="235"/>
      <c r="G9" s="235"/>
      <c r="H9" s="235"/>
      <c r="I9" s="235"/>
    </row>
    <row r="10" spans="2:18" ht="30" customHeight="1" thickBot="1" x14ac:dyDescent="0.4">
      <c r="F10" s="235"/>
      <c r="G10" s="235"/>
      <c r="H10" s="235"/>
      <c r="I10" s="235"/>
    </row>
    <row r="11" spans="2:18" ht="30" customHeight="1" x14ac:dyDescent="0.35">
      <c r="F11" s="235"/>
      <c r="G11" s="235"/>
      <c r="H11" s="235"/>
      <c r="I11" s="235"/>
      <c r="O11" s="1464" t="s">
        <v>149</v>
      </c>
      <c r="P11" s="1465"/>
      <c r="Q11" s="1466"/>
    </row>
    <row r="12" spans="2:18" ht="30" customHeight="1" x14ac:dyDescent="0.35">
      <c r="F12" s="235"/>
      <c r="G12" s="235"/>
      <c r="H12" s="235"/>
      <c r="I12" s="235"/>
      <c r="O12" s="1396" t="s">
        <v>126</v>
      </c>
      <c r="P12" s="1397" t="s">
        <v>71</v>
      </c>
      <c r="Q12" s="1398" t="s">
        <v>75</v>
      </c>
    </row>
    <row r="13" spans="2:18" ht="30" customHeight="1" x14ac:dyDescent="0.35">
      <c r="F13" s="235"/>
      <c r="G13" s="235"/>
      <c r="H13" s="235"/>
      <c r="I13" s="235"/>
      <c r="O13" s="1362" t="s">
        <v>134</v>
      </c>
      <c r="P13" s="1271">
        <f t="shared" ref="P13:Q16" si="0">P5/26</f>
        <v>1863.5300834691964</v>
      </c>
      <c r="Q13" s="1363">
        <f t="shared" si="0"/>
        <v>2405.0281269230768</v>
      </c>
    </row>
    <row r="14" spans="2:18" ht="30" customHeight="1" x14ac:dyDescent="0.35">
      <c r="F14" s="235"/>
      <c r="G14" s="235"/>
      <c r="H14" s="235"/>
      <c r="I14" s="235"/>
      <c r="O14" s="1362" t="s">
        <v>135</v>
      </c>
      <c r="P14" s="1271">
        <f t="shared" si="0"/>
        <v>1068.772423488535</v>
      </c>
      <c r="Q14" s="1363">
        <f t="shared" si="0"/>
        <v>1859.0345576923075</v>
      </c>
    </row>
    <row r="15" spans="2:18" ht="30" customHeight="1" x14ac:dyDescent="0.35">
      <c r="F15" s="235"/>
      <c r="G15" s="235"/>
      <c r="H15" s="235"/>
      <c r="I15" s="235"/>
      <c r="O15" s="1362" t="s">
        <v>136</v>
      </c>
      <c r="P15" s="1271">
        <f t="shared" si="0"/>
        <v>698</v>
      </c>
      <c r="Q15" s="1363">
        <f t="shared" si="0"/>
        <v>628.20000000000005</v>
      </c>
    </row>
    <row r="16" spans="2:18" ht="30" customHeight="1" thickBot="1" x14ac:dyDescent="0.4">
      <c r="F16" s="235"/>
      <c r="G16" s="235"/>
      <c r="H16" s="235"/>
      <c r="I16" s="235"/>
      <c r="O16" s="1370" t="s">
        <v>137</v>
      </c>
      <c r="P16" s="1371">
        <f t="shared" si="0"/>
        <v>96.757659980661344</v>
      </c>
      <c r="Q16" s="1364">
        <f t="shared" si="0"/>
        <v>-82.20643076923065</v>
      </c>
    </row>
    <row r="17" spans="6:16" ht="30" customHeight="1" x14ac:dyDescent="0.35">
      <c r="F17" s="235"/>
      <c r="G17" s="235"/>
      <c r="H17" s="235"/>
      <c r="I17" s="235"/>
    </row>
    <row r="18" spans="6:16" ht="30" customHeight="1" thickBot="1" x14ac:dyDescent="0.4">
      <c r="F18" s="235"/>
      <c r="G18" s="235"/>
      <c r="H18" s="235"/>
      <c r="I18" s="235"/>
    </row>
    <row r="19" spans="6:16" ht="30" customHeight="1" x14ac:dyDescent="0.35">
      <c r="F19" s="235"/>
      <c r="G19" s="235"/>
      <c r="H19" s="235"/>
      <c r="I19" s="235"/>
      <c r="O19" s="1462" t="s">
        <v>150</v>
      </c>
      <c r="P19" s="1463"/>
    </row>
    <row r="20" spans="6:16" ht="30" customHeight="1" x14ac:dyDescent="0.35">
      <c r="F20" s="235"/>
      <c r="G20" s="235"/>
      <c r="H20" s="235"/>
      <c r="I20" s="235"/>
      <c r="O20" s="1396" t="s">
        <v>140</v>
      </c>
      <c r="P20" s="1398" t="s">
        <v>141</v>
      </c>
    </row>
    <row r="21" spans="6:16" ht="30" customHeight="1" x14ac:dyDescent="0.35">
      <c r="F21" s="235"/>
      <c r="G21" s="235"/>
      <c r="H21" s="235"/>
      <c r="I21" s="235"/>
      <c r="O21" s="935" t="s">
        <v>151</v>
      </c>
      <c r="P21" s="1367">
        <v>10.5</v>
      </c>
    </row>
    <row r="22" spans="6:16" ht="30" customHeight="1" x14ac:dyDescent="0.35">
      <c r="F22" s="235"/>
      <c r="G22" s="235"/>
      <c r="H22" s="235"/>
      <c r="I22" s="235"/>
      <c r="O22" s="935" t="s">
        <v>152</v>
      </c>
      <c r="P22" s="1367">
        <v>3.5</v>
      </c>
    </row>
    <row r="23" spans="6:16" ht="30" customHeight="1" x14ac:dyDescent="0.35">
      <c r="F23" s="235"/>
      <c r="G23" s="235"/>
      <c r="H23" s="235"/>
      <c r="I23" s="235"/>
      <c r="O23" s="935" t="s">
        <v>153</v>
      </c>
      <c r="P23" s="1367">
        <v>3.5</v>
      </c>
    </row>
    <row r="24" spans="6:16" ht="30" customHeight="1" x14ac:dyDescent="0.35">
      <c r="F24" s="235"/>
      <c r="G24" s="235"/>
      <c r="H24" s="235"/>
      <c r="I24" s="235"/>
      <c r="O24" s="935" t="s">
        <v>154</v>
      </c>
      <c r="P24" s="1367">
        <v>3.5</v>
      </c>
    </row>
    <row r="25" spans="6:16" ht="30" customHeight="1" x14ac:dyDescent="0.35">
      <c r="F25" s="235"/>
      <c r="G25" s="235"/>
      <c r="H25" s="235"/>
      <c r="I25" s="235"/>
      <c r="O25" s="935" t="s">
        <v>155</v>
      </c>
      <c r="P25" s="1367">
        <v>3.5</v>
      </c>
    </row>
    <row r="26" spans="6:16" ht="39.75" customHeight="1" thickBot="1" x14ac:dyDescent="0.4">
      <c r="F26" s="235"/>
      <c r="G26" s="235"/>
      <c r="H26" s="235"/>
      <c r="I26" s="235"/>
      <c r="O26" s="932" t="s">
        <v>156</v>
      </c>
      <c r="P26" s="1368">
        <v>3</v>
      </c>
    </row>
    <row r="27" spans="6:16" ht="30" customHeight="1" x14ac:dyDescent="0.35">
      <c r="F27" s="235"/>
      <c r="G27" s="235"/>
      <c r="H27" s="235"/>
      <c r="I27" s="235"/>
    </row>
    <row r="28" spans="6:16" ht="30" customHeight="1" x14ac:dyDescent="0.35">
      <c r="F28" s="235"/>
      <c r="G28" s="235"/>
      <c r="H28" s="235"/>
      <c r="I28" s="235"/>
    </row>
    <row r="29" spans="6:16" ht="30" customHeight="1" x14ac:dyDescent="0.35">
      <c r="F29" s="235"/>
      <c r="G29" s="235"/>
      <c r="H29" s="235"/>
      <c r="I29" s="235"/>
    </row>
    <row r="30" spans="6:16" x14ac:dyDescent="0.35">
      <c r="F30" s="235"/>
      <c r="G30" s="235"/>
      <c r="H30" s="235"/>
      <c r="I30" s="235"/>
    </row>
    <row r="31" spans="6:16" x14ac:dyDescent="0.35">
      <c r="F31" s="235"/>
      <c r="G31" s="235"/>
      <c r="H31" s="235"/>
      <c r="I31" s="235"/>
    </row>
    <row r="32" spans="6:16" x14ac:dyDescent="0.35">
      <c r="F32" s="235"/>
      <c r="G32" s="235"/>
      <c r="H32" s="235"/>
    </row>
    <row r="33" spans="6:9" x14ac:dyDescent="0.35">
      <c r="F33" s="235"/>
      <c r="G33" s="235"/>
      <c r="H33" s="235"/>
      <c r="I33" s="235"/>
    </row>
    <row r="34" spans="6:9" x14ac:dyDescent="0.35">
      <c r="F34" s="235"/>
      <c r="G34" s="235"/>
      <c r="H34" s="235"/>
      <c r="I34" s="235"/>
    </row>
    <row r="35" spans="6:9" x14ac:dyDescent="0.35">
      <c r="F35" s="235"/>
      <c r="G35" s="235"/>
      <c r="H35" s="235"/>
      <c r="I35" s="235"/>
    </row>
    <row r="36" spans="6:9" x14ac:dyDescent="0.35">
      <c r="F36" s="235"/>
      <c r="G36" s="235"/>
      <c r="H36" s="235"/>
      <c r="I36" s="235"/>
    </row>
    <row r="37" spans="6:9" ht="19.75" customHeight="1" x14ac:dyDescent="0.35"/>
    <row r="43" spans="6:9" x14ac:dyDescent="0.35">
      <c r="F43" s="235"/>
      <c r="G43" s="235"/>
      <c r="H43" s="235"/>
      <c r="I43" s="235"/>
    </row>
    <row r="44" spans="6:9" x14ac:dyDescent="0.35">
      <c r="F44" s="235"/>
      <c r="G44" s="235"/>
      <c r="H44" s="235"/>
      <c r="I44" s="235"/>
    </row>
    <row r="45" spans="6:9" x14ac:dyDescent="0.35">
      <c r="F45" s="235"/>
      <c r="G45" s="235"/>
      <c r="H45" s="235"/>
      <c r="I45" s="235"/>
    </row>
    <row r="46" spans="6:9" x14ac:dyDescent="0.35">
      <c r="F46" s="235"/>
      <c r="G46" s="235"/>
      <c r="H46" s="235"/>
      <c r="I46" s="235"/>
    </row>
  </sheetData>
  <sheetProtection algorithmName="SHA-512" hashValue="GIK/pJleqDlIMbTSfGCrT7e+0XQ8TtmkBwWOtXlmDvdB0XICOViHWImB0JejioH8VM9DCxwIqbSaPqW13eRxxw==" saltValue="rgZZkrA06XcGYqimtmcHmA==" spinCount="100000" sheet="1" objects="1" scenarios="1"/>
  <mergeCells count="7">
    <mergeCell ref="B2:C2"/>
    <mergeCell ref="O19:P19"/>
    <mergeCell ref="O11:Q11"/>
    <mergeCell ref="Q3:R3"/>
    <mergeCell ref="P3:P4"/>
    <mergeCell ref="O3:O4"/>
    <mergeCell ref="O2:R2"/>
  </mergeCells>
  <conditionalFormatting sqref="R5 R8">
    <cfRule type="cellIs" dxfId="19" priority="3" operator="lessThan">
      <formula>0</formula>
    </cfRule>
    <cfRule type="cellIs" dxfId="18" priority="4" operator="greaterThan">
      <formula>0</formula>
    </cfRule>
  </conditionalFormatting>
  <conditionalFormatting sqref="R6:R7">
    <cfRule type="cellIs" dxfId="17" priority="1" operator="lessThan">
      <formula>0</formula>
    </cfRule>
    <cfRule type="cellIs" dxfId="16" priority="2" operator="greater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1BE84-477B-433A-B1C1-9EC874FFB671}">
  <dimension ref="B1:R48"/>
  <sheetViews>
    <sheetView showGridLines="0" showRowColHeaders="0" workbookViewId="0">
      <selection activeCell="A2" sqref="A2"/>
    </sheetView>
  </sheetViews>
  <sheetFormatPr defaultColWidth="8.81640625" defaultRowHeight="14.5" x14ac:dyDescent="0.35"/>
  <cols>
    <col min="1" max="1" width="5.7265625" customWidth="1"/>
    <col min="2" max="2" width="20.7265625" customWidth="1"/>
    <col min="3" max="3" width="29.7265625" customWidth="1"/>
    <col min="4" max="4" width="5.7265625" customWidth="1"/>
    <col min="5" max="9" width="20.7265625" style="2" customWidth="1"/>
    <col min="10" max="13" width="20.7265625" customWidth="1"/>
    <col min="14" max="14" width="10.7265625" customWidth="1"/>
    <col min="15" max="17" width="20.7265625" customWidth="1"/>
    <col min="18" max="18" width="26.26953125" customWidth="1"/>
    <col min="19" max="19" width="20.7265625" customWidth="1"/>
  </cols>
  <sheetData>
    <row r="1" spans="2:18" ht="30" customHeight="1" thickBot="1" x14ac:dyDescent="0.4">
      <c r="E1" s="235"/>
      <c r="F1" s="235"/>
      <c r="G1" s="235"/>
      <c r="H1" s="235"/>
      <c r="I1" s="235"/>
    </row>
    <row r="2" spans="2:18" ht="30" customHeight="1" x14ac:dyDescent="0.35">
      <c r="B2" s="1458" t="s">
        <v>123</v>
      </c>
      <c r="C2" s="1459"/>
      <c r="I2" s="235"/>
      <c r="O2" s="1462" t="s">
        <v>157</v>
      </c>
      <c r="P2" s="1467"/>
      <c r="Q2" s="1467"/>
      <c r="R2" s="1463"/>
    </row>
    <row r="3" spans="2:18" ht="30" customHeight="1" x14ac:dyDescent="0.35">
      <c r="B3" s="1240" t="s">
        <v>49</v>
      </c>
      <c r="C3" s="1241" t="s">
        <v>125</v>
      </c>
      <c r="I3" s="235"/>
      <c r="O3" s="1456" t="s">
        <v>126</v>
      </c>
      <c r="P3" s="1454" t="s">
        <v>71</v>
      </c>
      <c r="Q3" s="1468" t="s">
        <v>75</v>
      </c>
      <c r="R3" s="1469"/>
    </row>
    <row r="4" spans="2:18" ht="30" customHeight="1" x14ac:dyDescent="0.35">
      <c r="B4" s="1242" t="s">
        <v>127</v>
      </c>
      <c r="C4" s="1238" t="str">
        <f>Dashboard!C3</f>
        <v>Current payment rate</v>
      </c>
      <c r="I4" s="235"/>
      <c r="O4" s="1457"/>
      <c r="P4" s="1455"/>
      <c r="Q4" s="1397"/>
      <c r="R4" s="1398" t="s">
        <v>128</v>
      </c>
    </row>
    <row r="5" spans="2:18" ht="30" customHeight="1" x14ac:dyDescent="0.35">
      <c r="B5" s="1242" t="s">
        <v>55</v>
      </c>
      <c r="C5" s="1238" t="str">
        <f>Dashboard!C4</f>
        <v>Conventional pricing</v>
      </c>
      <c r="I5" s="235"/>
      <c r="O5" s="1362" t="s">
        <v>129</v>
      </c>
      <c r="P5" s="1271">
        <f>SUM(Dashboard!H34:H36)</f>
        <v>599011.20490706828</v>
      </c>
      <c r="Q5" s="1271">
        <f>SUM(Dashboard!I34:I36)</f>
        <v>264738.53288623411</v>
      </c>
      <c r="R5" s="1363">
        <f>Q5-$P$5</f>
        <v>-334272.67202083417</v>
      </c>
    </row>
    <row r="6" spans="2:18" ht="30" customHeight="1" x14ac:dyDescent="0.35">
      <c r="B6" s="1242" t="s">
        <v>57</v>
      </c>
      <c r="C6" s="1238" t="str">
        <f>Dashboard!C5</f>
        <v>10% below conventional fixed costs</v>
      </c>
      <c r="I6" s="235"/>
      <c r="O6" s="1362" t="s">
        <v>130</v>
      </c>
      <c r="P6" s="1271">
        <f>SUM(Dashboard!H27:H32)</f>
        <v>289446.86072828586</v>
      </c>
      <c r="Q6" s="1271">
        <f>SUM(Dashboard!I27:I32)</f>
        <v>77016.642181759278</v>
      </c>
      <c r="R6" s="1363">
        <f>Q6-$P$6</f>
        <v>-212430.21854652656</v>
      </c>
    </row>
    <row r="7" spans="2:18" ht="30" customHeight="1" x14ac:dyDescent="0.35">
      <c r="B7" s="1242" t="s">
        <v>59</v>
      </c>
      <c r="C7" s="1239" t="str">
        <f>Dashboard!C6</f>
        <v>+100%</v>
      </c>
      <c r="I7" s="235"/>
      <c r="O7" s="1362" t="s">
        <v>131</v>
      </c>
      <c r="P7" s="1271">
        <f>Dashboard!H42</f>
        <v>274155</v>
      </c>
      <c r="Q7" s="1271">
        <f>Dashboard!I42</f>
        <v>210573.0703125</v>
      </c>
      <c r="R7" s="1363">
        <f>Q7-$P$7</f>
        <v>-63581.9296875</v>
      </c>
    </row>
    <row r="8" spans="2:18" ht="30" customHeight="1" thickBot="1" x14ac:dyDescent="0.4">
      <c r="B8" s="1242" t="s">
        <v>61</v>
      </c>
      <c r="C8" s="1239" t="str">
        <f>Dashboard!C7</f>
        <v>No payment</v>
      </c>
      <c r="I8" s="235"/>
      <c r="O8" s="1370" t="s">
        <v>132</v>
      </c>
      <c r="P8" s="1371">
        <f>Dashboard!H44</f>
        <v>35409.344178782427</v>
      </c>
      <c r="Q8" s="1371">
        <f>Dashboard!I44</f>
        <v>-22851.179608025181</v>
      </c>
      <c r="R8" s="1364">
        <f>Q8-$P$8</f>
        <v>-58260.523786807607</v>
      </c>
    </row>
    <row r="9" spans="2:18" ht="30" customHeight="1" x14ac:dyDescent="0.35">
      <c r="E9" s="235"/>
      <c r="F9" s="235"/>
      <c r="G9" s="235"/>
      <c r="H9" s="235"/>
      <c r="I9" s="235"/>
    </row>
    <row r="10" spans="2:18" ht="30" customHeight="1" thickBot="1" x14ac:dyDescent="0.4">
      <c r="E10" s="235"/>
      <c r="F10" s="235"/>
      <c r="G10" s="235"/>
      <c r="H10" s="235"/>
      <c r="I10" s="235"/>
    </row>
    <row r="11" spans="2:18" ht="30" customHeight="1" x14ac:dyDescent="0.35">
      <c r="E11" s="235"/>
      <c r="F11" s="235"/>
      <c r="G11" s="235"/>
      <c r="H11" s="235"/>
      <c r="I11" s="235"/>
      <c r="O11" s="1462" t="s">
        <v>158</v>
      </c>
      <c r="P11" s="1467"/>
      <c r="Q11" s="1463"/>
    </row>
    <row r="12" spans="2:18" ht="30" customHeight="1" x14ac:dyDescent="0.35">
      <c r="E12" s="235"/>
      <c r="F12" s="235"/>
      <c r="G12" s="235"/>
      <c r="H12" s="235"/>
      <c r="I12" s="235"/>
      <c r="O12" s="1396" t="s">
        <v>126</v>
      </c>
      <c r="P12" s="1397" t="s">
        <v>71</v>
      </c>
      <c r="Q12" s="1398" t="s">
        <v>75</v>
      </c>
    </row>
    <row r="13" spans="2:18" ht="30" customHeight="1" x14ac:dyDescent="0.35">
      <c r="E13" s="235"/>
      <c r="F13" s="235"/>
      <c r="G13" s="235"/>
      <c r="H13" s="235"/>
      <c r="I13" s="235"/>
      <c r="O13" s="240" t="str">
        <f>O5</f>
        <v>Gross farm output</v>
      </c>
      <c r="P13" s="1271">
        <f t="shared" ref="P13:Q16" si="0">P5/147</f>
        <v>4074.9061558303965</v>
      </c>
      <c r="Q13" s="1363">
        <f t="shared" si="0"/>
        <v>1800.9424005866267</v>
      </c>
    </row>
    <row r="14" spans="2:18" ht="30" customHeight="1" x14ac:dyDescent="0.35">
      <c r="E14" s="235"/>
      <c r="F14" s="235"/>
      <c r="G14" s="235"/>
      <c r="H14" s="235"/>
      <c r="I14" s="235"/>
      <c r="O14" s="240" t="str">
        <f>O6</f>
        <v>Gross farm variable costs</v>
      </c>
      <c r="P14" s="1271">
        <f t="shared" si="0"/>
        <v>1969.0262634577268</v>
      </c>
      <c r="Q14" s="1363">
        <f t="shared" si="0"/>
        <v>523.92273593033519</v>
      </c>
    </row>
    <row r="15" spans="2:18" ht="30" customHeight="1" x14ac:dyDescent="0.35">
      <c r="E15" s="235"/>
      <c r="F15" s="235"/>
      <c r="G15" s="235"/>
      <c r="H15" s="235"/>
      <c r="I15" s="235"/>
      <c r="O15" s="240" t="str">
        <f>O7</f>
        <v>Fixed costs</v>
      </c>
      <c r="P15" s="1271">
        <f t="shared" si="0"/>
        <v>1865</v>
      </c>
      <c r="Q15" s="1363">
        <f t="shared" si="0"/>
        <v>1432.4698660714287</v>
      </c>
    </row>
    <row r="16" spans="2:18" ht="30" customHeight="1" thickBot="1" x14ac:dyDescent="0.4">
      <c r="E16" s="235"/>
      <c r="F16" s="235"/>
      <c r="G16" s="235"/>
      <c r="H16" s="235"/>
      <c r="I16" s="235"/>
      <c r="O16" s="1269" t="str">
        <f>O8</f>
        <v>Net farm income</v>
      </c>
      <c r="P16" s="1371">
        <f t="shared" si="0"/>
        <v>240.87989237266956</v>
      </c>
      <c r="Q16" s="1364">
        <f t="shared" si="0"/>
        <v>-155.45020141513729</v>
      </c>
    </row>
    <row r="17" spans="5:16" ht="30" customHeight="1" x14ac:dyDescent="0.35">
      <c r="E17" s="235"/>
      <c r="F17" s="235"/>
      <c r="G17" s="235"/>
      <c r="H17" s="235"/>
      <c r="I17" s="235"/>
    </row>
    <row r="18" spans="5:16" ht="30" customHeight="1" thickBot="1" x14ac:dyDescent="0.4">
      <c r="E18" s="235"/>
      <c r="F18" s="235"/>
      <c r="G18" s="235"/>
      <c r="H18" s="235"/>
      <c r="I18" s="235"/>
    </row>
    <row r="19" spans="5:16" ht="30" customHeight="1" x14ac:dyDescent="0.35">
      <c r="E19" s="235"/>
      <c r="F19" s="235"/>
      <c r="G19" s="235"/>
      <c r="H19" s="235"/>
      <c r="I19" s="235"/>
      <c r="O19" s="1462" t="s">
        <v>159</v>
      </c>
      <c r="P19" s="1463"/>
    </row>
    <row r="20" spans="5:16" ht="30" customHeight="1" x14ac:dyDescent="0.35">
      <c r="E20" s="235"/>
      <c r="F20" s="235"/>
      <c r="G20" s="235"/>
      <c r="H20" s="235"/>
      <c r="I20" s="235"/>
      <c r="O20" s="1396" t="s">
        <v>140</v>
      </c>
      <c r="P20" s="1398" t="s">
        <v>141</v>
      </c>
    </row>
    <row r="21" spans="5:16" ht="30" customHeight="1" x14ac:dyDescent="0.35">
      <c r="E21" s="235"/>
      <c r="F21" s="235"/>
      <c r="G21" s="235"/>
      <c r="H21" s="235"/>
      <c r="I21" s="235"/>
      <c r="O21" s="1369" t="s">
        <v>160</v>
      </c>
      <c r="P21" s="1367">
        <v>80</v>
      </c>
    </row>
    <row r="22" spans="5:16" ht="30" customHeight="1" x14ac:dyDescent="0.35">
      <c r="E22" s="235"/>
      <c r="F22" s="235"/>
      <c r="G22" s="235"/>
      <c r="H22" s="235"/>
      <c r="I22" s="235"/>
      <c r="O22" s="935" t="s">
        <v>161</v>
      </c>
      <c r="P22" s="1367">
        <v>26</v>
      </c>
    </row>
    <row r="23" spans="5:16" ht="30" customHeight="1" x14ac:dyDescent="0.35">
      <c r="E23" s="235"/>
      <c r="F23" s="235"/>
      <c r="G23" s="235"/>
      <c r="H23" s="235"/>
      <c r="I23" s="235"/>
      <c r="O23" s="935" t="s">
        <v>162</v>
      </c>
      <c r="P23" s="1367">
        <v>13</v>
      </c>
    </row>
    <row r="24" spans="5:16" ht="30" customHeight="1" x14ac:dyDescent="0.35">
      <c r="E24" s="235"/>
      <c r="F24" s="235"/>
      <c r="G24" s="235"/>
      <c r="H24" s="235"/>
      <c r="I24" s="235"/>
      <c r="O24" s="935" t="s">
        <v>163</v>
      </c>
      <c r="P24" s="1367">
        <v>13</v>
      </c>
    </row>
    <row r="25" spans="5:16" ht="30" customHeight="1" thickBot="1" x14ac:dyDescent="0.4">
      <c r="E25" s="235"/>
      <c r="F25" s="235"/>
      <c r="G25" s="235"/>
      <c r="H25" s="235"/>
      <c r="I25" s="235"/>
      <c r="O25" s="932" t="s">
        <v>164</v>
      </c>
      <c r="P25" s="1368">
        <v>13</v>
      </c>
    </row>
    <row r="26" spans="5:16" ht="30" customHeight="1" x14ac:dyDescent="0.35">
      <c r="E26" s="235"/>
      <c r="F26" s="235"/>
      <c r="G26" s="235"/>
      <c r="H26" s="235"/>
      <c r="I26" s="235"/>
    </row>
    <row r="27" spans="5:16" ht="30" customHeight="1" x14ac:dyDescent="0.35">
      <c r="E27" s="235"/>
      <c r="F27" s="235"/>
      <c r="G27" s="235"/>
      <c r="H27" s="235"/>
      <c r="I27" s="235"/>
    </row>
    <row r="28" spans="5:16" ht="30" customHeight="1" x14ac:dyDescent="0.35">
      <c r="E28" s="235"/>
      <c r="F28" s="235"/>
      <c r="G28" s="235"/>
      <c r="H28" s="235"/>
      <c r="I28" s="235"/>
    </row>
    <row r="29" spans="5:16" ht="30" customHeight="1" x14ac:dyDescent="0.35">
      <c r="E29" s="235"/>
      <c r="F29" s="235"/>
      <c r="G29" s="235"/>
      <c r="H29" s="235"/>
      <c r="I29" s="235"/>
    </row>
    <row r="30" spans="5:16" x14ac:dyDescent="0.35">
      <c r="E30" s="235"/>
      <c r="F30" s="235"/>
      <c r="G30" s="235"/>
      <c r="H30" s="235"/>
      <c r="I30" s="235"/>
    </row>
    <row r="31" spans="5:16" x14ac:dyDescent="0.35">
      <c r="E31" s="235"/>
      <c r="F31" s="235"/>
      <c r="G31" s="235"/>
      <c r="H31" s="235"/>
      <c r="I31" s="235"/>
    </row>
    <row r="32" spans="5:16" x14ac:dyDescent="0.35">
      <c r="E32" s="235"/>
      <c r="F32" s="235"/>
      <c r="G32" s="235"/>
      <c r="H32" s="235"/>
      <c r="I32" s="235"/>
    </row>
    <row r="33" spans="5:9" x14ac:dyDescent="0.35">
      <c r="E33" s="235"/>
      <c r="F33" s="235"/>
      <c r="G33" s="235"/>
      <c r="H33" s="235"/>
      <c r="I33" s="235"/>
    </row>
    <row r="34" spans="5:9" x14ac:dyDescent="0.35">
      <c r="E34" s="235"/>
      <c r="F34" s="235"/>
      <c r="G34" s="235"/>
      <c r="H34" s="235"/>
      <c r="I34" s="235"/>
    </row>
    <row r="35" spans="5:9" x14ac:dyDescent="0.35">
      <c r="E35" s="235"/>
      <c r="F35" s="235"/>
      <c r="G35" s="235"/>
      <c r="H35" s="235"/>
      <c r="I35" s="235"/>
    </row>
    <row r="36" spans="5:9" x14ac:dyDescent="0.35">
      <c r="E36" s="235"/>
      <c r="F36" s="235"/>
      <c r="G36" s="235"/>
      <c r="H36" s="235"/>
      <c r="I36" s="235"/>
    </row>
    <row r="37" spans="5:9" ht="19.75" customHeight="1" x14ac:dyDescent="0.35">
      <c r="I37" s="235"/>
    </row>
    <row r="38" spans="5:9" x14ac:dyDescent="0.35">
      <c r="I38" s="235"/>
    </row>
    <row r="39" spans="5:9" x14ac:dyDescent="0.35">
      <c r="I39" s="235"/>
    </row>
    <row r="40" spans="5:9" x14ac:dyDescent="0.35">
      <c r="I40" s="235"/>
    </row>
    <row r="41" spans="5:9" x14ac:dyDescent="0.35">
      <c r="I41" s="235"/>
    </row>
    <row r="42" spans="5:9" x14ac:dyDescent="0.35">
      <c r="I42" s="235"/>
    </row>
    <row r="43" spans="5:9" x14ac:dyDescent="0.35">
      <c r="E43" s="235"/>
      <c r="F43" s="235"/>
      <c r="G43" s="235"/>
      <c r="H43" s="235"/>
      <c r="I43" s="235"/>
    </row>
    <row r="44" spans="5:9" x14ac:dyDescent="0.35">
      <c r="E44" s="235"/>
      <c r="F44" s="235"/>
      <c r="G44" s="235"/>
      <c r="H44" s="235"/>
      <c r="I44" s="235"/>
    </row>
    <row r="45" spans="5:9" x14ac:dyDescent="0.35">
      <c r="E45" s="235"/>
      <c r="F45" s="235"/>
      <c r="G45" s="235"/>
      <c r="H45" s="235"/>
      <c r="I45" s="235"/>
    </row>
    <row r="46" spans="5:9" x14ac:dyDescent="0.35">
      <c r="E46" s="235"/>
      <c r="F46" s="235"/>
      <c r="G46" s="235"/>
      <c r="H46" s="235"/>
      <c r="I46" s="235"/>
    </row>
    <row r="47" spans="5:9" x14ac:dyDescent="0.35">
      <c r="I47" s="235"/>
    </row>
    <row r="48" spans="5:9" x14ac:dyDescent="0.35">
      <c r="I48" s="235"/>
    </row>
  </sheetData>
  <sheetProtection algorithmName="SHA-512" hashValue="reOhWkBa2kDe1IAK81jbluYnxQvAQG6eaH6ZviCpokmJ8cu9xvyLe7+jNinWq/fOVRFhUp6jhUEyljQBf/D9Bw==" saltValue="/+MyIfcf+1Jg+Vy3RnnQLA==" spinCount="100000" sheet="1" objects="1" scenarios="1"/>
  <mergeCells count="7">
    <mergeCell ref="O19:P19"/>
    <mergeCell ref="P3:P4"/>
    <mergeCell ref="O3:O4"/>
    <mergeCell ref="B2:C2"/>
    <mergeCell ref="O11:Q11"/>
    <mergeCell ref="O2:R2"/>
    <mergeCell ref="Q3:R3"/>
  </mergeCells>
  <phoneticPr fontId="10" type="noConversion"/>
  <conditionalFormatting sqref="R5 R8">
    <cfRule type="cellIs" dxfId="15" priority="3" operator="lessThan">
      <formula>0</formula>
    </cfRule>
    <cfRule type="cellIs" dxfId="14" priority="4" operator="greaterThan">
      <formula>0</formula>
    </cfRule>
  </conditionalFormatting>
  <conditionalFormatting sqref="R6:R7">
    <cfRule type="cellIs" dxfId="13" priority="1" operator="lessThan">
      <formula>0</formula>
    </cfRule>
    <cfRule type="cellIs" dxfId="12" priority="2" operator="greater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61154-BAD0-444B-95EE-EDF7AD128702}">
  <dimension ref="B1:R45"/>
  <sheetViews>
    <sheetView showGridLines="0" showRowColHeaders="0" workbookViewId="0">
      <selection activeCell="A2" sqref="A2"/>
    </sheetView>
  </sheetViews>
  <sheetFormatPr defaultColWidth="8.81640625" defaultRowHeight="14.5" x14ac:dyDescent="0.35"/>
  <cols>
    <col min="1" max="1" width="5.7265625" customWidth="1"/>
    <col min="2" max="2" width="20.7265625" customWidth="1"/>
    <col min="3" max="3" width="29.7265625" customWidth="1"/>
    <col min="4" max="4" width="5.7265625" customWidth="1"/>
    <col min="5" max="8" width="20.7265625" style="2" customWidth="1"/>
    <col min="9" max="13" width="20.7265625" customWidth="1"/>
    <col min="14" max="14" width="10.7265625" customWidth="1"/>
    <col min="15" max="16" width="20.7265625" customWidth="1"/>
    <col min="17" max="17" width="25.26953125" customWidth="1"/>
    <col min="18" max="18" width="26.453125" customWidth="1"/>
    <col min="19" max="19" width="20.7265625" customWidth="1"/>
  </cols>
  <sheetData>
    <row r="1" spans="2:18" ht="30" customHeight="1" thickBot="1" x14ac:dyDescent="0.4">
      <c r="E1" s="235"/>
      <c r="F1" s="235"/>
      <c r="G1" s="235"/>
      <c r="H1" s="235"/>
    </row>
    <row r="2" spans="2:18" ht="30" customHeight="1" x14ac:dyDescent="0.35">
      <c r="B2" s="1458" t="s">
        <v>123</v>
      </c>
      <c r="C2" s="1459"/>
      <c r="O2" s="1462" t="s">
        <v>165</v>
      </c>
      <c r="P2" s="1467"/>
      <c r="Q2" s="1467"/>
      <c r="R2" s="1463"/>
    </row>
    <row r="3" spans="2:18" ht="30" customHeight="1" x14ac:dyDescent="0.35">
      <c r="B3" s="1240" t="s">
        <v>49</v>
      </c>
      <c r="C3" s="1241" t="s">
        <v>125</v>
      </c>
      <c r="O3" s="1456" t="s">
        <v>126</v>
      </c>
      <c r="P3" s="1454" t="s">
        <v>71</v>
      </c>
      <c r="Q3" s="1468" t="s">
        <v>75</v>
      </c>
      <c r="R3" s="1469"/>
    </row>
    <row r="4" spans="2:18" ht="30" customHeight="1" x14ac:dyDescent="0.35">
      <c r="B4" s="1242" t="s">
        <v>127</v>
      </c>
      <c r="C4" s="1238" t="str">
        <f>Dashboard!C3</f>
        <v>Current payment rate</v>
      </c>
      <c r="O4" s="1457"/>
      <c r="P4" s="1455"/>
      <c r="Q4" s="1397"/>
      <c r="R4" s="1398" t="s">
        <v>128</v>
      </c>
    </row>
    <row r="5" spans="2:18" ht="30" customHeight="1" x14ac:dyDescent="0.35">
      <c r="B5" s="1242" t="s">
        <v>55</v>
      </c>
      <c r="C5" s="1238" t="str">
        <f>Dashboard!C4</f>
        <v>Conventional pricing</v>
      </c>
      <c r="O5" s="1362" t="s">
        <v>129</v>
      </c>
      <c r="P5" s="1271">
        <f>SUM(Dashboard!J34:J36)</f>
        <v>86165.853128784263</v>
      </c>
      <c r="Q5" s="1271">
        <f>SUM(Dashboard!K34:K36)</f>
        <v>62531.484571483787</v>
      </c>
      <c r="R5" s="1363">
        <f>Q5-$P$5</f>
        <v>-23634.368557300477</v>
      </c>
    </row>
    <row r="6" spans="2:18" ht="30" customHeight="1" x14ac:dyDescent="0.35">
      <c r="B6" s="1242" t="s">
        <v>57</v>
      </c>
      <c r="C6" s="1238" t="str">
        <f>Dashboard!C5</f>
        <v>10% below conventional fixed costs</v>
      </c>
      <c r="O6" s="1362" t="s">
        <v>130</v>
      </c>
      <c r="P6" s="1271">
        <f>SUM(Dashboard!J27:J32)</f>
        <v>57586.401142251518</v>
      </c>
      <c r="Q6" s="1271">
        <f>SUM(Dashboard!K27:K32)</f>
        <v>23598.928016038648</v>
      </c>
      <c r="R6" s="1363">
        <f>Q6-$P$6</f>
        <v>-33987.47312621287</v>
      </c>
    </row>
    <row r="7" spans="2:18" ht="30" customHeight="1" x14ac:dyDescent="0.35">
      <c r="B7" s="1242" t="s">
        <v>59</v>
      </c>
      <c r="C7" s="1239" t="str">
        <f>Dashboard!C6</f>
        <v>+100%</v>
      </c>
      <c r="O7" s="1362" t="s">
        <v>131</v>
      </c>
      <c r="P7" s="1271">
        <f>Dashboard!J42</f>
        <v>67796.760736196331</v>
      </c>
      <c r="Q7" s="1271">
        <f>Dashboard!K42</f>
        <v>61017.084662576686</v>
      </c>
      <c r="R7" s="1363">
        <f>Q7-$P$7</f>
        <v>-6779.6760736196447</v>
      </c>
    </row>
    <row r="8" spans="2:18" ht="30" customHeight="1" thickBot="1" x14ac:dyDescent="0.4">
      <c r="B8" s="1242" t="s">
        <v>61</v>
      </c>
      <c r="C8" s="1239" t="str">
        <f>Dashboard!C7</f>
        <v>No payment</v>
      </c>
      <c r="E8" s="235"/>
      <c r="F8" s="235"/>
      <c r="G8" s="235"/>
      <c r="H8" s="235"/>
      <c r="O8" s="1370" t="s">
        <v>132</v>
      </c>
      <c r="P8" s="1371">
        <f>Dashboard!J44</f>
        <v>-39217.308749663585</v>
      </c>
      <c r="Q8" s="1371">
        <f>Dashboard!K44</f>
        <v>-22084.528107131548</v>
      </c>
      <c r="R8" s="1364">
        <f>Q8-$P$8</f>
        <v>17132.780642532038</v>
      </c>
    </row>
    <row r="9" spans="2:18" ht="30" customHeight="1" x14ac:dyDescent="0.35">
      <c r="E9" s="235"/>
      <c r="F9" s="235"/>
      <c r="G9" s="235"/>
      <c r="H9" s="235"/>
    </row>
    <row r="10" spans="2:18" ht="30" customHeight="1" thickBot="1" x14ac:dyDescent="0.4">
      <c r="E10" s="235"/>
      <c r="F10" s="235"/>
      <c r="G10" s="235"/>
      <c r="H10" s="235"/>
    </row>
    <row r="11" spans="2:18" ht="30" customHeight="1" x14ac:dyDescent="0.35">
      <c r="E11" s="235"/>
      <c r="F11" s="235"/>
      <c r="G11" s="235"/>
      <c r="H11" s="235"/>
      <c r="O11" s="1462" t="s">
        <v>166</v>
      </c>
      <c r="P11" s="1467"/>
      <c r="Q11" s="1463"/>
    </row>
    <row r="12" spans="2:18" ht="30" customHeight="1" x14ac:dyDescent="0.35">
      <c r="E12" s="235"/>
      <c r="F12" s="235"/>
      <c r="G12" s="235"/>
      <c r="H12" s="235"/>
      <c r="O12" s="1396" t="s">
        <v>126</v>
      </c>
      <c r="P12" s="1397" t="s">
        <v>71</v>
      </c>
      <c r="Q12" s="1398" t="s">
        <v>75</v>
      </c>
    </row>
    <row r="13" spans="2:18" ht="30" customHeight="1" x14ac:dyDescent="0.35">
      <c r="E13" s="235"/>
      <c r="F13" s="235"/>
      <c r="G13" s="235"/>
      <c r="H13" s="235"/>
      <c r="O13" s="240" t="str">
        <f>O5</f>
        <v>Gross farm output</v>
      </c>
      <c r="P13" s="1271">
        <f t="shared" ref="P13:Q16" si="0">P5/84</f>
        <v>1025.7839658188602</v>
      </c>
      <c r="Q13" s="1363">
        <f t="shared" si="0"/>
        <v>744.42243537480704</v>
      </c>
    </row>
    <row r="14" spans="2:18" ht="30" customHeight="1" x14ac:dyDescent="0.35">
      <c r="E14" s="235"/>
      <c r="F14" s="235"/>
      <c r="G14" s="235"/>
      <c r="H14" s="235"/>
      <c r="O14" s="240" t="str">
        <f>O6</f>
        <v>Gross farm variable costs</v>
      </c>
      <c r="P14" s="1271">
        <f t="shared" si="0"/>
        <v>685.55239455061326</v>
      </c>
      <c r="Q14" s="1363">
        <f t="shared" si="0"/>
        <v>280.93961923855534</v>
      </c>
    </row>
    <row r="15" spans="2:18" ht="30" customHeight="1" x14ac:dyDescent="0.35">
      <c r="E15" s="235"/>
      <c r="F15" s="235"/>
      <c r="G15" s="235"/>
      <c r="H15" s="235"/>
      <c r="O15" s="240" t="str">
        <f>O7</f>
        <v>Fixed costs</v>
      </c>
      <c r="P15" s="1271">
        <f t="shared" si="0"/>
        <v>807.10429447852778</v>
      </c>
      <c r="Q15" s="1363">
        <f t="shared" si="0"/>
        <v>726.39386503067487</v>
      </c>
    </row>
    <row r="16" spans="2:18" ht="30" customHeight="1" thickBot="1" x14ac:dyDescent="0.4">
      <c r="E16" s="235"/>
      <c r="F16" s="235"/>
      <c r="G16" s="235"/>
      <c r="H16" s="235"/>
      <c r="O16" s="1269" t="str">
        <f>O8</f>
        <v>Net farm income</v>
      </c>
      <c r="P16" s="1371">
        <f t="shared" si="0"/>
        <v>-466.87272321028075</v>
      </c>
      <c r="Q16" s="1364">
        <f t="shared" si="0"/>
        <v>-262.91104889442317</v>
      </c>
    </row>
    <row r="17" spans="5:16" ht="30" customHeight="1" x14ac:dyDescent="0.35">
      <c r="E17" s="235"/>
      <c r="F17" s="235"/>
      <c r="G17" s="235"/>
      <c r="H17" s="235"/>
    </row>
    <row r="18" spans="5:16" ht="30" customHeight="1" thickBot="1" x14ac:dyDescent="0.4">
      <c r="E18" s="235"/>
      <c r="F18" s="235"/>
      <c r="G18" s="235"/>
      <c r="H18" s="235"/>
    </row>
    <row r="19" spans="5:16" ht="30" customHeight="1" x14ac:dyDescent="0.35">
      <c r="E19" s="235"/>
      <c r="F19" s="235"/>
      <c r="G19" s="235"/>
      <c r="H19" s="235"/>
      <c r="O19" s="1462" t="s">
        <v>167</v>
      </c>
      <c r="P19" s="1463"/>
    </row>
    <row r="20" spans="5:16" ht="30" customHeight="1" x14ac:dyDescent="0.35">
      <c r="E20" s="235"/>
      <c r="F20" s="235"/>
      <c r="G20" s="235"/>
      <c r="H20" s="235"/>
      <c r="O20" s="1396" t="s">
        <v>140</v>
      </c>
      <c r="P20" s="1398" t="s">
        <v>141</v>
      </c>
    </row>
    <row r="21" spans="5:16" ht="30" customHeight="1" x14ac:dyDescent="0.35">
      <c r="E21" s="235"/>
      <c r="F21" s="235"/>
      <c r="G21" s="235"/>
      <c r="H21" s="235"/>
      <c r="O21" s="935" t="s">
        <v>168</v>
      </c>
      <c r="P21" s="1372">
        <v>57</v>
      </c>
    </row>
    <row r="22" spans="5:16" ht="30" customHeight="1" x14ac:dyDescent="0.35">
      <c r="E22" s="235"/>
      <c r="F22" s="235"/>
      <c r="G22" s="235"/>
      <c r="H22" s="235"/>
      <c r="O22" s="935" t="s">
        <v>169</v>
      </c>
      <c r="P22" s="1367">
        <v>19</v>
      </c>
    </row>
    <row r="23" spans="5:16" ht="30" customHeight="1" thickBot="1" x14ac:dyDescent="0.4">
      <c r="E23" s="235"/>
      <c r="F23" s="235"/>
      <c r="G23" s="235"/>
      <c r="H23" s="235"/>
      <c r="O23" s="932" t="s">
        <v>164</v>
      </c>
      <c r="P23" s="1368">
        <v>13</v>
      </c>
    </row>
    <row r="24" spans="5:16" ht="30" customHeight="1" x14ac:dyDescent="0.35">
      <c r="E24" s="235"/>
      <c r="F24" s="235"/>
      <c r="G24" s="235"/>
      <c r="H24" s="235"/>
    </row>
    <row r="25" spans="5:16" ht="30" customHeight="1" x14ac:dyDescent="0.35">
      <c r="E25" s="235"/>
      <c r="F25" s="235"/>
      <c r="G25" s="235"/>
      <c r="H25" s="235"/>
    </row>
    <row r="26" spans="5:16" ht="30" customHeight="1" x14ac:dyDescent="0.35">
      <c r="E26" s="235"/>
      <c r="F26" s="235"/>
      <c r="G26" s="235"/>
      <c r="H26" s="235"/>
    </row>
    <row r="27" spans="5:16" ht="30" customHeight="1" x14ac:dyDescent="0.35">
      <c r="E27" s="235"/>
      <c r="F27" s="235"/>
      <c r="G27" s="235"/>
      <c r="H27" s="235"/>
    </row>
    <row r="28" spans="5:16" ht="30" customHeight="1" x14ac:dyDescent="0.35">
      <c r="E28" s="235"/>
      <c r="F28" s="235"/>
      <c r="G28" s="235"/>
      <c r="H28" s="235"/>
    </row>
    <row r="29" spans="5:16" ht="30" customHeight="1" x14ac:dyDescent="0.35">
      <c r="E29" s="235"/>
      <c r="F29" s="235"/>
      <c r="G29" s="235"/>
      <c r="H29" s="235"/>
    </row>
    <row r="30" spans="5:16" x14ac:dyDescent="0.35">
      <c r="E30" s="235"/>
      <c r="F30" s="235"/>
      <c r="G30" s="235"/>
      <c r="H30" s="235"/>
    </row>
    <row r="31" spans="5:16" x14ac:dyDescent="0.35">
      <c r="E31" s="235"/>
      <c r="F31" s="235"/>
      <c r="G31" s="235"/>
      <c r="H31" s="235"/>
    </row>
    <row r="32" spans="5:16" x14ac:dyDescent="0.35">
      <c r="E32" s="235"/>
      <c r="F32" s="235"/>
      <c r="G32" s="235"/>
      <c r="H32" s="235"/>
    </row>
    <row r="33" spans="5:8" x14ac:dyDescent="0.35">
      <c r="E33" s="235"/>
      <c r="F33" s="235"/>
      <c r="G33" s="235"/>
      <c r="H33" s="235"/>
    </row>
    <row r="34" spans="5:8" x14ac:dyDescent="0.35">
      <c r="E34" s="235"/>
      <c r="F34" s="235"/>
      <c r="G34" s="235"/>
      <c r="H34" s="235"/>
    </row>
    <row r="35" spans="5:8" x14ac:dyDescent="0.35">
      <c r="E35" s="235"/>
      <c r="F35" s="235"/>
      <c r="G35" s="235"/>
      <c r="H35" s="235"/>
    </row>
    <row r="36" spans="5:8" ht="19.75" customHeight="1" x14ac:dyDescent="0.35"/>
    <row r="42" spans="5:8" x14ac:dyDescent="0.35">
      <c r="E42" s="235"/>
      <c r="F42" s="235"/>
      <c r="G42" s="235"/>
      <c r="H42" s="235"/>
    </row>
    <row r="43" spans="5:8" x14ac:dyDescent="0.35">
      <c r="E43" s="235"/>
      <c r="F43" s="235"/>
      <c r="G43" s="235"/>
      <c r="H43" s="235"/>
    </row>
    <row r="44" spans="5:8" x14ac:dyDescent="0.35">
      <c r="E44" s="235"/>
      <c r="F44" s="235"/>
      <c r="G44" s="235"/>
      <c r="H44" s="235"/>
    </row>
    <row r="45" spans="5:8" x14ac:dyDescent="0.35">
      <c r="E45" s="235"/>
      <c r="F45" s="235"/>
      <c r="G45" s="235"/>
      <c r="H45" s="235"/>
    </row>
  </sheetData>
  <sheetProtection algorithmName="SHA-512" hashValue="GUfSeyA7Flt+cN43aKKd8J3i75VRODTcQc1s5m3wjW9KFhbYim/eOz7VAet937cq1jrABHWCATDumGmZSFftgA==" saltValue="fiDLI4+t4/dMAWniE3tEMg==" spinCount="100000" sheet="1" objects="1" scenarios="1"/>
  <mergeCells count="7">
    <mergeCell ref="B2:C2"/>
    <mergeCell ref="O19:P19"/>
    <mergeCell ref="O11:Q11"/>
    <mergeCell ref="O2:R2"/>
    <mergeCell ref="O3:O4"/>
    <mergeCell ref="Q3:R3"/>
    <mergeCell ref="P3:P4"/>
  </mergeCells>
  <phoneticPr fontId="10" type="noConversion"/>
  <conditionalFormatting sqref="R5 R8">
    <cfRule type="cellIs" dxfId="11" priority="3" operator="lessThan">
      <formula>0</formula>
    </cfRule>
    <cfRule type="cellIs" dxfId="10" priority="4" operator="greaterThan">
      <formula>0</formula>
    </cfRule>
  </conditionalFormatting>
  <conditionalFormatting sqref="R6:R7">
    <cfRule type="cellIs" dxfId="9" priority="1" operator="lessThan">
      <formula>0</formula>
    </cfRule>
    <cfRule type="cellIs" dxfId="8" priority="2" operator="greaterThan">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EE032-C4D0-4C2D-9211-F49CD9B16C86}">
  <dimension ref="B1:R45"/>
  <sheetViews>
    <sheetView showGridLines="0" showRowColHeaders="0" workbookViewId="0">
      <selection activeCell="A2" sqref="A2"/>
    </sheetView>
  </sheetViews>
  <sheetFormatPr defaultColWidth="8.81640625" defaultRowHeight="14.5" x14ac:dyDescent="0.35"/>
  <cols>
    <col min="1" max="1" width="5.7265625" customWidth="1"/>
    <col min="2" max="2" width="20.7265625" customWidth="1"/>
    <col min="3" max="3" width="29.7265625" customWidth="1"/>
    <col min="4" max="4" width="5.7265625" customWidth="1"/>
    <col min="5" max="8" width="20.7265625" style="2" customWidth="1"/>
    <col min="9" max="13" width="20.7265625" customWidth="1"/>
    <col min="14" max="14" width="10.7265625" customWidth="1"/>
    <col min="15" max="16" width="20.7265625" customWidth="1"/>
    <col min="17" max="17" width="27.453125" customWidth="1"/>
    <col min="18" max="18" width="31.54296875" customWidth="1"/>
    <col min="19" max="19" width="20.7265625" customWidth="1"/>
  </cols>
  <sheetData>
    <row r="1" spans="2:18" ht="30" customHeight="1" thickBot="1" x14ac:dyDescent="0.4">
      <c r="E1" s="235"/>
      <c r="F1" s="235"/>
      <c r="G1" s="235"/>
      <c r="H1" s="235"/>
    </row>
    <row r="2" spans="2:18" ht="30" customHeight="1" x14ac:dyDescent="0.35">
      <c r="B2" s="1458" t="s">
        <v>123</v>
      </c>
      <c r="C2" s="1459"/>
      <c r="O2" s="1470" t="s">
        <v>170</v>
      </c>
      <c r="P2" s="1472"/>
      <c r="Q2" s="1472"/>
      <c r="R2" s="1471"/>
    </row>
    <row r="3" spans="2:18" ht="30" customHeight="1" x14ac:dyDescent="0.35">
      <c r="B3" s="1240" t="s">
        <v>49</v>
      </c>
      <c r="C3" s="1241" t="s">
        <v>125</v>
      </c>
      <c r="O3" s="1456" t="s">
        <v>126</v>
      </c>
      <c r="P3" s="1454" t="s">
        <v>71</v>
      </c>
      <c r="Q3" s="1468" t="s">
        <v>75</v>
      </c>
      <c r="R3" s="1469"/>
    </row>
    <row r="4" spans="2:18" ht="30" customHeight="1" x14ac:dyDescent="0.35">
      <c r="B4" s="1242" t="s">
        <v>127</v>
      </c>
      <c r="C4" s="1238" t="str">
        <f>Dashboard!C3</f>
        <v>Current payment rate</v>
      </c>
      <c r="O4" s="1457"/>
      <c r="P4" s="1455"/>
      <c r="Q4" s="1397" t="s">
        <v>75</v>
      </c>
      <c r="R4" s="1398" t="s">
        <v>128</v>
      </c>
    </row>
    <row r="5" spans="2:18" ht="30" customHeight="1" x14ac:dyDescent="0.35">
      <c r="B5" s="1242" t="s">
        <v>55</v>
      </c>
      <c r="C5" s="1238" t="str">
        <f>Dashboard!C4</f>
        <v>Conventional pricing</v>
      </c>
      <c r="O5" s="203" t="s">
        <v>129</v>
      </c>
      <c r="P5" s="648">
        <f>SUM(Dashboard!L34:L36)</f>
        <v>102217.75275341203</v>
      </c>
      <c r="Q5" s="648">
        <f>SUM(Dashboard!M34:M36)</f>
        <v>69432.406752316761</v>
      </c>
      <c r="R5" s="655">
        <f>Q5-$P$5</f>
        <v>-32785.346001095269</v>
      </c>
    </row>
    <row r="6" spans="2:18" ht="30" customHeight="1" x14ac:dyDescent="0.35">
      <c r="B6" s="1242" t="s">
        <v>57</v>
      </c>
      <c r="C6" s="1238" t="str">
        <f>Dashboard!C5</f>
        <v>10% below conventional fixed costs</v>
      </c>
      <c r="O6" s="203" t="s">
        <v>130</v>
      </c>
      <c r="P6" s="648">
        <f>SUM(Dashboard!L27:L32)</f>
        <v>59376.319765639797</v>
      </c>
      <c r="Q6" s="648">
        <f>SUM(Dashboard!M27:M32)</f>
        <v>27816.621409339539</v>
      </c>
      <c r="R6" s="655">
        <f>Q6-$P$6</f>
        <v>-31559.698356300258</v>
      </c>
    </row>
    <row r="7" spans="2:18" ht="30" customHeight="1" x14ac:dyDescent="0.35">
      <c r="B7" s="1242" t="s">
        <v>59</v>
      </c>
      <c r="C7" s="1239" t="str">
        <f>Dashboard!C6</f>
        <v>+100%</v>
      </c>
      <c r="O7" s="203" t="s">
        <v>131</v>
      </c>
      <c r="P7" s="648">
        <f>Dashboard!L42</f>
        <v>49835.158663296825</v>
      </c>
      <c r="Q7" s="648">
        <f>Dashboard!M42</f>
        <v>44851.642796967142</v>
      </c>
      <c r="R7" s="655">
        <f>Q7-$P$7</f>
        <v>-4983.5158663296825</v>
      </c>
    </row>
    <row r="8" spans="2:18" ht="30" customHeight="1" thickBot="1" x14ac:dyDescent="0.4">
      <c r="B8" s="1242" t="s">
        <v>61</v>
      </c>
      <c r="C8" s="1239" t="str">
        <f>Dashboard!C7</f>
        <v>No payment</v>
      </c>
      <c r="E8" s="235"/>
      <c r="F8" s="235"/>
      <c r="G8" s="235"/>
      <c r="H8" s="235"/>
      <c r="N8" s="1270"/>
      <c r="O8" s="1375" t="s">
        <v>132</v>
      </c>
      <c r="P8" s="1376">
        <f>Dashboard!L44</f>
        <v>-6993.7256755245908</v>
      </c>
      <c r="Q8" s="1376">
        <f>Dashboard!M44</f>
        <v>-3235.85745398992</v>
      </c>
      <c r="R8" s="1377">
        <f>Q8-$P$8</f>
        <v>3757.8682215346707</v>
      </c>
    </row>
    <row r="9" spans="2:18" ht="30" customHeight="1" x14ac:dyDescent="0.35">
      <c r="E9" s="235"/>
      <c r="F9" s="235"/>
      <c r="G9" s="235"/>
      <c r="H9" s="235"/>
      <c r="N9" s="1270"/>
      <c r="O9" s="1270"/>
      <c r="P9" s="1270"/>
      <c r="Q9" s="1270"/>
    </row>
    <row r="10" spans="2:18" ht="30" customHeight="1" thickBot="1" x14ac:dyDescent="0.4">
      <c r="E10" s="235"/>
      <c r="F10" s="235"/>
      <c r="G10" s="235"/>
      <c r="H10" s="235"/>
    </row>
    <row r="11" spans="2:18" ht="30" customHeight="1" x14ac:dyDescent="0.35">
      <c r="E11" s="235"/>
      <c r="F11" s="235"/>
      <c r="G11" s="235"/>
      <c r="H11" s="235"/>
      <c r="O11" s="1470" t="s">
        <v>171</v>
      </c>
      <c r="P11" s="1472"/>
      <c r="Q11" s="1471"/>
    </row>
    <row r="12" spans="2:18" ht="30" customHeight="1" x14ac:dyDescent="0.35">
      <c r="E12" s="235"/>
      <c r="F12" s="235"/>
      <c r="G12" s="235"/>
      <c r="H12" s="235"/>
      <c r="O12" s="1396" t="s">
        <v>126</v>
      </c>
      <c r="P12" s="1397" t="s">
        <v>71</v>
      </c>
      <c r="Q12" s="1398" t="s">
        <v>75</v>
      </c>
    </row>
    <row r="13" spans="2:18" ht="30" customHeight="1" x14ac:dyDescent="0.35">
      <c r="E13" s="235"/>
      <c r="F13" s="235"/>
      <c r="G13" s="235"/>
      <c r="H13" s="235"/>
      <c r="O13" s="935" t="str">
        <f>O5</f>
        <v>Gross farm output</v>
      </c>
      <c r="P13" s="648">
        <f t="shared" ref="P13:Q16" si="0">P5/170</f>
        <v>601.28089854948257</v>
      </c>
      <c r="Q13" s="655">
        <f t="shared" si="0"/>
        <v>408.42592207245156</v>
      </c>
    </row>
    <row r="14" spans="2:18" ht="30" customHeight="1" x14ac:dyDescent="0.35">
      <c r="E14" s="235"/>
      <c r="F14" s="235"/>
      <c r="G14" s="235"/>
      <c r="H14" s="235"/>
      <c r="O14" s="935" t="str">
        <f>O6</f>
        <v>Gross farm variable costs</v>
      </c>
      <c r="P14" s="648">
        <f t="shared" si="0"/>
        <v>349.27246920964586</v>
      </c>
      <c r="Q14" s="655">
        <f t="shared" si="0"/>
        <v>163.62718476082082</v>
      </c>
    </row>
    <row r="15" spans="2:18" ht="30" customHeight="1" x14ac:dyDescent="0.35">
      <c r="E15" s="235"/>
      <c r="F15" s="235"/>
      <c r="G15" s="235"/>
      <c r="H15" s="235"/>
      <c r="O15" s="935" t="str">
        <f>O7</f>
        <v>Fixed costs</v>
      </c>
      <c r="P15" s="648">
        <f t="shared" si="0"/>
        <v>293.14799213704015</v>
      </c>
      <c r="Q15" s="655">
        <f t="shared" si="0"/>
        <v>263.83319292333613</v>
      </c>
    </row>
    <row r="16" spans="2:18" ht="30" customHeight="1" thickBot="1" x14ac:dyDescent="0.4">
      <c r="E16" s="235"/>
      <c r="F16" s="235"/>
      <c r="G16" s="235"/>
      <c r="H16" s="235"/>
      <c r="N16" s="1270"/>
      <c r="O16" s="1365" t="str">
        <f>O8</f>
        <v>Net farm income</v>
      </c>
      <c r="P16" s="1376">
        <f t="shared" si="0"/>
        <v>-41.139562797203475</v>
      </c>
      <c r="Q16" s="1377">
        <f t="shared" si="0"/>
        <v>-19.034455611705411</v>
      </c>
    </row>
    <row r="17" spans="5:17" ht="30" customHeight="1" x14ac:dyDescent="0.35">
      <c r="E17" s="235"/>
      <c r="F17" s="235"/>
      <c r="G17" s="235"/>
      <c r="H17" s="235"/>
      <c r="N17" s="1270"/>
      <c r="O17" s="1270"/>
      <c r="P17" s="1270"/>
      <c r="Q17" s="1270"/>
    </row>
    <row r="18" spans="5:17" ht="30" customHeight="1" thickBot="1" x14ac:dyDescent="0.4">
      <c r="E18" s="235"/>
      <c r="F18" s="235"/>
      <c r="G18" s="235"/>
      <c r="H18" s="235"/>
      <c r="Q18" s="1270"/>
    </row>
    <row r="19" spans="5:17" ht="30" customHeight="1" x14ac:dyDescent="0.35">
      <c r="E19" s="235"/>
      <c r="F19" s="235"/>
      <c r="G19" s="235"/>
      <c r="H19" s="235"/>
      <c r="O19" s="1470" t="s">
        <v>172</v>
      </c>
      <c r="P19" s="1471"/>
      <c r="Q19" s="1270"/>
    </row>
    <row r="20" spans="5:17" ht="30" customHeight="1" x14ac:dyDescent="0.35">
      <c r="E20" s="235"/>
      <c r="F20" s="235"/>
      <c r="G20" s="235"/>
      <c r="H20" s="235"/>
      <c r="O20" s="1396" t="s">
        <v>140</v>
      </c>
      <c r="P20" s="1398" t="s">
        <v>141</v>
      </c>
      <c r="Q20" s="1270"/>
    </row>
    <row r="21" spans="5:17" ht="30" customHeight="1" x14ac:dyDescent="0.35">
      <c r="E21" s="235"/>
      <c r="F21" s="235"/>
      <c r="G21" s="235"/>
      <c r="H21" s="235"/>
      <c r="O21" s="1369" t="s">
        <v>173</v>
      </c>
      <c r="P21" s="1372">
        <v>115</v>
      </c>
      <c r="Q21" s="1270"/>
    </row>
    <row r="22" spans="5:17" ht="30" customHeight="1" x14ac:dyDescent="0.35">
      <c r="E22" s="235"/>
      <c r="F22" s="235"/>
      <c r="G22" s="235"/>
      <c r="H22" s="235"/>
      <c r="O22" s="935" t="s">
        <v>174</v>
      </c>
      <c r="P22" s="1372">
        <v>38</v>
      </c>
      <c r="Q22" s="1270"/>
    </row>
    <row r="23" spans="5:17" ht="30" customHeight="1" thickBot="1" x14ac:dyDescent="0.4">
      <c r="E23" s="235"/>
      <c r="F23" s="235"/>
      <c r="G23" s="235"/>
      <c r="H23" s="235"/>
      <c r="O23" s="932" t="s">
        <v>175</v>
      </c>
      <c r="P23" s="1384">
        <v>17</v>
      </c>
    </row>
    <row r="24" spans="5:17" ht="30" customHeight="1" x14ac:dyDescent="0.35">
      <c r="E24" s="235"/>
      <c r="F24" s="235"/>
      <c r="G24" s="235"/>
      <c r="H24" s="235"/>
    </row>
    <row r="25" spans="5:17" ht="30" customHeight="1" x14ac:dyDescent="0.35">
      <c r="E25" s="235"/>
      <c r="F25" s="235"/>
      <c r="G25" s="235"/>
      <c r="H25" s="235"/>
    </row>
    <row r="26" spans="5:17" ht="30" customHeight="1" x14ac:dyDescent="0.35">
      <c r="E26" s="235"/>
      <c r="F26" s="235"/>
      <c r="G26" s="235"/>
      <c r="H26" s="235"/>
    </row>
    <row r="27" spans="5:17" ht="30" customHeight="1" x14ac:dyDescent="0.35">
      <c r="E27" s="235"/>
      <c r="F27" s="235"/>
      <c r="G27" s="235"/>
      <c r="H27" s="235"/>
    </row>
    <row r="28" spans="5:17" ht="30" customHeight="1" x14ac:dyDescent="0.35">
      <c r="E28" s="235"/>
      <c r="F28" s="235"/>
      <c r="G28" s="235"/>
      <c r="H28" s="235"/>
    </row>
    <row r="29" spans="5:17" ht="30" customHeight="1" x14ac:dyDescent="0.35">
      <c r="E29" s="235"/>
      <c r="F29" s="235"/>
      <c r="G29" s="235"/>
      <c r="H29" s="235"/>
    </row>
    <row r="30" spans="5:17" x14ac:dyDescent="0.35">
      <c r="E30" s="235"/>
      <c r="F30" s="235"/>
      <c r="G30" s="235"/>
      <c r="H30" s="235"/>
    </row>
    <row r="31" spans="5:17" x14ac:dyDescent="0.35">
      <c r="E31" s="235"/>
      <c r="F31" s="235"/>
      <c r="G31" s="235"/>
      <c r="H31" s="235"/>
    </row>
    <row r="32" spans="5:17" x14ac:dyDescent="0.35">
      <c r="E32" s="235"/>
      <c r="F32" s="235"/>
      <c r="G32" s="235"/>
      <c r="H32" s="235"/>
    </row>
    <row r="33" spans="5:8" x14ac:dyDescent="0.35">
      <c r="E33" s="235"/>
      <c r="F33" s="235"/>
      <c r="G33" s="235"/>
      <c r="H33" s="235"/>
    </row>
    <row r="34" spans="5:8" x14ac:dyDescent="0.35">
      <c r="E34" s="235"/>
      <c r="F34" s="235"/>
      <c r="G34" s="235"/>
      <c r="H34" s="235"/>
    </row>
    <row r="35" spans="5:8" x14ac:dyDescent="0.35">
      <c r="E35" s="235"/>
      <c r="F35" s="235"/>
      <c r="G35" s="235"/>
      <c r="H35" s="235"/>
    </row>
    <row r="36" spans="5:8" ht="19.75" customHeight="1" x14ac:dyDescent="0.35"/>
    <row r="42" spans="5:8" x14ac:dyDescent="0.35">
      <c r="E42" s="235"/>
      <c r="F42" s="235"/>
      <c r="G42" s="235"/>
      <c r="H42" s="235"/>
    </row>
    <row r="43" spans="5:8" x14ac:dyDescent="0.35">
      <c r="E43" s="235"/>
      <c r="F43" s="235"/>
      <c r="G43" s="235"/>
      <c r="H43" s="235"/>
    </row>
    <row r="44" spans="5:8" x14ac:dyDescent="0.35">
      <c r="E44" s="235"/>
      <c r="F44" s="235"/>
      <c r="G44" s="235"/>
      <c r="H44" s="235"/>
    </row>
    <row r="45" spans="5:8" x14ac:dyDescent="0.35">
      <c r="E45" s="235"/>
      <c r="F45" s="235"/>
      <c r="G45" s="235"/>
      <c r="H45" s="235"/>
    </row>
  </sheetData>
  <sheetProtection algorithmName="SHA-512" hashValue="TQUS85jiW81i+X6Tp6UreoadPpAnB4M2X7ii4Zhf/elnai6t5wdkSsDjL6nRvycPsL8ZGgKQfTzoYOiGj3j2oA==" saltValue="Z3bNsKLwETqSWmsJhe/mDw==" spinCount="100000" sheet="1" objects="1" scenarios="1"/>
  <mergeCells count="7">
    <mergeCell ref="B2:C2"/>
    <mergeCell ref="O19:P19"/>
    <mergeCell ref="O11:Q11"/>
    <mergeCell ref="O2:R2"/>
    <mergeCell ref="Q3:R3"/>
    <mergeCell ref="P3:P4"/>
    <mergeCell ref="O3:O4"/>
  </mergeCells>
  <phoneticPr fontId="10" type="noConversion"/>
  <conditionalFormatting sqref="R5 R8">
    <cfRule type="cellIs" dxfId="7" priority="3" operator="lessThan">
      <formula>0</formula>
    </cfRule>
    <cfRule type="cellIs" dxfId="6" priority="4" operator="greaterThan">
      <formula>0</formula>
    </cfRule>
  </conditionalFormatting>
  <conditionalFormatting sqref="R6:R7">
    <cfRule type="cellIs" dxfId="5" priority="1" operator="lessThan">
      <formula>0</formula>
    </cfRule>
    <cfRule type="cellIs" dxfId="4" priority="2" operator="greaterThan">
      <formula>0</formula>
    </cfRule>
  </conditionalFormatting>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7d0579-8c85-45f6-bdb1-f368fe1f98d0">
      <Terms xmlns="http://schemas.microsoft.com/office/infopath/2007/PartnerControls"/>
    </lcf76f155ced4ddcb4097134ff3c332f>
    <TaxCatchAll xmlns="41cfbd5a-faae-4cfa-ad18-ecec193f8b5c" xsi:nil="true"/>
    <SharedWithUsers xmlns="41cfbd5a-faae-4cfa-ad18-ecec193f8b5c">
      <UserInfo>
        <DisplayName>Hannah Dancer</DisplayName>
        <AccountId>17</AccountId>
        <AccountType/>
      </UserInfo>
      <UserInfo>
        <DisplayName>Paul Silcock</DisplayName>
        <AccountId>6</AccountId>
        <AccountType/>
      </UserInfo>
      <UserInfo>
        <DisplayName>George  Chanarin</DisplayName>
        <AccountId>27</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64EDEA6D3297408E4C3EC2E077E6DD" ma:contentTypeVersion="15" ma:contentTypeDescription="Create a new document." ma:contentTypeScope="" ma:versionID="36e9957a7e4e9a412e8a3a5afe72da2d">
  <xsd:schema xmlns:xsd="http://www.w3.org/2001/XMLSchema" xmlns:xs="http://www.w3.org/2001/XMLSchema" xmlns:p="http://schemas.microsoft.com/office/2006/metadata/properties" xmlns:ns2="1c7d0579-8c85-45f6-bdb1-f368fe1f98d0" xmlns:ns3="41cfbd5a-faae-4cfa-ad18-ecec193f8b5c" targetNamespace="http://schemas.microsoft.com/office/2006/metadata/properties" ma:root="true" ma:fieldsID="7823a9b3636a54532d49940a6f5c5b12" ns2:_="" ns3:_="">
    <xsd:import namespace="1c7d0579-8c85-45f6-bdb1-f368fe1f98d0"/>
    <xsd:import namespace="41cfbd5a-faae-4cfa-ad18-ecec193f8b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7d0579-8c85-45f6-bdb1-f368fe1f98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504f67-2a56-4a01-a355-9e1cce3cd8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cfbd5a-faae-4cfa-ad18-ecec193f8b5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9136088-3d41-4fb5-83ad-fa3aa3303829}" ma:internalName="TaxCatchAll" ma:showField="CatchAllData" ma:web="41cfbd5a-faae-4cfa-ad18-ecec193f8b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E717CA-0ECD-49E0-B7D4-4B63998803AE}">
  <ds:schemaRefs>
    <ds:schemaRef ds:uri="http://schemas.microsoft.com/office/2006/metadata/properties"/>
    <ds:schemaRef ds:uri="http://schemas.microsoft.com/office/infopath/2007/PartnerControls"/>
    <ds:schemaRef ds:uri="1c7d0579-8c85-45f6-bdb1-f368fe1f98d0"/>
    <ds:schemaRef ds:uri="41cfbd5a-faae-4cfa-ad18-ecec193f8b5c"/>
  </ds:schemaRefs>
</ds:datastoreItem>
</file>

<file path=customXml/itemProps2.xml><?xml version="1.0" encoding="utf-8"?>
<ds:datastoreItem xmlns:ds="http://schemas.openxmlformats.org/officeDocument/2006/customXml" ds:itemID="{A6274F7B-5D4C-4FAD-B825-E196221D5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7d0579-8c85-45f6-bdb1-f368fe1f98d0"/>
    <ds:schemaRef ds:uri="41cfbd5a-faae-4cfa-ad18-ecec193f8b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E8F94-F6D1-4E44-BC9C-09EAC5B897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Introduction</vt:lpstr>
      <vt:lpstr>Interpreting the results</vt:lpstr>
      <vt:lpstr>Customisability</vt:lpstr>
      <vt:lpstr>Dashboard</vt:lpstr>
      <vt:lpstr>Results - cereals</vt:lpstr>
      <vt:lpstr>Results - horticulture</vt:lpstr>
      <vt:lpstr>Results - lowland dairy</vt:lpstr>
      <vt:lpstr>Results - lowland grazing</vt:lpstr>
      <vt:lpstr>Results - LFA grazing</vt:lpstr>
      <vt:lpstr>Results - mixed</vt:lpstr>
      <vt:lpstr>Livestock allocation - baseline</vt:lpstr>
      <vt:lpstr>Livestock GM - baseline</vt:lpstr>
      <vt:lpstr>Cropping allocation - baseline</vt:lpstr>
      <vt:lpstr>Cropping GMs - baseline</vt:lpstr>
      <vt:lpstr>Forage</vt:lpstr>
      <vt:lpstr>Carbon</vt:lpstr>
      <vt:lpstr>FBS Data</vt:lpstr>
      <vt:lpstr>Fixed Costs + Agri-enviro</vt:lpstr>
      <vt:lpstr>Lists</vt:lpstr>
      <vt:lpstr>Net farm incomes graph</vt:lpstr>
      <vt:lpstr>Farm Typologies (org prem)</vt:lpstr>
      <vt:lpstr>Livestock allocation</vt:lpstr>
      <vt:lpstr>Livestock allocation -price var</vt:lpstr>
      <vt:lpstr>Livestock allocation - conc</vt:lpstr>
      <vt:lpstr>Livestock GM</vt:lpstr>
      <vt:lpstr>Livestock GM - price var</vt:lpstr>
      <vt:lpstr>Cropping allocation</vt:lpstr>
      <vt:lpstr>Cropping allocation - price var</vt:lpstr>
      <vt:lpstr>Cropping allocation - N cost</vt:lpstr>
      <vt:lpstr>Cropping allocation - N and +£</vt:lpstr>
      <vt:lpstr>Cropping GMs</vt:lpstr>
      <vt:lpstr>Cropping GMs - N cost Grain £</vt:lpstr>
      <vt:lpstr>Cropping GMs - price variation</vt:lpstr>
      <vt:lpstr>Cropping GMs - grain price var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Charlie</dc:creator>
  <cp:keywords/>
  <dc:description/>
  <cp:lastModifiedBy>George  Chanarin</cp:lastModifiedBy>
  <cp:revision/>
  <dcterms:created xsi:type="dcterms:W3CDTF">2022-03-18T12:32:00Z</dcterms:created>
  <dcterms:modified xsi:type="dcterms:W3CDTF">2022-09-02T15:28:40Z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0x010100ED64EDEA6D3297408E4C3EC2E077E6DD</vt:lpwstr>
  </property>
  <property fmtid="{D5CDD505-2E9C-101B-9397-08002B2CF9AE}" pid="3" name="MediaServiceImageTags">
    <vt:lpwstr/>
  </property>
</Properties>
</file>